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Z:\fritts\run076\"/>
    </mc:Choice>
  </mc:AlternateContent>
  <xr:revisionPtr revIDLastSave="0" documentId="13_ncr:1_{D1AA49F7-104B-46CE-80DB-F1712F4948A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0" i="2" l="1"/>
  <c r="B70" i="2"/>
  <c r="D69" i="2"/>
  <c r="B69" i="2"/>
  <c r="D68" i="2"/>
  <c r="B68" i="2"/>
  <c r="D67" i="2"/>
  <c r="B67" i="2"/>
  <c r="D66" i="2"/>
  <c r="B66" i="2"/>
  <c r="D65" i="2"/>
  <c r="B65" i="2"/>
  <c r="D64" i="2"/>
  <c r="B64" i="2"/>
  <c r="D63" i="2"/>
  <c r="B63" i="2"/>
  <c r="D62" i="2"/>
  <c r="B62" i="2"/>
  <c r="D61" i="2"/>
  <c r="B61" i="2"/>
  <c r="P17" i="2"/>
  <c r="P16" i="2"/>
  <c r="R24" i="2"/>
  <c r="R17" i="2"/>
  <c r="R31" i="2" s="1"/>
  <c r="Q17" i="2"/>
  <c r="N17" i="2"/>
  <c r="N16" i="2"/>
  <c r="R16" i="2"/>
  <c r="N5" i="2"/>
  <c r="O5" i="2" s="1"/>
  <c r="P11" i="2"/>
  <c r="N28" i="2"/>
  <c r="Q28" i="2" s="1"/>
  <c r="Q11" i="2"/>
  <c r="R11" i="2" s="1"/>
  <c r="Q10" i="2"/>
  <c r="R10" i="2" s="1"/>
  <c r="N19" i="2"/>
  <c r="O19" i="2" s="1"/>
  <c r="O11" i="2"/>
  <c r="O10" i="2"/>
  <c r="O2" i="2"/>
  <c r="N14" i="2"/>
  <c r="P14" i="2" s="1"/>
  <c r="N13" i="2"/>
  <c r="P13" i="2" s="1"/>
  <c r="N12" i="2"/>
  <c r="Q12" i="2" s="1"/>
  <c r="R12" i="2" s="1"/>
  <c r="N11" i="2"/>
  <c r="N10" i="2"/>
  <c r="P10" i="2" s="1"/>
  <c r="N9" i="2"/>
  <c r="Q9" i="2" s="1"/>
  <c r="R9" i="2" s="1"/>
  <c r="N8" i="2"/>
  <c r="Q8" i="2" s="1"/>
  <c r="R8" i="2" s="1"/>
  <c r="N7" i="2"/>
  <c r="P7" i="2" s="1"/>
  <c r="N6" i="2"/>
  <c r="Q6" i="2" s="1"/>
  <c r="R6" i="2" s="1"/>
  <c r="N2" i="2"/>
  <c r="I8" i="1"/>
  <c r="G4" i="1"/>
  <c r="I7" i="1" s="1"/>
  <c r="G3" i="1"/>
  <c r="G8" i="1"/>
  <c r="I6" i="1" l="1"/>
  <c r="I9" i="1" s="1"/>
  <c r="O6" i="2"/>
  <c r="P6" i="2"/>
  <c r="P12" i="2"/>
  <c r="O7" i="2"/>
  <c r="O13" i="2"/>
  <c r="Q7" i="2"/>
  <c r="R7" i="2" s="1"/>
  <c r="Q13" i="2"/>
  <c r="R13" i="2" s="1"/>
  <c r="P8" i="2"/>
  <c r="O8" i="2"/>
  <c r="O14" i="2"/>
  <c r="Q14" i="2"/>
  <c r="R14" i="2" s="1"/>
  <c r="P9" i="2"/>
  <c r="O9" i="2"/>
  <c r="O12" i="2"/>
  <c r="O28" i="2"/>
</calcChain>
</file>

<file path=xl/sharedStrings.xml><?xml version="1.0" encoding="utf-8"?>
<sst xmlns="http://schemas.openxmlformats.org/spreadsheetml/2006/main" count="93" uniqueCount="52">
  <si>
    <t>DCRC3pD 10</t>
  </si>
  <si>
    <t>Position 3</t>
  </si>
  <si>
    <t>1.77[1]</t>
  </si>
  <si>
    <t>1.743[13]</t>
  </si>
  <si>
    <t>2.68[2]</t>
  </si>
  <si>
    <t>07220422_1144</t>
  </si>
  <si>
    <t>Side2</t>
  </si>
  <si>
    <t>07220422_1250</t>
  </si>
  <si>
    <t>07220425_0722</t>
  </si>
  <si>
    <t>07220425_1144</t>
  </si>
  <si>
    <t>07220425_1621</t>
  </si>
  <si>
    <t>07220425_2032</t>
  </si>
  <si>
    <t>07220426_1120</t>
  </si>
  <si>
    <t>07220426_2022</t>
  </si>
  <si>
    <t>07220427_1630</t>
  </si>
  <si>
    <t>07220428_1659</t>
  </si>
  <si>
    <t>07220503_0851</t>
  </si>
  <si>
    <t>PFbs</t>
  </si>
  <si>
    <t>PDOF/PTOF</t>
  </si>
  <si>
    <t>am quant</t>
  </si>
  <si>
    <t>min</t>
  </si>
  <si>
    <t>max</t>
  </si>
  <si>
    <t>14 quant</t>
  </si>
  <si>
    <t>PTOFamps</t>
  </si>
  <si>
    <t>Gluke</t>
  </si>
  <si>
    <t>noise ee</t>
  </si>
  <si>
    <t>noise pt</t>
  </si>
  <si>
    <t>z-&gt;SetAlias("PTOFkeV","PTOFamps*13.95/3.26485e-07")</t>
  </si>
  <si>
    <t>PDint/PTint</t>
  </si>
  <si>
    <t>PTWKf40-PTWKr40</t>
  </si>
  <si>
    <t>z-&gt;SetAlias("PTOFlin","PTOFamps*138.823+PTOFamps**2*2.14353e+08")</t>
  </si>
  <si>
    <t>z-&gt;SetAlias("PTOFkeV","PTOFlin*13.95/1.43447e-03")</t>
  </si>
  <si>
    <t>char* datapath ="/data/chocula/fritts/data/k100proc/midasrq/byseries/"</t>
  </si>
  <si>
    <t>TChain *e = new TChain("rqDir/eventTree")</t>
  </si>
  <si>
    <t>TChain *z = new TChain("rqDir/zip1")</t>
  </si>
  <si>
    <t>e-&gt;Add(Form("%s/%s/umn*root",datapath,ser));</t>
  </si>
  <si>
    <t>z-&gt;Add(Form("%s/%s/umn*root",datapath,ser));</t>
  </si>
  <si>
    <t>z-&gt;AddFriend(e)</t>
  </si>
  <si>
    <t>TCut crand = "EventCategory"</t>
  </si>
  <si>
    <t>h-&gt;Fit("gaus")</t>
  </si>
  <si>
    <t>.q</t>
  </si>
  <si>
    <t>root</t>
  </si>
  <si>
    <t>z-&gt;Draw("PTOF0keV&gt;&gt;h(200,-0.05,0.05)",crand)</t>
  </si>
  <si>
    <t>INT-linearized calibration</t>
  </si>
  <si>
    <t>NTL-gain calibration</t>
  </si>
  <si>
    <t>Bias</t>
  </si>
  <si>
    <t>07220510_0917</t>
  </si>
  <si>
    <t>07220510_1115</t>
  </si>
  <si>
    <t>HV</t>
  </si>
  <si>
    <t>sig_pt [eVee]</t>
  </si>
  <si>
    <t>S101</t>
  </si>
  <si>
    <t>S104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</si>
</sst>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0.3000000000000000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Sheet1!$A$1:$A$6</c:f>
              <c:numCache>
                <c:formatCode>General</c:formatCode>
                <c:ptCount val="6"/>
                <c:pt idx="0">
                  <c:v>-98.4</c:v>
                </c:pt>
                <c:pt idx="1">
                  <c:v>-79</c:v>
                </c:pt>
                <c:pt idx="2">
                  <c:v>-119.6</c:v>
                </c:pt>
                <c:pt idx="3">
                  <c:v>-140.5</c:v>
                </c:pt>
                <c:pt idx="4">
                  <c:v>-160.80000000000001</c:v>
                </c:pt>
                <c:pt idx="5">
                  <c:v>-180.5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4.99</c:v>
                </c:pt>
                <c:pt idx="1">
                  <c:v>5.41</c:v>
                </c:pt>
                <c:pt idx="2">
                  <c:v>4.3899999999999997</c:v>
                </c:pt>
                <c:pt idx="3">
                  <c:v>3.66</c:v>
                </c:pt>
                <c:pt idx="4">
                  <c:v>3.34</c:v>
                </c:pt>
                <c:pt idx="5">
                  <c:v>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EF-45AA-A2F7-4426DB257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200280"/>
        <c:axId val="631197984"/>
      </c:scatterChart>
      <c:valAx>
        <c:axId val="631200280"/>
        <c:scaling>
          <c:orientation val="minMax"/>
          <c:max val="-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Detector bias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97984"/>
        <c:crosses val="autoZero"/>
        <c:crossBetween val="midCat"/>
      </c:valAx>
      <c:valAx>
        <c:axId val="631197984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Noise width [eVee]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00280"/>
        <c:crossesAt val="-200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-98.4</c:v>
                </c:pt>
                <c:pt idx="1">
                  <c:v>-79</c:v>
                </c:pt>
                <c:pt idx="2">
                  <c:v>-119.6</c:v>
                </c:pt>
                <c:pt idx="3">
                  <c:v>-140.5</c:v>
                </c:pt>
                <c:pt idx="4">
                  <c:v>-160.80000000000001</c:v>
                </c:pt>
                <c:pt idx="5">
                  <c:v>-180.5</c:v>
                </c:pt>
                <c:pt idx="6">
                  <c:v>-200.8</c:v>
                </c:pt>
                <c:pt idx="7">
                  <c:v>-221.1</c:v>
                </c:pt>
                <c:pt idx="8">
                  <c:v>-180.6</c:v>
                </c:pt>
                <c:pt idx="9">
                  <c:v>-238.3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4.99</c:v>
                </c:pt>
                <c:pt idx="1">
                  <c:v>5.41</c:v>
                </c:pt>
                <c:pt idx="2">
                  <c:v>4.3899999999999997</c:v>
                </c:pt>
                <c:pt idx="3">
                  <c:v>3.66</c:v>
                </c:pt>
                <c:pt idx="4">
                  <c:v>3.34</c:v>
                </c:pt>
                <c:pt idx="5">
                  <c:v>3.8</c:v>
                </c:pt>
                <c:pt idx="6">
                  <c:v>1.77</c:v>
                </c:pt>
                <c:pt idx="7">
                  <c:v>1.7430000000000001</c:v>
                </c:pt>
                <c:pt idx="8">
                  <c:v>2.68</c:v>
                </c:pt>
                <c:pt idx="9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3-4E43-A314-B80961E04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32528"/>
        <c:axId val="645632856"/>
      </c:scatterChart>
      <c:valAx>
        <c:axId val="645632528"/>
        <c:scaling>
          <c:orientation val="minMax"/>
          <c:max val="-50"/>
          <c:min val="-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Detector bias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32856"/>
        <c:crosses val="autoZero"/>
        <c:crossBetween val="midCat"/>
      </c:valAx>
      <c:valAx>
        <c:axId val="64563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Noise width [eVee]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32528"/>
        <c:crossesAt val="-3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Sheet2!$C$6:$C$14</c:f>
              <c:numCache>
                <c:formatCode>General</c:formatCode>
                <c:ptCount val="9"/>
                <c:pt idx="0">
                  <c:v>-98.4</c:v>
                </c:pt>
                <c:pt idx="1">
                  <c:v>-79</c:v>
                </c:pt>
                <c:pt idx="2">
                  <c:v>-119.6</c:v>
                </c:pt>
                <c:pt idx="3">
                  <c:v>-140.5</c:v>
                </c:pt>
                <c:pt idx="4">
                  <c:v>-160.80000000000001</c:v>
                </c:pt>
                <c:pt idx="5">
                  <c:v>-200.8</c:v>
                </c:pt>
                <c:pt idx="6">
                  <c:v>-221.1</c:v>
                </c:pt>
                <c:pt idx="7">
                  <c:v>-180.6</c:v>
                </c:pt>
                <c:pt idx="8">
                  <c:v>-238.3</c:v>
                </c:pt>
              </c:numCache>
            </c:numRef>
          </c:xVal>
          <c:yVal>
            <c:numRef>
              <c:f>Sheet2!$O$6:$O$14</c:f>
              <c:numCache>
                <c:formatCode>General</c:formatCode>
                <c:ptCount val="9"/>
                <c:pt idx="0">
                  <c:v>134.20473684210529</c:v>
                </c:pt>
                <c:pt idx="1">
                  <c:v>117.88105263157895</c:v>
                </c:pt>
                <c:pt idx="2">
                  <c:v>142.5594736842105</c:v>
                </c:pt>
                <c:pt idx="3">
                  <c:v>138.98368421052632</c:v>
                </c:pt>
                <c:pt idx="4">
                  <c:v>144.67473684210526</c:v>
                </c:pt>
                <c:pt idx="5">
                  <c:v>95.300526315789483</c:v>
                </c:pt>
                <c:pt idx="6">
                  <c:v>103.15807894736842</c:v>
                </c:pt>
                <c:pt idx="7">
                  <c:v>130.05052631578948</c:v>
                </c:pt>
                <c:pt idx="8">
                  <c:v>216.61578947368423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01-4174-9E75-83BBB7A27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0456"/>
        <c:axId val="629333240"/>
      </c:scatterChart>
      <c:valAx>
        <c:axId val="629340456"/>
        <c:scaling>
          <c:orientation val="minMax"/>
          <c:min val="-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Detector bias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33240"/>
        <c:crosses val="autoZero"/>
        <c:crossBetween val="midCat"/>
      </c:valAx>
      <c:valAx>
        <c:axId val="62933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Noise width [eVt]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40456"/>
        <c:crossesAt val="-3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Sheet2!$O$4</c:f>
              <c:strCache>
                <c:ptCount val="1"/>
                <c:pt idx="0">
                  <c:v>INT-linearized calibration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Sheet2!$C$5:$C$14</c:f>
              <c:numCache>
                <c:formatCode>General</c:formatCode>
                <c:ptCount val="10"/>
                <c:pt idx="0">
                  <c:v>0</c:v>
                </c:pt>
                <c:pt idx="1">
                  <c:v>-98.4</c:v>
                </c:pt>
                <c:pt idx="2">
                  <c:v>-79</c:v>
                </c:pt>
                <c:pt idx="3">
                  <c:v>-119.6</c:v>
                </c:pt>
                <c:pt idx="4">
                  <c:v>-140.5</c:v>
                </c:pt>
                <c:pt idx="5">
                  <c:v>-160.80000000000001</c:v>
                </c:pt>
                <c:pt idx="6">
                  <c:v>-200.8</c:v>
                </c:pt>
                <c:pt idx="7">
                  <c:v>-221.1</c:v>
                </c:pt>
                <c:pt idx="8">
                  <c:v>-180.6</c:v>
                </c:pt>
                <c:pt idx="9">
                  <c:v>-238.3</c:v>
                </c:pt>
              </c:numCache>
            </c:numRef>
          </c:xVal>
          <c:yVal>
            <c:numRef>
              <c:f>Sheet2!$O$5:$O$14</c:f>
              <c:numCache>
                <c:formatCode>General</c:formatCode>
                <c:ptCount val="10"/>
                <c:pt idx="0">
                  <c:v>102</c:v>
                </c:pt>
                <c:pt idx="1">
                  <c:v>134.20473684210529</c:v>
                </c:pt>
                <c:pt idx="2">
                  <c:v>117.88105263157895</c:v>
                </c:pt>
                <c:pt idx="3">
                  <c:v>142.5594736842105</c:v>
                </c:pt>
                <c:pt idx="4">
                  <c:v>138.98368421052632</c:v>
                </c:pt>
                <c:pt idx="5">
                  <c:v>144.67473684210526</c:v>
                </c:pt>
                <c:pt idx="6">
                  <c:v>95.300526315789483</c:v>
                </c:pt>
                <c:pt idx="7">
                  <c:v>103.15807894736842</c:v>
                </c:pt>
                <c:pt idx="8">
                  <c:v>130.05052631578948</c:v>
                </c:pt>
                <c:pt idx="9">
                  <c:v>216.61578947368423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E-43C7-A56F-8112442A2054}"/>
            </c:ext>
          </c:extLst>
        </c:ser>
        <c:ser>
          <c:idx val="1"/>
          <c:order val="1"/>
          <c:tx>
            <c:strRef>
              <c:f>Sheet2!$P$4</c:f>
              <c:strCache>
                <c:ptCount val="1"/>
                <c:pt idx="0">
                  <c:v>NTL-gain calibration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Sheet2!$C$5:$C$14</c:f>
              <c:numCache>
                <c:formatCode>General</c:formatCode>
                <c:ptCount val="10"/>
                <c:pt idx="0">
                  <c:v>0</c:v>
                </c:pt>
                <c:pt idx="1">
                  <c:v>-98.4</c:v>
                </c:pt>
                <c:pt idx="2">
                  <c:v>-79</c:v>
                </c:pt>
                <c:pt idx="3">
                  <c:v>-119.6</c:v>
                </c:pt>
                <c:pt idx="4">
                  <c:v>-140.5</c:v>
                </c:pt>
                <c:pt idx="5">
                  <c:v>-160.80000000000001</c:v>
                </c:pt>
                <c:pt idx="6">
                  <c:v>-200.8</c:v>
                </c:pt>
                <c:pt idx="7">
                  <c:v>-221.1</c:v>
                </c:pt>
                <c:pt idx="8">
                  <c:v>-180.6</c:v>
                </c:pt>
                <c:pt idx="9">
                  <c:v>-238.3</c:v>
                </c:pt>
              </c:numCache>
            </c:numRef>
          </c:xVal>
          <c:yVal>
            <c:numRef>
              <c:f>Sheet2!$P$5:$P$14</c:f>
              <c:numCache>
                <c:formatCode>General</c:formatCode>
                <c:ptCount val="10"/>
                <c:pt idx="0">
                  <c:v>102</c:v>
                </c:pt>
                <c:pt idx="1">
                  <c:v>146.57631578947371</c:v>
                </c:pt>
                <c:pt idx="2">
                  <c:v>139.45263157894738</c:v>
                </c:pt>
                <c:pt idx="3">
                  <c:v>158.14684210526315</c:v>
                </c:pt>
                <c:pt idx="4">
                  <c:v>173.91947368421052</c:v>
                </c:pt>
                <c:pt idx="5">
                  <c:v>168.49842105263158</c:v>
                </c:pt>
                <c:pt idx="6">
                  <c:v>155.60368421052632</c:v>
                </c:pt>
                <c:pt idx="7">
                  <c:v>153.28710526315788</c:v>
                </c:pt>
                <c:pt idx="8">
                  <c:v>172.75368421052633</c:v>
                </c:pt>
                <c:pt idx="9">
                  <c:v>252.93078947368426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BE-43C7-A56F-8112442A2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857352"/>
        <c:axId val="658857680"/>
      </c:scatterChart>
      <c:valAx>
        <c:axId val="658857352"/>
        <c:scaling>
          <c:orientation val="minMax"/>
          <c:max val="0"/>
          <c:min val="-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Detector bias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857680"/>
        <c:crosses val="autoZero"/>
        <c:crossBetween val="midCat"/>
      </c:valAx>
      <c:valAx>
        <c:axId val="6588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Noise width [eVt]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857352"/>
        <c:crossesAt val="-30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Noise width versus bias for SiHV prototypes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Sheet2!$C$45</c:f>
              <c:strCache>
                <c:ptCount val="1"/>
                <c:pt idx="0">
                  <c:v>S101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Sheet2!$B$46:$B$70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-29</c:v>
                </c:pt>
                <c:pt idx="3">
                  <c:v>-38</c:v>
                </c:pt>
                <c:pt idx="4">
                  <c:v>-48</c:v>
                </c:pt>
                <c:pt idx="5">
                  <c:v>-49</c:v>
                </c:pt>
                <c:pt idx="6">
                  <c:v>-64</c:v>
                </c:pt>
                <c:pt idx="7">
                  <c:v>-72</c:v>
                </c:pt>
                <c:pt idx="8">
                  <c:v>-73</c:v>
                </c:pt>
                <c:pt idx="9">
                  <c:v>-98</c:v>
                </c:pt>
                <c:pt idx="10">
                  <c:v>-121</c:v>
                </c:pt>
                <c:pt idx="11">
                  <c:v>-145</c:v>
                </c:pt>
                <c:pt idx="12">
                  <c:v>-170</c:v>
                </c:pt>
                <c:pt idx="13">
                  <c:v>-192</c:v>
                </c:pt>
                <c:pt idx="14">
                  <c:v>-211</c:v>
                </c:pt>
                <c:pt idx="15">
                  <c:v>0</c:v>
                </c:pt>
                <c:pt idx="16">
                  <c:v>-98.4</c:v>
                </c:pt>
                <c:pt idx="17">
                  <c:v>-79</c:v>
                </c:pt>
                <c:pt idx="18">
                  <c:v>-119.6</c:v>
                </c:pt>
                <c:pt idx="19">
                  <c:v>-140.5</c:v>
                </c:pt>
                <c:pt idx="20">
                  <c:v>-160.80000000000001</c:v>
                </c:pt>
                <c:pt idx="21">
                  <c:v>-200.8</c:v>
                </c:pt>
                <c:pt idx="22">
                  <c:v>-221.1</c:v>
                </c:pt>
                <c:pt idx="23">
                  <c:v>-180.6</c:v>
                </c:pt>
                <c:pt idx="24">
                  <c:v>-238.3</c:v>
                </c:pt>
              </c:numCache>
            </c:numRef>
          </c:xVal>
          <c:yVal>
            <c:numRef>
              <c:f>Sheet2!$C$46:$C$70</c:f>
              <c:numCache>
                <c:formatCode>General</c:formatCode>
                <c:ptCount val="25"/>
                <c:pt idx="0">
                  <c:v>140</c:v>
                </c:pt>
                <c:pt idx="1">
                  <c:v>197</c:v>
                </c:pt>
                <c:pt idx="2">
                  <c:v>180</c:v>
                </c:pt>
                <c:pt idx="3">
                  <c:v>196</c:v>
                </c:pt>
                <c:pt idx="4">
                  <c:v>197</c:v>
                </c:pt>
                <c:pt idx="5">
                  <c:v>206</c:v>
                </c:pt>
                <c:pt idx="6">
                  <c:v>235</c:v>
                </c:pt>
                <c:pt idx="7">
                  <c:v>205</c:v>
                </c:pt>
                <c:pt idx="8">
                  <c:v>305</c:v>
                </c:pt>
                <c:pt idx="9">
                  <c:v>375</c:v>
                </c:pt>
                <c:pt idx="10">
                  <c:v>425</c:v>
                </c:pt>
                <c:pt idx="11">
                  <c:v>573</c:v>
                </c:pt>
                <c:pt idx="12">
                  <c:v>590</c:v>
                </c:pt>
                <c:pt idx="13">
                  <c:v>1010</c:v>
                </c:pt>
                <c:pt idx="14">
                  <c:v>1655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8-49B9-A278-1CAC1EBBE758}"/>
            </c:ext>
          </c:extLst>
        </c:ser>
        <c:ser>
          <c:idx val="1"/>
          <c:order val="1"/>
          <c:tx>
            <c:strRef>
              <c:f>Sheet2!$D$45</c:f>
              <c:strCache>
                <c:ptCount val="1"/>
                <c:pt idx="0">
                  <c:v>S104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Sheet2!$B$46:$B$70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-29</c:v>
                </c:pt>
                <c:pt idx="3">
                  <c:v>-38</c:v>
                </c:pt>
                <c:pt idx="4">
                  <c:v>-48</c:v>
                </c:pt>
                <c:pt idx="5">
                  <c:v>-49</c:v>
                </c:pt>
                <c:pt idx="6">
                  <c:v>-64</c:v>
                </c:pt>
                <c:pt idx="7">
                  <c:v>-72</c:v>
                </c:pt>
                <c:pt idx="8">
                  <c:v>-73</c:v>
                </c:pt>
                <c:pt idx="9">
                  <c:v>-98</c:v>
                </c:pt>
                <c:pt idx="10">
                  <c:v>-121</c:v>
                </c:pt>
                <c:pt idx="11">
                  <c:v>-145</c:v>
                </c:pt>
                <c:pt idx="12">
                  <c:v>-170</c:v>
                </c:pt>
                <c:pt idx="13">
                  <c:v>-192</c:v>
                </c:pt>
                <c:pt idx="14">
                  <c:v>-211</c:v>
                </c:pt>
                <c:pt idx="15">
                  <c:v>0</c:v>
                </c:pt>
                <c:pt idx="16">
                  <c:v>-98.4</c:v>
                </c:pt>
                <c:pt idx="17">
                  <c:v>-79</c:v>
                </c:pt>
                <c:pt idx="18">
                  <c:v>-119.6</c:v>
                </c:pt>
                <c:pt idx="19">
                  <c:v>-140.5</c:v>
                </c:pt>
                <c:pt idx="20">
                  <c:v>-160.80000000000001</c:v>
                </c:pt>
                <c:pt idx="21">
                  <c:v>-200.8</c:v>
                </c:pt>
                <c:pt idx="22">
                  <c:v>-221.1</c:v>
                </c:pt>
                <c:pt idx="23">
                  <c:v>-180.6</c:v>
                </c:pt>
                <c:pt idx="24">
                  <c:v>-238.3</c:v>
                </c:pt>
              </c:numCache>
            </c:numRef>
          </c:xVal>
          <c:yVal>
            <c:numRef>
              <c:f>Sheet2!$D$46:$D$70</c:f>
              <c:numCache>
                <c:formatCode>General</c:formatCode>
                <c:ptCount val="25"/>
                <c:pt idx="15">
                  <c:v>102</c:v>
                </c:pt>
                <c:pt idx="16">
                  <c:v>146.57631578947371</c:v>
                </c:pt>
                <c:pt idx="17">
                  <c:v>139.45263157894738</c:v>
                </c:pt>
                <c:pt idx="18">
                  <c:v>158.14684210526315</c:v>
                </c:pt>
                <c:pt idx="19">
                  <c:v>173.91947368421052</c:v>
                </c:pt>
                <c:pt idx="20">
                  <c:v>168.49842105263158</c:v>
                </c:pt>
                <c:pt idx="21">
                  <c:v>155.60368421052632</c:v>
                </c:pt>
                <c:pt idx="22">
                  <c:v>153.28710526315788</c:v>
                </c:pt>
                <c:pt idx="23">
                  <c:v>172.75368421052633</c:v>
                </c:pt>
                <c:pt idx="24">
                  <c:v>252.93078947368426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68-49B9-A278-1CAC1EBBE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569456"/>
        <c:axId val="1172567376"/>
      </c:scatterChart>
      <c:valAx>
        <c:axId val="1172569456"/>
        <c:scaling>
          <c:orientation val="minMax"/>
          <c:min val="-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Detector bias on non-readout side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567376"/>
        <c:crosses val="autoZero"/>
        <c:crossBetween val="midCat"/>
      </c:valAx>
      <c:valAx>
        <c:axId val="117256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sigma_pt [eV]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569456"/>
        <c:crossesAt val="-25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9</xdr:row>
      <xdr:rowOff>104775</xdr:rowOff>
    </xdr:from>
    <xdr:to>
      <xdr:col>19</xdr:col>
      <xdr:colOff>457199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12</xdr:row>
      <xdr:rowOff>114300</xdr:rowOff>
    </xdr:from>
    <xdr:to>
      <xdr:col>16</xdr:col>
      <xdr:colOff>214312</xdr:colOff>
      <xdr:row>28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26</xdr:row>
      <xdr:rowOff>9525</xdr:rowOff>
    </xdr:from>
    <xdr:to>
      <xdr:col>12</xdr:col>
      <xdr:colOff>19050</xdr:colOff>
      <xdr:row>40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162877</xdr:colOff>
      <xdr:row>33</xdr:row>
      <xdr:rowOff>87630</xdr:rowOff>
    </xdr:from>
    <xdr:to>
      <xdr:col>17</xdr:col>
      <xdr:colOff>1759267</xdr:colOff>
      <xdr:row>50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304800</xdr:colOff>
      <xdr:row>46</xdr:row>
      <xdr:rowOff>121920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9547E11C-9E5E-20B2-C561-F543913A714C}"/>
            </a:ext>
          </a:extLst>
        </xdr:cNvPr>
        <xdr:cNvSpPr>
          <a:spLocks noChangeAspect="1" noChangeArrowheads="1"/>
        </xdr:cNvSpPr>
      </xdr:nvSpPr>
      <xdr:spPr bwMode="auto">
        <a:xfrm>
          <a:off x="0" y="82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373380</xdr:colOff>
      <xdr:row>48</xdr:row>
      <xdr:rowOff>144780</xdr:rowOff>
    </xdr:from>
    <xdr:to>
      <xdr:col>16</xdr:col>
      <xdr:colOff>114300</xdr:colOff>
      <xdr:row>69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C9EC32-FDA8-9A61-837A-7CC95E808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workbookViewId="0">
      <selection activeCell="B11" sqref="B11"/>
    </sheetView>
  </sheetViews>
  <sheetFormatPr defaultRowHeight="14.4" x14ac:dyDescent="0.3"/>
  <sheetData>
    <row r="1" spans="1:9" x14ac:dyDescent="0.3">
      <c r="A1" s="1">
        <v>-98.4</v>
      </c>
      <c r="B1" s="1">
        <v>4.99</v>
      </c>
    </row>
    <row r="2" spans="1:9" x14ac:dyDescent="0.3">
      <c r="A2" s="1">
        <v>-79</v>
      </c>
      <c r="B2" s="1">
        <v>5.41</v>
      </c>
    </row>
    <row r="3" spans="1:9" x14ac:dyDescent="0.3">
      <c r="A3" s="1">
        <v>-119.6</v>
      </c>
      <c r="B3" s="1">
        <v>4.3899999999999997</v>
      </c>
      <c r="G3">
        <f>0.0083*PI()/2</f>
        <v>1.3037609512397642E-2</v>
      </c>
    </row>
    <row r="4" spans="1:9" x14ac:dyDescent="0.3">
      <c r="A4" s="1">
        <v>-140.5</v>
      </c>
      <c r="B4" s="1">
        <v>3.66</v>
      </c>
      <c r="G4">
        <f>G3/4</f>
        <v>3.2594023780994105E-3</v>
      </c>
    </row>
    <row r="5" spans="1:9" x14ac:dyDescent="0.3">
      <c r="A5" s="1">
        <v>-160.80000000000001</v>
      </c>
      <c r="B5" s="1">
        <v>3.34</v>
      </c>
    </row>
    <row r="6" spans="1:9" x14ac:dyDescent="0.3">
      <c r="A6" s="1">
        <v>-180.5</v>
      </c>
      <c r="B6" s="1">
        <v>3.8</v>
      </c>
      <c r="G6">
        <v>40.4</v>
      </c>
      <c r="I6">
        <f>G6*G8*2*G4</f>
        <v>30.023007185149286</v>
      </c>
    </row>
    <row r="7" spans="1:9" x14ac:dyDescent="0.3">
      <c r="A7" s="1">
        <v>-200.8</v>
      </c>
      <c r="B7" s="1">
        <v>1.77</v>
      </c>
      <c r="G7">
        <v>10.199999999999999</v>
      </c>
      <c r="I7">
        <f>G7*G8*2*G4</f>
        <v>7.5800661705079886</v>
      </c>
    </row>
    <row r="8" spans="1:9" x14ac:dyDescent="0.3">
      <c r="A8" s="1">
        <v>-221.1</v>
      </c>
      <c r="B8" s="1">
        <v>1.7430000000000001</v>
      </c>
      <c r="G8">
        <f>5.7*20</f>
        <v>114</v>
      </c>
      <c r="I8">
        <f>G6*G7*G3</f>
        <v>5.37253812786882</v>
      </c>
    </row>
    <row r="9" spans="1:9" x14ac:dyDescent="0.3">
      <c r="A9" s="1">
        <v>-180.6</v>
      </c>
      <c r="B9" s="1">
        <v>2.68</v>
      </c>
      <c r="I9">
        <f>SUM(I6:I8)</f>
        <v>42.975611483526095</v>
      </c>
    </row>
    <row r="10" spans="1:9" x14ac:dyDescent="0.3">
      <c r="A10" s="1">
        <v>-238.3</v>
      </c>
      <c r="B10" s="1">
        <v>3.4</v>
      </c>
    </row>
    <row r="14" spans="1:9" x14ac:dyDescent="0.3">
      <c r="A14" s="1">
        <v>-98.4</v>
      </c>
      <c r="B14" s="1" t="s">
        <v>0</v>
      </c>
      <c r="C14" s="1" t="s">
        <v>1</v>
      </c>
      <c r="D14" s="1">
        <v>61</v>
      </c>
      <c r="E14" s="1"/>
      <c r="F14" s="1">
        <v>4.99</v>
      </c>
    </row>
    <row r="15" spans="1:9" x14ac:dyDescent="0.3">
      <c r="A15" s="1">
        <v>-79</v>
      </c>
      <c r="B15" s="1" t="s">
        <v>0</v>
      </c>
      <c r="C15" s="1" t="s">
        <v>1</v>
      </c>
      <c r="D15" s="1">
        <v>50</v>
      </c>
      <c r="E15" s="1"/>
      <c r="F15" s="1">
        <v>5.41</v>
      </c>
    </row>
    <row r="16" spans="1:9" x14ac:dyDescent="0.3">
      <c r="A16" s="1">
        <v>-119.6</v>
      </c>
      <c r="B16" s="1" t="s">
        <v>0</v>
      </c>
      <c r="C16" s="1" t="s">
        <v>1</v>
      </c>
      <c r="D16" s="1">
        <v>57</v>
      </c>
      <c r="E16" s="1"/>
      <c r="F16" s="1">
        <v>4.3899999999999997</v>
      </c>
    </row>
    <row r="17" spans="1:6" x14ac:dyDescent="0.3">
      <c r="A17" s="1">
        <v>-140.5</v>
      </c>
      <c r="B17" s="1" t="s">
        <v>0</v>
      </c>
      <c r="C17" s="1" t="s">
        <v>1</v>
      </c>
      <c r="D17" s="1">
        <v>57</v>
      </c>
      <c r="E17" s="1"/>
      <c r="F17" s="1">
        <v>3.66</v>
      </c>
    </row>
    <row r="18" spans="1:6" x14ac:dyDescent="0.3">
      <c r="A18" s="1">
        <v>-160.80000000000001</v>
      </c>
      <c r="B18" s="1" t="s">
        <v>0</v>
      </c>
      <c r="C18" s="1" t="s">
        <v>1</v>
      </c>
      <c r="D18" s="1">
        <v>60</v>
      </c>
      <c r="E18" s="1"/>
      <c r="F18" s="1">
        <v>3.34</v>
      </c>
    </row>
    <row r="19" spans="1:6" x14ac:dyDescent="0.3">
      <c r="A19" s="1">
        <v>-180.5</v>
      </c>
      <c r="B19" s="1" t="s">
        <v>0</v>
      </c>
      <c r="C19" s="1" t="s">
        <v>1</v>
      </c>
      <c r="D19" s="1">
        <v>56</v>
      </c>
      <c r="E19" s="1"/>
      <c r="F19" s="1">
        <v>3.8</v>
      </c>
    </row>
    <row r="20" spans="1:6" x14ac:dyDescent="0.3">
      <c r="A20" s="1">
        <v>-200.8</v>
      </c>
      <c r="B20" s="1" t="s">
        <v>0</v>
      </c>
      <c r="C20" s="1" t="s">
        <v>1</v>
      </c>
      <c r="D20" s="1">
        <v>53</v>
      </c>
      <c r="E20" s="1"/>
      <c r="F20" s="1" t="s">
        <v>2</v>
      </c>
    </row>
    <row r="21" spans="1:6" x14ac:dyDescent="0.3">
      <c r="A21" s="1">
        <v>-221.1</v>
      </c>
      <c r="B21" s="1" t="s">
        <v>0</v>
      </c>
      <c r="C21" s="1" t="s">
        <v>1</v>
      </c>
      <c r="D21" s="1">
        <v>58</v>
      </c>
      <c r="E21" s="1"/>
      <c r="F21" s="1" t="s">
        <v>3</v>
      </c>
    </row>
    <row r="22" spans="1:6" x14ac:dyDescent="0.3">
      <c r="A22" s="1">
        <v>-180.6</v>
      </c>
      <c r="B22" s="1" t="s">
        <v>0</v>
      </c>
      <c r="C22" s="1" t="s">
        <v>1</v>
      </c>
      <c r="D22" s="1">
        <v>54</v>
      </c>
      <c r="E22" s="1"/>
      <c r="F22" s="1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0"/>
  <sheetViews>
    <sheetView tabSelected="1" topLeftCell="A43" workbookViewId="0">
      <selection activeCell="R59" sqref="R59"/>
    </sheetView>
  </sheetViews>
  <sheetFormatPr defaultRowHeight="14.4" x14ac:dyDescent="0.3"/>
  <cols>
    <col min="1" max="1" width="14.109375" bestFit="1" customWidth="1"/>
    <col min="2" max="2" width="5.88671875" bestFit="1" customWidth="1"/>
    <col min="3" max="3" width="6.6640625" bestFit="1" customWidth="1"/>
    <col min="4" max="4" width="6.6640625" customWidth="1"/>
    <col min="5" max="5" width="5.109375" bestFit="1" customWidth="1"/>
    <col min="6" max="6" width="11.33203125" bestFit="1" customWidth="1"/>
    <col min="7" max="8" width="6" bestFit="1" customWidth="1"/>
    <col min="9" max="9" width="10.33203125" bestFit="1" customWidth="1"/>
    <col min="17" max="17" width="8.33203125" bestFit="1" customWidth="1"/>
    <col min="18" max="18" width="63" bestFit="1" customWidth="1"/>
    <col min="19" max="19" width="66.6640625" bestFit="1" customWidth="1"/>
  </cols>
  <sheetData>
    <row r="1" spans="1:20" x14ac:dyDescent="0.3">
      <c r="E1" t="s">
        <v>17</v>
      </c>
      <c r="F1" t="s">
        <v>19</v>
      </c>
      <c r="G1" t="s">
        <v>20</v>
      </c>
      <c r="H1" t="s">
        <v>21</v>
      </c>
      <c r="I1" t="s">
        <v>22</v>
      </c>
      <c r="J1" t="s">
        <v>20</v>
      </c>
      <c r="K1" t="s">
        <v>21</v>
      </c>
      <c r="L1" t="s">
        <v>25</v>
      </c>
      <c r="N1" t="s">
        <v>24</v>
      </c>
      <c r="O1" t="s">
        <v>26</v>
      </c>
    </row>
    <row r="2" spans="1:20" x14ac:dyDescent="0.3">
      <c r="A2" s="1" t="s">
        <v>5</v>
      </c>
      <c r="B2" s="1" t="s">
        <v>6</v>
      </c>
      <c r="C2" s="1">
        <v>0</v>
      </c>
      <c r="D2" s="1">
        <v>40</v>
      </c>
      <c r="E2">
        <v>2850</v>
      </c>
      <c r="F2" t="s">
        <v>18</v>
      </c>
      <c r="G2">
        <v>0.23</v>
      </c>
      <c r="H2">
        <v>0.255</v>
      </c>
      <c r="I2" t="s">
        <v>23</v>
      </c>
      <c r="J2" s="2">
        <v>2.9499999999999998E-7</v>
      </c>
      <c r="K2" s="2">
        <v>3.5499999999999999E-7</v>
      </c>
      <c r="L2" s="1">
        <v>102</v>
      </c>
      <c r="M2" s="1"/>
      <c r="N2">
        <f>1+ABS(C2)/3.8</f>
        <v>1</v>
      </c>
      <c r="O2">
        <f>N2*L2</f>
        <v>102</v>
      </c>
      <c r="P2">
        <v>102</v>
      </c>
      <c r="Q2" s="2">
        <v>3.2648499999999998E-7</v>
      </c>
      <c r="R2" s="2"/>
      <c r="S2" t="s">
        <v>27</v>
      </c>
    </row>
    <row r="3" spans="1:20" x14ac:dyDescent="0.3">
      <c r="A3" s="1"/>
      <c r="B3" s="1"/>
      <c r="C3" s="1"/>
      <c r="D3" s="1"/>
      <c r="J3" s="2"/>
      <c r="K3" s="2"/>
      <c r="L3" s="1"/>
      <c r="M3" s="1"/>
      <c r="Q3" s="2"/>
      <c r="R3" s="2"/>
    </row>
    <row r="4" spans="1:20" x14ac:dyDescent="0.3">
      <c r="A4" s="1"/>
      <c r="B4" s="1"/>
      <c r="C4" s="1" t="s">
        <v>45</v>
      </c>
      <c r="D4" s="1"/>
      <c r="J4" s="2"/>
      <c r="K4" s="2"/>
      <c r="L4" t="s">
        <v>43</v>
      </c>
      <c r="M4" t="s">
        <v>44</v>
      </c>
      <c r="O4" t="s">
        <v>43</v>
      </c>
      <c r="P4" t="s">
        <v>44</v>
      </c>
      <c r="Q4" s="2"/>
      <c r="R4" s="2"/>
    </row>
    <row r="5" spans="1:20" x14ac:dyDescent="0.3">
      <c r="A5" s="1" t="s">
        <v>5</v>
      </c>
      <c r="B5" s="1" t="s">
        <v>6</v>
      </c>
      <c r="C5" s="1">
        <v>0</v>
      </c>
      <c r="D5" s="1">
        <v>40</v>
      </c>
      <c r="E5">
        <v>2850</v>
      </c>
      <c r="F5" t="s">
        <v>18</v>
      </c>
      <c r="G5">
        <v>0.23</v>
      </c>
      <c r="H5">
        <v>0.255</v>
      </c>
      <c r="I5" t="s">
        <v>23</v>
      </c>
      <c r="J5" s="2">
        <v>2.9499999999999998E-7</v>
      </c>
      <c r="K5" s="2">
        <v>3.5499999999999999E-7</v>
      </c>
      <c r="L5" s="1">
        <v>102</v>
      </c>
      <c r="M5" s="1"/>
      <c r="N5">
        <f>1+ABS(C5)/3.8</f>
        <v>1</v>
      </c>
      <c r="O5">
        <f>N5*L5</f>
        <v>102</v>
      </c>
      <c r="P5">
        <v>102</v>
      </c>
      <c r="Q5" s="2">
        <v>3.2648499999999998E-7</v>
      </c>
      <c r="R5" s="2"/>
      <c r="S5" t="s">
        <v>27</v>
      </c>
    </row>
    <row r="6" spans="1:20" x14ac:dyDescent="0.3">
      <c r="A6" s="1" t="s">
        <v>7</v>
      </c>
      <c r="B6" s="1" t="s">
        <v>6</v>
      </c>
      <c r="C6" s="1">
        <v>-98.4</v>
      </c>
      <c r="D6" s="1">
        <v>61</v>
      </c>
      <c r="E6">
        <v>3350</v>
      </c>
      <c r="F6" t="s">
        <v>28</v>
      </c>
      <c r="G6">
        <v>0.19</v>
      </c>
      <c r="H6">
        <v>0.215</v>
      </c>
      <c r="I6" t="s">
        <v>29</v>
      </c>
      <c r="J6" s="2">
        <v>2.7999999999999998E-4</v>
      </c>
      <c r="K6" s="2">
        <v>3.1E-4</v>
      </c>
      <c r="L6" s="1">
        <v>4.99</v>
      </c>
      <c r="M6" s="1">
        <v>5.45</v>
      </c>
      <c r="N6">
        <f t="shared" ref="N6:N17" si="0">1+ABS(C6)/3.8</f>
        <v>26.894736842105267</v>
      </c>
      <c r="O6">
        <f>N6*L6</f>
        <v>134.20473684210529</v>
      </c>
      <c r="P6">
        <f>M6*N6</f>
        <v>146.57631578947371</v>
      </c>
      <c r="Q6" s="2">
        <f t="shared" ref="Q6:Q14" si="1">Q$2*N6</f>
        <v>8.7807281578947379E-6</v>
      </c>
      <c r="R6" s="2" t="str">
        <f>"z-&gt;SetAlias(""PTOF0keV"",""PTOFamps0*13.95/"&amp;Q6&amp;""")"</f>
        <v>z-&gt;SetAlias("PTOF0keV","PTOFamps0*13.95/8.78072815789474E-06")</v>
      </c>
      <c r="S6" t="s">
        <v>30</v>
      </c>
      <c r="T6" t="s">
        <v>31</v>
      </c>
    </row>
    <row r="7" spans="1:20" x14ac:dyDescent="0.3">
      <c r="A7" s="1" t="s">
        <v>8</v>
      </c>
      <c r="B7" s="1" t="s">
        <v>6</v>
      </c>
      <c r="C7" s="1">
        <v>-79</v>
      </c>
      <c r="D7" s="1">
        <v>50</v>
      </c>
      <c r="L7" s="1">
        <v>5.41</v>
      </c>
      <c r="M7" s="1">
        <v>6.4</v>
      </c>
      <c r="N7">
        <f t="shared" si="0"/>
        <v>21.789473684210527</v>
      </c>
      <c r="O7">
        <f t="shared" ref="O7:O14" si="2">N7*L7</f>
        <v>117.88105263157895</v>
      </c>
      <c r="P7">
        <f t="shared" ref="P7:P17" si="3">M7*N7</f>
        <v>139.45263157894738</v>
      </c>
      <c r="Q7" s="2">
        <f t="shared" si="1"/>
        <v>7.1139363157894731E-6</v>
      </c>
      <c r="R7" s="2" t="str">
        <f t="shared" ref="R7:R17" si="4">"z-&gt;SetAlias(""PTOF0keV"",""PTOFamps0*13.95/"&amp;Q7&amp;""")"</f>
        <v>z-&gt;SetAlias("PTOF0keV","PTOFamps0*13.95/7.11393631578947E-06")</v>
      </c>
    </row>
    <row r="8" spans="1:20" x14ac:dyDescent="0.3">
      <c r="A8" s="1" t="s">
        <v>9</v>
      </c>
      <c r="B8" s="1" t="s">
        <v>6</v>
      </c>
      <c r="C8" s="1">
        <v>-119.6</v>
      </c>
      <c r="D8" s="1">
        <v>57</v>
      </c>
      <c r="L8" s="1">
        <v>4.3899999999999997</v>
      </c>
      <c r="M8" s="1">
        <v>4.87</v>
      </c>
      <c r="N8">
        <f t="shared" si="0"/>
        <v>32.473684210526315</v>
      </c>
      <c r="O8">
        <f t="shared" si="2"/>
        <v>142.5594736842105</v>
      </c>
      <c r="P8">
        <f t="shared" si="3"/>
        <v>158.14684210526315</v>
      </c>
      <c r="Q8" s="2">
        <f t="shared" si="1"/>
        <v>1.0602170789473683E-5</v>
      </c>
      <c r="R8" s="2" t="str">
        <f t="shared" si="4"/>
        <v>z-&gt;SetAlias("PTOF0keV","PTOFamps0*13.95/1.06021707894737E-05")</v>
      </c>
    </row>
    <row r="9" spans="1:20" x14ac:dyDescent="0.3">
      <c r="A9" s="1" t="s">
        <v>10</v>
      </c>
      <c r="B9" s="1" t="s">
        <v>6</v>
      </c>
      <c r="C9" s="1">
        <v>-140.5</v>
      </c>
      <c r="D9" s="1">
        <v>57</v>
      </c>
      <c r="L9" s="1">
        <v>3.66</v>
      </c>
      <c r="M9" s="1">
        <v>4.58</v>
      </c>
      <c r="N9">
        <f t="shared" si="0"/>
        <v>37.973684210526315</v>
      </c>
      <c r="O9">
        <f t="shared" si="2"/>
        <v>138.98368421052632</v>
      </c>
      <c r="P9">
        <f t="shared" si="3"/>
        <v>173.91947368421052</v>
      </c>
      <c r="Q9" s="2">
        <f t="shared" si="1"/>
        <v>1.2397838289473683E-5</v>
      </c>
      <c r="R9" s="2" t="str">
        <f t="shared" si="4"/>
        <v>z-&gt;SetAlias("PTOF0keV","PTOFamps0*13.95/1.23978382894737E-05")</v>
      </c>
    </row>
    <row r="10" spans="1:20" x14ac:dyDescent="0.3">
      <c r="A10" s="1" t="s">
        <v>11</v>
      </c>
      <c r="B10" s="1" t="s">
        <v>6</v>
      </c>
      <c r="C10" s="1">
        <v>-160.80000000000001</v>
      </c>
      <c r="D10" s="1">
        <v>60</v>
      </c>
      <c r="L10" s="1">
        <v>3.34</v>
      </c>
      <c r="M10" s="1">
        <v>3.89</v>
      </c>
      <c r="N10">
        <f t="shared" si="0"/>
        <v>43.315789473684212</v>
      </c>
      <c r="O10">
        <f t="shared" si="2"/>
        <v>144.67473684210526</v>
      </c>
      <c r="P10">
        <f t="shared" si="3"/>
        <v>168.49842105263158</v>
      </c>
      <c r="Q10" s="2">
        <f t="shared" si="1"/>
        <v>1.4141955526315788E-5</v>
      </c>
      <c r="R10" s="2" t="str">
        <f t="shared" si="4"/>
        <v>z-&gt;SetAlias("PTOF0keV","PTOFamps0*13.95/1.41419555263158E-05")</v>
      </c>
    </row>
    <row r="11" spans="1:20" x14ac:dyDescent="0.3">
      <c r="A11" s="1" t="s">
        <v>13</v>
      </c>
      <c r="B11" s="1" t="s">
        <v>6</v>
      </c>
      <c r="C11" s="1">
        <v>-200.8</v>
      </c>
      <c r="D11" s="1">
        <v>53</v>
      </c>
      <c r="L11" s="1">
        <v>1.77</v>
      </c>
      <c r="M11" s="1">
        <v>2.89</v>
      </c>
      <c r="N11">
        <f t="shared" si="0"/>
        <v>53.842105263157897</v>
      </c>
      <c r="O11">
        <f t="shared" si="2"/>
        <v>95.300526315789483</v>
      </c>
      <c r="P11">
        <f t="shared" si="3"/>
        <v>155.60368421052632</v>
      </c>
      <c r="Q11" s="2">
        <f t="shared" si="1"/>
        <v>1.7578639736842104E-5</v>
      </c>
      <c r="R11" s="2" t="str">
        <f t="shared" si="4"/>
        <v>z-&gt;SetAlias("PTOF0keV","PTOFamps0*13.95/1.75786397368421E-05")</v>
      </c>
    </row>
    <row r="12" spans="1:20" x14ac:dyDescent="0.3">
      <c r="A12" s="1" t="s">
        <v>14</v>
      </c>
      <c r="B12" s="1" t="s">
        <v>6</v>
      </c>
      <c r="C12" s="1">
        <v>-221.1</v>
      </c>
      <c r="D12" s="1">
        <v>58</v>
      </c>
      <c r="L12" s="1">
        <v>1.7430000000000001</v>
      </c>
      <c r="M12" s="1">
        <v>2.59</v>
      </c>
      <c r="N12">
        <f t="shared" si="0"/>
        <v>59.184210526315788</v>
      </c>
      <c r="O12">
        <f t="shared" si="2"/>
        <v>103.15807894736842</v>
      </c>
      <c r="P12">
        <f t="shared" si="3"/>
        <v>153.28710526315788</v>
      </c>
      <c r="Q12" s="2">
        <f t="shared" si="1"/>
        <v>1.9322756973684207E-5</v>
      </c>
      <c r="R12" s="2" t="str">
        <f t="shared" si="4"/>
        <v>z-&gt;SetAlias("PTOF0keV","PTOFamps0*13.95/1.93227569736842E-05")</v>
      </c>
    </row>
    <row r="13" spans="1:20" x14ac:dyDescent="0.3">
      <c r="A13" s="1" t="s">
        <v>15</v>
      </c>
      <c r="B13" s="1" t="s">
        <v>6</v>
      </c>
      <c r="C13" s="1">
        <v>-180.6</v>
      </c>
      <c r="D13" s="1">
        <v>54</v>
      </c>
      <c r="L13" s="1">
        <v>2.68</v>
      </c>
      <c r="M13" s="1">
        <v>3.56</v>
      </c>
      <c r="N13">
        <f t="shared" si="0"/>
        <v>48.526315789473685</v>
      </c>
      <c r="O13">
        <f t="shared" si="2"/>
        <v>130.05052631578948</v>
      </c>
      <c r="P13">
        <f t="shared" si="3"/>
        <v>172.75368421052633</v>
      </c>
      <c r="Q13" s="2">
        <f t="shared" si="1"/>
        <v>1.5843114210526315E-5</v>
      </c>
      <c r="R13" s="2" t="str">
        <f t="shared" si="4"/>
        <v>z-&gt;SetAlias("PTOF0keV","PTOFamps0*13.95/1.58431142105263E-05")</v>
      </c>
    </row>
    <row r="14" spans="1:20" x14ac:dyDescent="0.3">
      <c r="A14" s="1" t="s">
        <v>16</v>
      </c>
      <c r="B14" s="1" t="s">
        <v>6</v>
      </c>
      <c r="C14" s="1">
        <v>-238.3</v>
      </c>
      <c r="D14" s="1">
        <v>57</v>
      </c>
      <c r="L14" s="1">
        <v>3.4</v>
      </c>
      <c r="M14" s="1">
        <v>3.97</v>
      </c>
      <c r="N14">
        <f t="shared" si="0"/>
        <v>63.71052631578948</v>
      </c>
      <c r="O14">
        <f t="shared" si="2"/>
        <v>216.61578947368423</v>
      </c>
      <c r="P14">
        <f t="shared" si="3"/>
        <v>252.93078947368426</v>
      </c>
      <c r="Q14" s="2">
        <f t="shared" si="1"/>
        <v>2.0800531184210526E-5</v>
      </c>
      <c r="R14" s="2" t="str">
        <f t="shared" si="4"/>
        <v>z-&gt;SetAlias("PTOF0keV","PTOFamps0*13.95/2.08005311842105E-05")</v>
      </c>
    </row>
    <row r="15" spans="1:20" x14ac:dyDescent="0.3">
      <c r="A15" s="1"/>
      <c r="B15" s="1"/>
      <c r="C15" s="1"/>
      <c r="D15" s="1"/>
      <c r="L15" s="1"/>
      <c r="M15" s="1"/>
      <c r="Q15" s="2"/>
      <c r="R15" s="2"/>
    </row>
    <row r="16" spans="1:20" x14ac:dyDescent="0.3">
      <c r="A16" s="1" t="s">
        <v>46</v>
      </c>
      <c r="B16" s="1" t="s">
        <v>6</v>
      </c>
      <c r="C16" s="1">
        <v>0</v>
      </c>
      <c r="D16" s="1">
        <v>62</v>
      </c>
      <c r="E16">
        <v>2900</v>
      </c>
      <c r="F16" t="s">
        <v>18</v>
      </c>
      <c r="G16">
        <v>0.20499999999999999</v>
      </c>
      <c r="H16">
        <v>0.25</v>
      </c>
      <c r="I16" t="s">
        <v>23</v>
      </c>
      <c r="M16" s="1">
        <v>120.5</v>
      </c>
      <c r="N16">
        <f t="shared" si="0"/>
        <v>1</v>
      </c>
      <c r="O16">
        <v>120.5</v>
      </c>
      <c r="P16">
        <f t="shared" si="3"/>
        <v>120.5</v>
      </c>
      <c r="Q16" s="2">
        <v>3.8778899999999998E-7</v>
      </c>
      <c r="R16" s="2" t="str">
        <f t="shared" si="4"/>
        <v>z-&gt;SetAlias("PTOF0keV","PTOFamps0*13.95/0.000000387789")</v>
      </c>
    </row>
    <row r="17" spans="1:18" x14ac:dyDescent="0.3">
      <c r="A17" s="1" t="s">
        <v>47</v>
      </c>
      <c r="B17" s="1" t="s">
        <v>6</v>
      </c>
      <c r="C17" s="1">
        <v>-195.6</v>
      </c>
      <c r="D17" s="1">
        <v>67</v>
      </c>
      <c r="E17" s="1"/>
      <c r="F17" s="1"/>
      <c r="M17" s="1">
        <v>3.05</v>
      </c>
      <c r="N17">
        <f t="shared" si="0"/>
        <v>52.473684210526315</v>
      </c>
      <c r="P17">
        <f t="shared" si="3"/>
        <v>160.04473684210524</v>
      </c>
      <c r="Q17" s="2">
        <f>Q$16*N17</f>
        <v>2.0348717526315787E-5</v>
      </c>
      <c r="R17" s="2" t="str">
        <f t="shared" si="4"/>
        <v>z-&gt;SetAlias("PTOF0keV","PTOFamps0*13.95/2.03487175263158E-05")</v>
      </c>
    </row>
    <row r="19" spans="1:18" x14ac:dyDescent="0.3">
      <c r="A19" s="1" t="s">
        <v>12</v>
      </c>
      <c r="B19" s="1" t="s">
        <v>6</v>
      </c>
      <c r="C19" s="1">
        <v>-180.5</v>
      </c>
      <c r="D19" s="1">
        <v>56</v>
      </c>
      <c r="L19" s="1">
        <v>3.8</v>
      </c>
      <c r="M19" s="1"/>
      <c r="N19">
        <f t="shared" ref="N19" si="5">1+ABS(C19)/3.8</f>
        <v>48.5</v>
      </c>
      <c r="O19">
        <f t="shared" ref="O19" si="6">N19*L19</f>
        <v>184.29999999999998</v>
      </c>
    </row>
    <row r="21" spans="1:18" x14ac:dyDescent="0.3">
      <c r="R21" t="s">
        <v>40</v>
      </c>
    </row>
    <row r="22" spans="1:18" x14ac:dyDescent="0.3">
      <c r="R22" t="s">
        <v>41</v>
      </c>
    </row>
    <row r="23" spans="1:18" x14ac:dyDescent="0.3">
      <c r="R23" t="s">
        <v>32</v>
      </c>
    </row>
    <row r="24" spans="1:18" x14ac:dyDescent="0.3">
      <c r="R24" t="str">
        <f>"char* ser = """&amp;A17&amp;""""</f>
        <v>char* ser = "07220510_1115"</v>
      </c>
    </row>
    <row r="25" spans="1:18" x14ac:dyDescent="0.3">
      <c r="R25" t="s">
        <v>33</v>
      </c>
    </row>
    <row r="26" spans="1:18" x14ac:dyDescent="0.3">
      <c r="R26" t="s">
        <v>34</v>
      </c>
    </row>
    <row r="27" spans="1:18" x14ac:dyDescent="0.3">
      <c r="R27" t="s">
        <v>35</v>
      </c>
    </row>
    <row r="28" spans="1:18" x14ac:dyDescent="0.3">
      <c r="A28" s="1" t="s">
        <v>16</v>
      </c>
      <c r="B28" s="1" t="s">
        <v>6</v>
      </c>
      <c r="C28" s="1">
        <v>-238.3</v>
      </c>
      <c r="D28" s="1">
        <v>57</v>
      </c>
      <c r="L28" s="1">
        <v>3.4</v>
      </c>
      <c r="M28" s="1"/>
      <c r="N28">
        <f t="shared" ref="N28" si="7">1+ABS(C28)/3.8</f>
        <v>63.71052631578948</v>
      </c>
      <c r="O28">
        <f t="shared" ref="O28" si="8">N28*L28</f>
        <v>216.61578947368423</v>
      </c>
      <c r="Q28" s="2">
        <f t="shared" ref="Q28" si="9">Q$2*N28</f>
        <v>2.0800531184210526E-5</v>
      </c>
      <c r="R28" t="s">
        <v>36</v>
      </c>
    </row>
    <row r="29" spans="1:18" x14ac:dyDescent="0.3">
      <c r="R29" t="s">
        <v>37</v>
      </c>
    </row>
    <row r="30" spans="1:18" x14ac:dyDescent="0.3">
      <c r="R30" t="s">
        <v>38</v>
      </c>
    </row>
    <row r="31" spans="1:18" x14ac:dyDescent="0.3">
      <c r="R31" s="2" t="str">
        <f>R17</f>
        <v>z-&gt;SetAlias("PTOF0keV","PTOFamps0*13.95/2.03487175263158E-05")</v>
      </c>
    </row>
    <row r="32" spans="1:18" x14ac:dyDescent="0.3">
      <c r="R32" t="s">
        <v>42</v>
      </c>
    </row>
    <row r="33" spans="2:18" x14ac:dyDescent="0.3">
      <c r="R33" t="s">
        <v>39</v>
      </c>
    </row>
    <row r="44" spans="2:18" x14ac:dyDescent="0.3">
      <c r="C44" t="s">
        <v>49</v>
      </c>
    </row>
    <row r="45" spans="2:18" x14ac:dyDescent="0.3">
      <c r="B45" t="s">
        <v>48</v>
      </c>
      <c r="C45" t="s">
        <v>50</v>
      </c>
      <c r="D45" t="s">
        <v>51</v>
      </c>
    </row>
    <row r="46" spans="2:18" x14ac:dyDescent="0.3">
      <c r="B46">
        <v>0</v>
      </c>
      <c r="C46">
        <v>140</v>
      </c>
    </row>
    <row r="47" spans="2:18" x14ac:dyDescent="0.3">
      <c r="B47">
        <v>0</v>
      </c>
      <c r="C47">
        <v>197</v>
      </c>
    </row>
    <row r="48" spans="2:18" x14ac:dyDescent="0.3">
      <c r="B48">
        <v>-29</v>
      </c>
      <c r="C48">
        <v>180</v>
      </c>
    </row>
    <row r="49" spans="2:4" x14ac:dyDescent="0.3">
      <c r="B49">
        <v>-38</v>
      </c>
      <c r="C49">
        <v>196</v>
      </c>
    </row>
    <row r="50" spans="2:4" x14ac:dyDescent="0.3">
      <c r="B50">
        <v>-48</v>
      </c>
      <c r="C50">
        <v>197</v>
      </c>
    </row>
    <row r="51" spans="2:4" x14ac:dyDescent="0.3">
      <c r="B51">
        <v>-49</v>
      </c>
      <c r="C51">
        <v>206</v>
      </c>
    </row>
    <row r="52" spans="2:4" x14ac:dyDescent="0.3">
      <c r="B52">
        <v>-64</v>
      </c>
      <c r="C52">
        <v>235</v>
      </c>
    </row>
    <row r="53" spans="2:4" x14ac:dyDescent="0.3">
      <c r="B53">
        <v>-72</v>
      </c>
      <c r="C53">
        <v>205</v>
      </c>
    </row>
    <row r="54" spans="2:4" x14ac:dyDescent="0.3">
      <c r="B54">
        <v>-73</v>
      </c>
      <c r="C54">
        <v>305</v>
      </c>
    </row>
    <row r="55" spans="2:4" x14ac:dyDescent="0.3">
      <c r="B55">
        <v>-98</v>
      </c>
      <c r="C55">
        <v>375</v>
      </c>
    </row>
    <row r="56" spans="2:4" x14ac:dyDescent="0.3">
      <c r="B56">
        <v>-121</v>
      </c>
      <c r="C56">
        <v>425</v>
      </c>
    </row>
    <row r="57" spans="2:4" x14ac:dyDescent="0.3">
      <c r="B57">
        <v>-145</v>
      </c>
      <c r="C57">
        <v>573</v>
      </c>
    </row>
    <row r="58" spans="2:4" x14ac:dyDescent="0.3">
      <c r="B58">
        <v>-170</v>
      </c>
      <c r="C58">
        <v>590</v>
      </c>
    </row>
    <row r="59" spans="2:4" x14ac:dyDescent="0.3">
      <c r="B59">
        <v>-192</v>
      </c>
      <c r="C59">
        <v>1010</v>
      </c>
    </row>
    <row r="60" spans="2:4" x14ac:dyDescent="0.3">
      <c r="B60">
        <v>-211</v>
      </c>
      <c r="C60">
        <v>1655</v>
      </c>
    </row>
    <row r="61" spans="2:4" x14ac:dyDescent="0.3">
      <c r="B61">
        <f>C5</f>
        <v>0</v>
      </c>
      <c r="D61">
        <f>P5</f>
        <v>102</v>
      </c>
    </row>
    <row r="62" spans="2:4" x14ac:dyDescent="0.3">
      <c r="B62">
        <f t="shared" ref="B62:B76" si="10">C6</f>
        <v>-98.4</v>
      </c>
      <c r="D62">
        <f t="shared" ref="D62:D76" si="11">P6</f>
        <v>146.57631578947371</v>
      </c>
    </row>
    <row r="63" spans="2:4" x14ac:dyDescent="0.3">
      <c r="B63">
        <f t="shared" si="10"/>
        <v>-79</v>
      </c>
      <c r="D63">
        <f t="shared" si="11"/>
        <v>139.45263157894738</v>
      </c>
    </row>
    <row r="64" spans="2:4" x14ac:dyDescent="0.3">
      <c r="B64">
        <f t="shared" si="10"/>
        <v>-119.6</v>
      </c>
      <c r="D64">
        <f t="shared" si="11"/>
        <v>158.14684210526315</v>
      </c>
    </row>
    <row r="65" spans="2:4" x14ac:dyDescent="0.3">
      <c r="B65">
        <f t="shared" si="10"/>
        <v>-140.5</v>
      </c>
      <c r="D65">
        <f t="shared" si="11"/>
        <v>173.91947368421052</v>
      </c>
    </row>
    <row r="66" spans="2:4" x14ac:dyDescent="0.3">
      <c r="B66">
        <f t="shared" si="10"/>
        <v>-160.80000000000001</v>
      </c>
      <c r="D66">
        <f t="shared" si="11"/>
        <v>168.49842105263158</v>
      </c>
    </row>
    <row r="67" spans="2:4" x14ac:dyDescent="0.3">
      <c r="B67">
        <f t="shared" si="10"/>
        <v>-200.8</v>
      </c>
      <c r="D67">
        <f t="shared" si="11"/>
        <v>155.60368421052632</v>
      </c>
    </row>
    <row r="68" spans="2:4" x14ac:dyDescent="0.3">
      <c r="B68">
        <f t="shared" si="10"/>
        <v>-221.1</v>
      </c>
      <c r="D68">
        <f t="shared" si="11"/>
        <v>153.28710526315788</v>
      </c>
    </row>
    <row r="69" spans="2:4" x14ac:dyDescent="0.3">
      <c r="B69">
        <f t="shared" si="10"/>
        <v>-180.6</v>
      </c>
      <c r="D69">
        <f t="shared" si="11"/>
        <v>172.75368421052633</v>
      </c>
    </row>
    <row r="70" spans="2:4" x14ac:dyDescent="0.3">
      <c r="B70">
        <f t="shared" si="10"/>
        <v>-238.3</v>
      </c>
      <c r="D70">
        <f t="shared" si="11"/>
        <v>252.93078947368426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Minnesota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 Fritts</dc:creator>
  <cp:lastModifiedBy>dell</cp:lastModifiedBy>
  <dcterms:created xsi:type="dcterms:W3CDTF">2022-04-25T20:34:27Z</dcterms:created>
  <dcterms:modified xsi:type="dcterms:W3CDTF">2022-08-02T16:02:04Z</dcterms:modified>
</cp:coreProperties>
</file>