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llaa/Research/n-elec-scattering/SOURCES/sources_running/data/raw_sources_IO/"/>
    </mc:Choice>
  </mc:AlternateContent>
  <xr:revisionPtr revIDLastSave="0" documentId="13_ncr:1_{B4E0026F-E943-BD4C-81C7-DDAF6BBCCB73}" xr6:coauthVersionLast="47" xr6:coauthVersionMax="47" xr10:uidLastSave="{00000000-0000-0000-0000-000000000000}"/>
  <bookViews>
    <workbookView xWindow="920" yWindow="1260" windowWidth="28040" windowHeight="17440" activeTab="7" xr2:uid="{37FEC5E8-CE26-3C43-983C-91CF58415182}"/>
  </bookViews>
  <sheets>
    <sheet name="Th232" sheetId="1" r:id="rId1"/>
    <sheet name="U235" sheetId="2" r:id="rId2"/>
    <sheet name="U238" sheetId="3" r:id="rId3"/>
    <sheet name="SE Results" sheetId="4" r:id="rId4"/>
    <sheet name="1ppb" sheetId="6" r:id="rId5"/>
    <sheet name="Shotcrete Density" sheetId="5" r:id="rId6"/>
    <sheet name="Shotcrete Hang" sheetId="7" r:id="rId7"/>
    <sheet name="Target Fractions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8" l="1"/>
  <c r="H7" i="8"/>
  <c r="H9" i="8"/>
  <c r="H11" i="8"/>
  <c r="H12" i="8"/>
  <c r="H13" i="8"/>
  <c r="H15" i="8"/>
  <c r="H17" i="8"/>
  <c r="H18" i="8"/>
  <c r="H19" i="8"/>
  <c r="H21" i="8"/>
  <c r="H22" i="8"/>
  <c r="H23" i="8"/>
  <c r="H25" i="8"/>
  <c r="H26" i="8"/>
  <c r="H27" i="8"/>
  <c r="H28" i="8"/>
  <c r="H29" i="8"/>
  <c r="H31" i="8"/>
  <c r="H33" i="8"/>
  <c r="H34" i="8"/>
  <c r="H35" i="8"/>
  <c r="H36" i="8"/>
  <c r="H4" i="8"/>
  <c r="G6" i="8"/>
  <c r="G7" i="8"/>
  <c r="G9" i="8"/>
  <c r="G11" i="8"/>
  <c r="G12" i="8"/>
  <c r="G13" i="8"/>
  <c r="G15" i="8"/>
  <c r="G17" i="8"/>
  <c r="G18" i="8"/>
  <c r="G19" i="8"/>
  <c r="G21" i="8"/>
  <c r="G22" i="8"/>
  <c r="G23" i="8"/>
  <c r="G25" i="8"/>
  <c r="G26" i="8"/>
  <c r="G27" i="8"/>
  <c r="G28" i="8"/>
  <c r="G29" i="8"/>
  <c r="G31" i="8"/>
  <c r="G33" i="8"/>
  <c r="G34" i="8"/>
  <c r="G35" i="8"/>
  <c r="G36" i="8"/>
  <c r="G4" i="8"/>
  <c r="F6" i="8"/>
  <c r="F7" i="8"/>
  <c r="F9" i="8"/>
  <c r="F11" i="8"/>
  <c r="F12" i="8"/>
  <c r="F13" i="8"/>
  <c r="F15" i="8"/>
  <c r="F17" i="8"/>
  <c r="F18" i="8"/>
  <c r="F19" i="8"/>
  <c r="F21" i="8"/>
  <c r="F22" i="8"/>
  <c r="F23" i="8"/>
  <c r="F25" i="8"/>
  <c r="F26" i="8"/>
  <c r="F27" i="8"/>
  <c r="F28" i="8"/>
  <c r="F29" i="8"/>
  <c r="F31" i="8"/>
  <c r="F33" i="8"/>
  <c r="F34" i="8"/>
  <c r="F35" i="8"/>
  <c r="F36" i="8"/>
  <c r="F4" i="8"/>
  <c r="B37" i="8"/>
  <c r="E3" i="7" l="1"/>
  <c r="E4" i="7"/>
  <c r="E5" i="7"/>
  <c r="E6" i="7"/>
  <c r="E7" i="7"/>
  <c r="E8" i="7"/>
  <c r="E9" i="7"/>
  <c r="E10" i="7"/>
  <c r="E11" i="7"/>
  <c r="E12" i="7"/>
  <c r="E2" i="7"/>
  <c r="C3" i="7"/>
  <c r="C4" i="7"/>
  <c r="C5" i="7"/>
  <c r="C6" i="7"/>
  <c r="C7" i="7"/>
  <c r="C8" i="7"/>
  <c r="C9" i="7"/>
  <c r="C10" i="7"/>
  <c r="C11" i="7"/>
  <c r="C12" i="7"/>
  <c r="C2" i="7"/>
  <c r="B13" i="7"/>
  <c r="D26" i="6"/>
  <c r="C26" i="6" s="1"/>
  <c r="E26" i="6" s="1"/>
  <c r="D26" i="4"/>
  <c r="E2" i="6"/>
  <c r="C22" i="6"/>
  <c r="E22" i="6" s="1"/>
  <c r="C21" i="6"/>
  <c r="E21" i="6" s="1"/>
  <c r="C20" i="6"/>
  <c r="E20" i="6" s="1"/>
  <c r="C19" i="6"/>
  <c r="E19" i="6" s="1"/>
  <c r="C18" i="6"/>
  <c r="E18" i="6" s="1"/>
  <c r="C17" i="6"/>
  <c r="E17" i="6" s="1"/>
  <c r="C16" i="6"/>
  <c r="E16" i="6" s="1"/>
  <c r="C15" i="6"/>
  <c r="E15" i="6" s="1"/>
  <c r="B14" i="6"/>
  <c r="C14" i="6" s="1"/>
  <c r="E14" i="6" s="1"/>
  <c r="B13" i="6"/>
  <c r="C13" i="6" s="1"/>
  <c r="E13" i="6" s="1"/>
  <c r="B12" i="6"/>
  <c r="C12" i="6" s="1"/>
  <c r="E12" i="6" s="1"/>
  <c r="C11" i="6"/>
  <c r="E11" i="6" s="1"/>
  <c r="B8" i="6"/>
  <c r="C8" i="6" s="1"/>
  <c r="E8" i="6" s="1"/>
  <c r="C7" i="6"/>
  <c r="E7" i="6" s="1"/>
  <c r="C6" i="6"/>
  <c r="E6" i="6" s="1"/>
  <c r="C5" i="6"/>
  <c r="E5" i="6" s="1"/>
  <c r="B4" i="6"/>
  <c r="C4" i="6" s="1"/>
  <c r="E4" i="6" s="1"/>
  <c r="B3" i="6"/>
  <c r="C3" i="6" s="1"/>
  <c r="E3" i="6" s="1"/>
  <c r="C2" i="6"/>
  <c r="C34" i="6" l="1"/>
  <c r="E34" i="6" s="1"/>
  <c r="C27" i="6"/>
  <c r="E27" i="6" s="1"/>
  <c r="C31" i="6"/>
  <c r="E31" i="6" s="1"/>
  <c r="C35" i="6"/>
  <c r="E35" i="6" s="1"/>
  <c r="C36" i="6"/>
  <c r="E36" i="6" s="1"/>
  <c r="C37" i="6"/>
  <c r="E37" i="6" s="1"/>
  <c r="C30" i="6"/>
  <c r="E30" i="6" s="1"/>
  <c r="C28" i="6"/>
  <c r="E28" i="6" s="1"/>
  <c r="C32" i="6"/>
  <c r="E32" i="6" s="1"/>
  <c r="C29" i="6"/>
  <c r="E29" i="6" s="1"/>
  <c r="C33" i="6"/>
  <c r="E33" i="6" s="1"/>
  <c r="C36" i="4"/>
  <c r="E36" i="4" s="1"/>
  <c r="C12" i="4"/>
  <c r="E12" i="4" s="1"/>
  <c r="C13" i="4"/>
  <c r="E13" i="4" s="1"/>
  <c r="C14" i="4"/>
  <c r="E14" i="4" s="1"/>
  <c r="C15" i="4"/>
  <c r="E15" i="4" s="1"/>
  <c r="C16" i="4"/>
  <c r="E16" i="4" s="1"/>
  <c r="C17" i="4"/>
  <c r="E17" i="4" s="1"/>
  <c r="C18" i="4"/>
  <c r="E18" i="4" s="1"/>
  <c r="C19" i="4"/>
  <c r="E19" i="4" s="1"/>
  <c r="C20" i="4"/>
  <c r="E20" i="4" s="1"/>
  <c r="C21" i="4"/>
  <c r="E21" i="4" s="1"/>
  <c r="C22" i="4"/>
  <c r="E22" i="4" s="1"/>
  <c r="C11" i="4"/>
  <c r="E11" i="4" s="1"/>
  <c r="I13" i="5"/>
  <c r="I3" i="5"/>
  <c r="I4" i="5"/>
  <c r="I5" i="5"/>
  <c r="I6" i="5"/>
  <c r="I7" i="5"/>
  <c r="I8" i="5"/>
  <c r="I9" i="5"/>
  <c r="I10" i="5"/>
  <c r="I11" i="5"/>
  <c r="I12" i="5"/>
  <c r="I2" i="5"/>
  <c r="F13" i="5"/>
  <c r="H13" i="5"/>
  <c r="H3" i="5"/>
  <c r="H4" i="5"/>
  <c r="H5" i="5"/>
  <c r="H6" i="5"/>
  <c r="H7" i="5"/>
  <c r="H8" i="5"/>
  <c r="H9" i="5"/>
  <c r="H10" i="5"/>
  <c r="H11" i="5"/>
  <c r="H12" i="5"/>
  <c r="H2" i="5"/>
  <c r="F3" i="5"/>
  <c r="F4" i="5"/>
  <c r="F5" i="5"/>
  <c r="F6" i="5"/>
  <c r="F7" i="5"/>
  <c r="F8" i="5"/>
  <c r="F9" i="5"/>
  <c r="F10" i="5"/>
  <c r="F11" i="5"/>
  <c r="F12" i="5"/>
  <c r="F2" i="5"/>
  <c r="E2" i="5"/>
  <c r="C13" i="5"/>
  <c r="B14" i="4"/>
  <c r="B13" i="4"/>
  <c r="B12" i="4"/>
  <c r="B8" i="4"/>
  <c r="B4" i="4"/>
  <c r="B3" i="4"/>
  <c r="B13" i="3"/>
  <c r="B13" i="2"/>
  <c r="B12" i="2"/>
  <c r="C5" i="4"/>
  <c r="E5" i="4" s="1"/>
  <c r="C6" i="4"/>
  <c r="E6" i="4" s="1"/>
  <c r="C7" i="4"/>
  <c r="E7" i="4" s="1"/>
  <c r="C2" i="4"/>
  <c r="E2" i="4" s="1"/>
  <c r="C8" i="4"/>
  <c r="E8" i="4" s="1"/>
  <c r="C4" i="4"/>
  <c r="E4" i="4" s="1"/>
  <c r="C3" i="4"/>
  <c r="E3" i="4" s="1"/>
  <c r="C28" i="3"/>
  <c r="B28" i="3"/>
  <c r="C27" i="3"/>
  <c r="B27" i="3"/>
  <c r="C26" i="3"/>
  <c r="B26" i="3"/>
  <c r="B25" i="3"/>
  <c r="C25" i="3"/>
  <c r="F18" i="3"/>
  <c r="F19" i="3"/>
  <c r="E19" i="3" s="1"/>
  <c r="E18" i="3"/>
  <c r="D18" i="3"/>
  <c r="D19" i="3"/>
  <c r="C18" i="3"/>
  <c r="C19" i="3"/>
  <c r="B19" i="3"/>
  <c r="B18" i="3"/>
  <c r="B17" i="3"/>
  <c r="B16" i="3"/>
  <c r="C16" i="3" s="1"/>
  <c r="D16" i="3" s="1"/>
  <c r="F16" i="3" s="1"/>
  <c r="E16" i="3" s="1"/>
  <c r="B14" i="3"/>
  <c r="B12" i="3"/>
  <c r="C12" i="3" s="1"/>
  <c r="D12" i="3" s="1"/>
  <c r="F12" i="3" s="1"/>
  <c r="E12" i="3" s="1"/>
  <c r="B11" i="3"/>
  <c r="C11" i="3" s="1"/>
  <c r="D11" i="3" s="1"/>
  <c r="F11" i="3" s="1"/>
  <c r="E11" i="3" s="1"/>
  <c r="B10" i="3"/>
  <c r="B9" i="3"/>
  <c r="B8" i="3"/>
  <c r="C8" i="3" s="1"/>
  <c r="D8" i="3" s="1"/>
  <c r="F8" i="3" s="1"/>
  <c r="E8" i="3" s="1"/>
  <c r="B4" i="3"/>
  <c r="B3" i="3"/>
  <c r="C17" i="3"/>
  <c r="D17" i="3" s="1"/>
  <c r="F17" i="3" s="1"/>
  <c r="E17" i="3" s="1"/>
  <c r="C15" i="3"/>
  <c r="D15" i="3" s="1"/>
  <c r="F15" i="3" s="1"/>
  <c r="E15" i="3" s="1"/>
  <c r="C14" i="3"/>
  <c r="D14" i="3" s="1"/>
  <c r="F14" i="3" s="1"/>
  <c r="E14" i="3" s="1"/>
  <c r="C13" i="3"/>
  <c r="D13" i="3" s="1"/>
  <c r="F13" i="3" s="1"/>
  <c r="E13" i="3" s="1"/>
  <c r="C10" i="3"/>
  <c r="D10" i="3" s="1"/>
  <c r="F10" i="3" s="1"/>
  <c r="E10" i="3" s="1"/>
  <c r="C9" i="3"/>
  <c r="D9" i="3" s="1"/>
  <c r="F9" i="3" s="1"/>
  <c r="E9" i="3" s="1"/>
  <c r="C7" i="3"/>
  <c r="D7" i="3" s="1"/>
  <c r="F7" i="3" s="1"/>
  <c r="E7" i="3" s="1"/>
  <c r="C6" i="3"/>
  <c r="D6" i="3" s="1"/>
  <c r="F6" i="3" s="1"/>
  <c r="E6" i="3" s="1"/>
  <c r="C5" i="3"/>
  <c r="D5" i="3" s="1"/>
  <c r="F5" i="3" s="1"/>
  <c r="E5" i="3" s="1"/>
  <c r="C4" i="3"/>
  <c r="D4" i="3" s="1"/>
  <c r="F4" i="3" s="1"/>
  <c r="E4" i="3" s="1"/>
  <c r="C3" i="3"/>
  <c r="D3" i="3" s="1"/>
  <c r="F3" i="3" s="1"/>
  <c r="E3" i="3" s="1"/>
  <c r="C2" i="3"/>
  <c r="D2" i="3" s="1"/>
  <c r="F2" i="3" s="1"/>
  <c r="E2" i="3" s="1"/>
  <c r="C29" i="2"/>
  <c r="B29" i="2"/>
  <c r="C28" i="2"/>
  <c r="B28" i="2"/>
  <c r="C27" i="2"/>
  <c r="C26" i="2"/>
  <c r="C25" i="2"/>
  <c r="B27" i="2"/>
  <c r="B26" i="2"/>
  <c r="B25" i="2"/>
  <c r="E14" i="2"/>
  <c r="E15" i="2"/>
  <c r="E16" i="2"/>
  <c r="E17" i="2"/>
  <c r="F14" i="2"/>
  <c r="F15" i="2"/>
  <c r="F16" i="2"/>
  <c r="F17" i="2"/>
  <c r="D14" i="2"/>
  <c r="D15" i="2"/>
  <c r="D16" i="2"/>
  <c r="D17" i="2"/>
  <c r="C13" i="2"/>
  <c r="D13" i="2" s="1"/>
  <c r="F13" i="2" s="1"/>
  <c r="E13" i="2" s="1"/>
  <c r="C14" i="2"/>
  <c r="C15" i="2"/>
  <c r="C16" i="2"/>
  <c r="C17" i="2"/>
  <c r="B17" i="2"/>
  <c r="B16" i="2"/>
  <c r="B15" i="2"/>
  <c r="B14" i="2"/>
  <c r="B11" i="2"/>
  <c r="B10" i="2"/>
  <c r="B9" i="2"/>
  <c r="B8" i="2"/>
  <c r="B7" i="2"/>
  <c r="B6" i="2"/>
  <c r="B3" i="2"/>
  <c r="C3" i="2" s="1"/>
  <c r="D3" i="2" s="1"/>
  <c r="F3" i="2" s="1"/>
  <c r="E3" i="2" s="1"/>
  <c r="C12" i="2"/>
  <c r="D12" i="2" s="1"/>
  <c r="F12" i="2" s="1"/>
  <c r="E12" i="2" s="1"/>
  <c r="C11" i="2"/>
  <c r="D11" i="2" s="1"/>
  <c r="F11" i="2" s="1"/>
  <c r="E11" i="2" s="1"/>
  <c r="C10" i="2"/>
  <c r="D10" i="2" s="1"/>
  <c r="F10" i="2" s="1"/>
  <c r="E10" i="2" s="1"/>
  <c r="C9" i="2"/>
  <c r="D9" i="2" s="1"/>
  <c r="F9" i="2" s="1"/>
  <c r="E9" i="2" s="1"/>
  <c r="C8" i="2"/>
  <c r="D8" i="2" s="1"/>
  <c r="F8" i="2" s="1"/>
  <c r="E8" i="2" s="1"/>
  <c r="C7" i="2"/>
  <c r="D7" i="2" s="1"/>
  <c r="F7" i="2" s="1"/>
  <c r="E7" i="2" s="1"/>
  <c r="C6" i="2"/>
  <c r="D6" i="2" s="1"/>
  <c r="F6" i="2" s="1"/>
  <c r="E6" i="2" s="1"/>
  <c r="C5" i="2"/>
  <c r="D5" i="2" s="1"/>
  <c r="F5" i="2" s="1"/>
  <c r="E5" i="2" s="1"/>
  <c r="C4" i="2"/>
  <c r="D4" i="2" s="1"/>
  <c r="F4" i="2" s="1"/>
  <c r="E4" i="2" s="1"/>
  <c r="C2" i="2"/>
  <c r="D2" i="2" s="1"/>
  <c r="F2" i="2" s="1"/>
  <c r="E2" i="2" s="1"/>
  <c r="C3" i="1"/>
  <c r="D3" i="1" s="1"/>
  <c r="F3" i="1" s="1"/>
  <c r="E3" i="1" s="1"/>
  <c r="C4" i="1"/>
  <c r="D4" i="1" s="1"/>
  <c r="F4" i="1" s="1"/>
  <c r="E4" i="1" s="1"/>
  <c r="C5" i="1"/>
  <c r="D5" i="1" s="1"/>
  <c r="F5" i="1" s="1"/>
  <c r="E5" i="1" s="1"/>
  <c r="C2" i="1"/>
  <c r="D2" i="1" s="1"/>
  <c r="F2" i="1" s="1"/>
  <c r="E2" i="1" s="1"/>
  <c r="B12" i="1"/>
  <c r="C12" i="1" s="1"/>
  <c r="D12" i="1" s="1"/>
  <c r="F12" i="1" s="1"/>
  <c r="E12" i="1" s="1"/>
  <c r="B11" i="1"/>
  <c r="C11" i="1" s="1"/>
  <c r="D11" i="1" s="1"/>
  <c r="F11" i="1" s="1"/>
  <c r="E11" i="1" s="1"/>
  <c r="B10" i="1"/>
  <c r="C10" i="1" s="1"/>
  <c r="D10" i="1" s="1"/>
  <c r="F10" i="1" s="1"/>
  <c r="E10" i="1" s="1"/>
  <c r="B9" i="1"/>
  <c r="C9" i="1" s="1"/>
  <c r="D9" i="1" s="1"/>
  <c r="F9" i="1" s="1"/>
  <c r="E9" i="1" s="1"/>
  <c r="B8" i="1"/>
  <c r="C8" i="1" s="1"/>
  <c r="D8" i="1" s="1"/>
  <c r="F8" i="1" s="1"/>
  <c r="E8" i="1" s="1"/>
  <c r="B7" i="1"/>
  <c r="C7" i="1" s="1"/>
  <c r="D7" i="1" s="1"/>
  <c r="F7" i="1" s="1"/>
  <c r="E7" i="1" s="1"/>
  <c r="B6" i="1"/>
  <c r="C6" i="1" s="1"/>
  <c r="D6" i="1" s="1"/>
  <c r="F6" i="1" s="1"/>
  <c r="E6" i="1" s="1"/>
  <c r="C27" i="4" l="1"/>
  <c r="E27" i="4" s="1"/>
  <c r="C33" i="4"/>
  <c r="E33" i="4" s="1"/>
  <c r="C32" i="4"/>
  <c r="E32" i="4" s="1"/>
  <c r="C34" i="4"/>
  <c r="E34" i="4" s="1"/>
  <c r="C37" i="4"/>
  <c r="E37" i="4" s="1"/>
  <c r="C30" i="4"/>
  <c r="E30" i="4" s="1"/>
  <c r="C35" i="4"/>
  <c r="E35" i="4" s="1"/>
  <c r="C29" i="4"/>
  <c r="E29" i="4" s="1"/>
  <c r="C28" i="4"/>
  <c r="E28" i="4" s="1"/>
  <c r="C31" i="4"/>
  <c r="E31" i="4" s="1"/>
  <c r="C26" i="4"/>
  <c r="E26" i="4" s="1"/>
</calcChain>
</file>

<file path=xl/sharedStrings.xml><?xml version="1.0" encoding="utf-8"?>
<sst xmlns="http://schemas.openxmlformats.org/spreadsheetml/2006/main" count="181" uniqueCount="84">
  <si>
    <t>Decay</t>
  </si>
  <si>
    <t>Lambda</t>
  </si>
  <si>
    <t>Half-Life (yrs)</t>
  </si>
  <si>
    <t>Mean Life (Scaled)</t>
  </si>
  <si>
    <t>Lambda (Scaled)</t>
  </si>
  <si>
    <t>Mean Life (yrs)</t>
  </si>
  <si>
    <t>Lambda1</t>
  </si>
  <si>
    <t>branching ratio alpha (%)</t>
  </si>
  <si>
    <t>branching ratio beta (%)</t>
  </si>
  <si>
    <t>isotopes</t>
  </si>
  <si>
    <t>902320-Th</t>
  </si>
  <si>
    <t>902280-Th</t>
  </si>
  <si>
    <t>882240-Ra</t>
  </si>
  <si>
    <t>scaled</t>
  </si>
  <si>
    <t>862200-Rn</t>
  </si>
  <si>
    <t>842160-Po</t>
  </si>
  <si>
    <t>842120-Po</t>
  </si>
  <si>
    <t>832120-Bi</t>
  </si>
  <si>
    <t>922380-U</t>
  </si>
  <si>
    <t>922340-U</t>
  </si>
  <si>
    <t>902300-Th</t>
  </si>
  <si>
    <t>882260-Ra</t>
  </si>
  <si>
    <t>862220-Rn</t>
  </si>
  <si>
    <t>842180-Po</t>
  </si>
  <si>
    <t>852180-At</t>
  </si>
  <si>
    <t>832140-Bi</t>
  </si>
  <si>
    <t>842140-Po</t>
  </si>
  <si>
    <t>822100-Pb</t>
  </si>
  <si>
    <t>832100-Bi</t>
  </si>
  <si>
    <t>842100-Po</t>
  </si>
  <si>
    <t>922350-U</t>
  </si>
  <si>
    <t>912310-Pa</t>
  </si>
  <si>
    <t>892270-Ac</t>
  </si>
  <si>
    <t>902270-Th</t>
  </si>
  <si>
    <t>872230-Fr</t>
  </si>
  <si>
    <t>882230-Ra</t>
  </si>
  <si>
    <t>852190-At</t>
  </si>
  <si>
    <t>862190-Rn</t>
  </si>
  <si>
    <t>842150-Po</t>
  </si>
  <si>
    <t>852150-At</t>
  </si>
  <si>
    <t>832110-Bi</t>
  </si>
  <si>
    <t>842110-Po</t>
  </si>
  <si>
    <t>atoms/cm^3</t>
  </si>
  <si>
    <t>overall number density (atoms/cm^3)</t>
  </si>
  <si>
    <t>Z (atomic number)</t>
  </si>
  <si>
    <t>Element</t>
  </si>
  <si>
    <t>Al</t>
  </si>
  <si>
    <t>Ca</t>
  </si>
  <si>
    <t>Fe</t>
  </si>
  <si>
    <t>K</t>
  </si>
  <si>
    <t>Mg</t>
  </si>
  <si>
    <t>Mn</t>
  </si>
  <si>
    <t>Na</t>
  </si>
  <si>
    <t>Si</t>
  </si>
  <si>
    <t>H</t>
  </si>
  <si>
    <t>C</t>
  </si>
  <si>
    <t>O</t>
  </si>
  <si>
    <t>Mass Fraction (%)</t>
  </si>
  <si>
    <t>Total</t>
  </si>
  <si>
    <t>overall density (g/cm^3)</t>
  </si>
  <si>
    <t>overall density (kg/m^3)</t>
  </si>
  <si>
    <t>Reference: https://usa.sika.com/dms/getdocument.get/3b1394e4-dd73-4c31-92b6-973d26cb49a5/king-ms-d3.pdf</t>
  </si>
  <si>
    <t>Use MS-D3 shotcrete mentioned in ref: https://confluence.slac.stanford.edu/display/NEXUS/Model+Neutron+Spectrum under "this report"</t>
  </si>
  <si>
    <t>Elemental Mass Density (g/cm^3)</t>
  </si>
  <si>
    <t>Molar Mass (amu)</t>
  </si>
  <si>
    <t>Number Density (#/cm^3)</t>
  </si>
  <si>
    <t>overall contamination (per atom)</t>
  </si>
  <si>
    <t>232-Th (for 3e-14 per atom)</t>
  </si>
  <si>
    <t>238-U (for 9e-15 per atom)</t>
  </si>
  <si>
    <t>235-U (for 6.4836e-17 per atom)</t>
  </si>
  <si>
    <t>fraction of atoms</t>
  </si>
  <si>
    <t>Q-alpha (MeV)</t>
  </si>
  <si>
    <t>\= doesnt work with SOURCES4C b/c too high alpha energy</t>
  </si>
  <si>
    <t>why?</t>
  </si>
  <si>
    <t>Notes</t>
  </si>
  <si>
    <t>renormalized fraction</t>
  </si>
  <si>
    <t>my calculation</t>
  </si>
  <si>
    <t>difference (%)</t>
  </si>
  <si>
    <t>(a,n) isotope (A)</t>
  </si>
  <si>
    <t>Lower Bound (%)</t>
  </si>
  <si>
    <t>Upper Bound (%)</t>
  </si>
  <si>
    <t>Middle (frac)</t>
  </si>
  <si>
    <t>Lower (frac)</t>
  </si>
  <si>
    <t>Upper (frac)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</si>
</sst>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E+00"/>
    <numFmt numFmtId="165" formatCode="0.0000E+00"/>
    <numFmt numFmtId="166" formatCode="0.00000"/>
    <numFmt numFmtId="168" formatCode="0.000E+00"/>
  </numFmts>
  <fonts count="1" x14ac:knownFonts="1">
    <font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636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2" borderId="1" xfId="0" applyFill="1" applyBorder="1"/>
    <xf numFmtId="11" fontId="0" fillId="0" borderId="0" xfId="0" applyNumberFormat="1"/>
    <xf numFmtId="0" fontId="0" fillId="3" borderId="1" xfId="0" applyFill="1" applyBorder="1"/>
    <xf numFmtId="0" fontId="0" fillId="4" borderId="1" xfId="0" applyFill="1" applyBorder="1"/>
    <xf numFmtId="164" fontId="0" fillId="4" borderId="1" xfId="0" applyNumberFormat="1" applyFill="1" applyBorder="1"/>
    <xf numFmtId="164" fontId="0" fillId="0" borderId="0" xfId="0" applyNumberFormat="1"/>
    <xf numFmtId="0" fontId="0" fillId="5" borderId="1" xfId="0" applyFill="1" applyBorder="1"/>
    <xf numFmtId="165" fontId="0" fillId="0" borderId="0" xfId="0" applyNumberFormat="1"/>
    <xf numFmtId="0" fontId="0" fillId="6" borderId="1" xfId="0" applyFill="1" applyBorder="1"/>
    <xf numFmtId="166" fontId="0" fillId="4" borderId="1" xfId="0" applyNumberFormat="1" applyFill="1" applyBorder="1"/>
    <xf numFmtId="166" fontId="0" fillId="0" borderId="0" xfId="0" applyNumberFormat="1"/>
    <xf numFmtId="0" fontId="0" fillId="7" borderId="1" xfId="0" applyFill="1" applyBorder="1"/>
    <xf numFmtId="164" fontId="0" fillId="7" borderId="1" xfId="0" applyNumberFormat="1" applyFill="1" applyBorder="1"/>
    <xf numFmtId="166" fontId="0" fillId="7" borderId="1" xfId="0" applyNumberFormat="1" applyFill="1" applyBorder="1"/>
    <xf numFmtId="11" fontId="0" fillId="7" borderId="1" xfId="0" applyNumberFormat="1" applyFill="1" applyBorder="1"/>
    <xf numFmtId="11" fontId="0" fillId="5" borderId="1" xfId="0" applyNumberFormat="1" applyFill="1" applyBorder="1"/>
    <xf numFmtId="2" fontId="0" fillId="6" borderId="1" xfId="0" applyNumberFormat="1" applyFill="1" applyBorder="1"/>
    <xf numFmtId="2" fontId="0" fillId="0" borderId="0" xfId="0" applyNumberFormat="1"/>
    <xf numFmtId="2" fontId="0" fillId="5" borderId="1" xfId="0" applyNumberFormat="1" applyFill="1" applyBorder="1"/>
    <xf numFmtId="11" fontId="0" fillId="6" borderId="1" xfId="0" applyNumberFormat="1" applyFill="1" applyBorder="1"/>
    <xf numFmtId="1" fontId="0" fillId="6" borderId="1" xfId="0" applyNumberFormat="1" applyFill="1" applyBorder="1"/>
    <xf numFmtId="1" fontId="0" fillId="0" borderId="0" xfId="0" applyNumberFormat="1"/>
    <xf numFmtId="1" fontId="0" fillId="5" borderId="1" xfId="0" applyNumberFormat="1" applyFill="1" applyBorder="1"/>
    <xf numFmtId="168" fontId="0" fillId="6" borderId="1" xfId="0" applyNumberFormat="1" applyFill="1" applyBorder="1"/>
    <xf numFmtId="168" fontId="0" fillId="0" borderId="0" xfId="0" applyNumberFormat="1"/>
    <xf numFmtId="168" fontId="0" fillId="5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36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6D091-102E-4A44-B40D-B7C123D87265}">
  <dimension ref="A1:G17"/>
  <sheetViews>
    <sheetView zoomScale="120" zoomScaleNormal="120" workbookViewId="0">
      <selection activeCell="J29" sqref="J29"/>
    </sheetView>
  </sheetViews>
  <sheetFormatPr baseColWidth="10" defaultRowHeight="16" x14ac:dyDescent="0.2"/>
  <cols>
    <col min="1" max="1" width="21.83203125" customWidth="1"/>
    <col min="2" max="2" width="21.33203125" customWidth="1"/>
    <col min="3" max="3" width="21.83203125" customWidth="1"/>
    <col min="4" max="4" width="22" customWidth="1"/>
    <col min="5" max="5" width="21.5" customWidth="1"/>
    <col min="6" max="6" width="21.83203125" customWidth="1"/>
    <col min="7" max="7" width="22.1640625" customWidth="1"/>
  </cols>
  <sheetData>
    <row r="1" spans="1:7" s="1" customFormat="1" x14ac:dyDescent="0.2">
      <c r="A1" s="1" t="s">
        <v>0</v>
      </c>
      <c r="B1" s="1" t="s">
        <v>2</v>
      </c>
      <c r="C1" s="1" t="s">
        <v>5</v>
      </c>
      <c r="D1" s="1" t="s">
        <v>1</v>
      </c>
      <c r="E1" s="1" t="s">
        <v>3</v>
      </c>
      <c r="F1" s="1" t="s">
        <v>4</v>
      </c>
      <c r="G1" s="1" t="s">
        <v>6</v>
      </c>
    </row>
    <row r="2" spans="1:7" x14ac:dyDescent="0.2">
      <c r="A2">
        <v>1</v>
      </c>
      <c r="B2" s="2">
        <v>14100000000</v>
      </c>
      <c r="C2" s="2">
        <f>B2/LN(2)</f>
        <v>20342000076.534386</v>
      </c>
      <c r="D2" s="2">
        <f>1/C2</f>
        <v>4.9159374507797533E-11</v>
      </c>
      <c r="E2" s="2">
        <f>1/F2</f>
        <v>1.0008264037654919</v>
      </c>
      <c r="F2" s="2">
        <f>D2/$G$2</f>
        <v>0.99917427861377095</v>
      </c>
      <c r="G2" s="2">
        <v>4.9200000000000002E-11</v>
      </c>
    </row>
    <row r="3" spans="1:7" x14ac:dyDescent="0.2">
      <c r="A3">
        <v>2</v>
      </c>
      <c r="B3">
        <v>5.75</v>
      </c>
      <c r="C3" s="2">
        <f t="shared" ref="C3:C12" si="0">B3/LN(2)</f>
        <v>8.2954964851115403</v>
      </c>
      <c r="D3" s="2">
        <f t="shared" ref="D3:D12" si="1">1/C3</f>
        <v>0.1205473357495557</v>
      </c>
      <c r="E3" s="2">
        <f t="shared" ref="E3:E12" si="2">1/F3</f>
        <v>4.0813842706748776E-10</v>
      </c>
      <c r="F3" s="2">
        <f t="shared" ref="F3:F12" si="3">D3/$G$2</f>
        <v>2450149100.6007257</v>
      </c>
    </row>
    <row r="4" spans="1:7" x14ac:dyDescent="0.2">
      <c r="A4">
        <v>3</v>
      </c>
      <c r="B4">
        <v>7.0200000000000004E-4</v>
      </c>
      <c r="C4" s="2">
        <f t="shared" si="0"/>
        <v>1.0127719187040525E-3</v>
      </c>
      <c r="D4" s="2">
        <f t="shared" si="1"/>
        <v>987.38914609678807</v>
      </c>
      <c r="E4" s="2">
        <f t="shared" si="2"/>
        <v>4.9828378400239381E-14</v>
      </c>
      <c r="F4" s="2">
        <f t="shared" si="3"/>
        <v>20068885083268.051</v>
      </c>
    </row>
    <row r="5" spans="1:7" x14ac:dyDescent="0.2">
      <c r="A5">
        <v>4</v>
      </c>
      <c r="B5">
        <v>1.9125000000000001</v>
      </c>
      <c r="C5" s="2">
        <f t="shared" si="0"/>
        <v>2.7591542657001429</v>
      </c>
      <c r="D5" s="2">
        <f t="shared" si="1"/>
        <v>0.36242989833199751</v>
      </c>
      <c r="E5" s="2">
        <f t="shared" si="2"/>
        <v>1.3575038987244702E-10</v>
      </c>
      <c r="F5" s="2">
        <f t="shared" si="3"/>
        <v>7366461348.2113314</v>
      </c>
    </row>
    <row r="6" spans="1:7" x14ac:dyDescent="0.2">
      <c r="A6">
        <v>5</v>
      </c>
      <c r="B6">
        <f>3.6319/365</f>
        <v>9.9504109589041087E-3</v>
      </c>
      <c r="C6" s="2">
        <f t="shared" si="0"/>
        <v>1.4355408545218154E-2</v>
      </c>
      <c r="D6" s="2">
        <f t="shared" si="1"/>
        <v>69.660156090305364</v>
      </c>
      <c r="E6" s="2">
        <f t="shared" si="2"/>
        <v>7.0628610042473309E-13</v>
      </c>
      <c r="F6" s="2">
        <f t="shared" si="3"/>
        <v>1415856831103.7676</v>
      </c>
    </row>
    <row r="7" spans="1:7" x14ac:dyDescent="0.2">
      <c r="A7">
        <v>6</v>
      </c>
      <c r="B7">
        <f>55.6/60/60/24/365</f>
        <v>1.763064434297311E-6</v>
      </c>
      <c r="C7" s="2">
        <f t="shared" si="0"/>
        <v>2.5435643161284363E-6</v>
      </c>
      <c r="D7" s="2">
        <f t="shared" si="1"/>
        <v>393149.09147730999</v>
      </c>
      <c r="E7" s="2">
        <f t="shared" si="2"/>
        <v>1.2514336435351906E-16</v>
      </c>
      <c r="F7" s="2">
        <f t="shared" si="3"/>
        <v>7990835192628252</v>
      </c>
    </row>
    <row r="8" spans="1:7" x14ac:dyDescent="0.2">
      <c r="A8">
        <v>7</v>
      </c>
      <c r="B8">
        <f>0.145/60/60/24/365</f>
        <v>4.5979198376458641E-9</v>
      </c>
      <c r="C8" s="2">
        <f t="shared" si="0"/>
        <v>6.6333961481766758E-9</v>
      </c>
      <c r="D8" s="2">
        <f t="shared" si="1"/>
        <v>150752341.28371337</v>
      </c>
      <c r="E8" s="2">
        <f t="shared" si="2"/>
        <v>3.2636309049029247E-19</v>
      </c>
      <c r="F8" s="2">
        <f t="shared" si="3"/>
        <v>3.0640719773112474E+18</v>
      </c>
    </row>
    <row r="9" spans="1:7" x14ac:dyDescent="0.2">
      <c r="A9">
        <v>8</v>
      </c>
      <c r="B9">
        <f>10.64/24/365</f>
        <v>1.2146118721461188E-3</v>
      </c>
      <c r="C9" s="2">
        <f t="shared" si="0"/>
        <v>1.7523145245500653E-3</v>
      </c>
      <c r="D9" s="2">
        <f t="shared" si="1"/>
        <v>570.67380655123316</v>
      </c>
      <c r="E9" s="2">
        <f t="shared" si="2"/>
        <v>8.621387460786321E-14</v>
      </c>
      <c r="F9" s="2">
        <f t="shared" si="3"/>
        <v>11599061108764.9</v>
      </c>
    </row>
    <row r="10" spans="1:7" x14ac:dyDescent="0.2">
      <c r="A10">
        <v>9</v>
      </c>
      <c r="B10">
        <f>60.55/60/24/365</f>
        <v>1.1520167427701673E-4</v>
      </c>
      <c r="C10" s="2">
        <f t="shared" si="0"/>
        <v>1.662008841815577E-4</v>
      </c>
      <c r="D10" s="2">
        <f t="shared" si="1"/>
        <v>6016.8151627135803</v>
      </c>
      <c r="E10" s="2">
        <f t="shared" si="2"/>
        <v>8.1770835017326392E-15</v>
      </c>
      <c r="F10" s="2">
        <f t="shared" si="3"/>
        <v>122292991112064.64</v>
      </c>
    </row>
    <row r="11" spans="1:7" x14ac:dyDescent="0.2">
      <c r="A11">
        <v>10</v>
      </c>
      <c r="B11">
        <f>0.000000299/60/60/24/365</f>
        <v>9.4812278031456105E-15</v>
      </c>
      <c r="C11" s="2">
        <f t="shared" si="0"/>
        <v>1.3678520333136733E-14</v>
      </c>
      <c r="D11" s="2">
        <f t="shared" si="1"/>
        <v>73107322696115.172</v>
      </c>
      <c r="E11" s="2">
        <f t="shared" si="2"/>
        <v>6.729832003903273E-25</v>
      </c>
      <c r="F11" s="2">
        <f t="shared" si="3"/>
        <v>1.485921193010471E+24</v>
      </c>
    </row>
    <row r="12" spans="1:7" x14ac:dyDescent="0.2">
      <c r="A12">
        <v>11</v>
      </c>
      <c r="B12">
        <f>3.053/60/24/365</f>
        <v>5.8085996955859969E-6</v>
      </c>
      <c r="C12" s="2">
        <f t="shared" si="0"/>
        <v>8.3800379753310599E-6</v>
      </c>
      <c r="D12" s="2">
        <f t="shared" si="1"/>
        <v>119331.20147471578</v>
      </c>
      <c r="E12" s="2">
        <f t="shared" si="2"/>
        <v>4.1229786838628814E-16</v>
      </c>
      <c r="F12" s="2">
        <f t="shared" si="3"/>
        <v>2425430924282841</v>
      </c>
    </row>
    <row r="16" spans="1:7" s="3" customFormat="1" x14ac:dyDescent="0.2">
      <c r="A16" s="3" t="s">
        <v>0</v>
      </c>
      <c r="B16" s="3" t="s">
        <v>8</v>
      </c>
      <c r="C16" s="3" t="s">
        <v>7</v>
      </c>
    </row>
    <row r="17" spans="1:3" x14ac:dyDescent="0.2">
      <c r="A17">
        <v>9</v>
      </c>
      <c r="B17">
        <v>64.06</v>
      </c>
      <c r="C17">
        <v>35.94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1176D-7192-D146-B909-C00911AAFABB}">
  <dimension ref="A1:G29"/>
  <sheetViews>
    <sheetView workbookViewId="0">
      <selection activeCell="E34" sqref="E34"/>
    </sheetView>
  </sheetViews>
  <sheetFormatPr baseColWidth="10" defaultRowHeight="16" x14ac:dyDescent="0.2"/>
  <cols>
    <col min="1" max="1" width="21.83203125" customWidth="1"/>
    <col min="2" max="2" width="21.33203125" customWidth="1"/>
    <col min="3" max="3" width="21.83203125" customWidth="1"/>
    <col min="4" max="4" width="22" customWidth="1"/>
    <col min="5" max="5" width="21.5" customWidth="1"/>
    <col min="6" max="6" width="21.83203125" customWidth="1"/>
    <col min="7" max="7" width="22.1640625" customWidth="1"/>
  </cols>
  <sheetData>
    <row r="1" spans="1:7" s="1" customFormat="1" x14ac:dyDescent="0.2">
      <c r="A1" s="1" t="s">
        <v>0</v>
      </c>
      <c r="B1" s="1" t="s">
        <v>2</v>
      </c>
      <c r="C1" s="1" t="s">
        <v>5</v>
      </c>
      <c r="D1" s="1" t="s">
        <v>1</v>
      </c>
      <c r="E1" s="1" t="s">
        <v>3</v>
      </c>
      <c r="F1" s="1" t="s">
        <v>4</v>
      </c>
      <c r="G1" s="1" t="s">
        <v>6</v>
      </c>
    </row>
    <row r="2" spans="1:7" x14ac:dyDescent="0.2">
      <c r="A2">
        <v>1</v>
      </c>
      <c r="B2" s="2">
        <v>704000000</v>
      </c>
      <c r="C2" s="2">
        <f>B2/LN(2)</f>
        <v>1015657308.7858303</v>
      </c>
      <c r="D2" s="2">
        <f>1/C2</f>
        <v>9.8458406329537694E-10</v>
      </c>
      <c r="E2" s="2">
        <f>1/F2</f>
        <v>1.0004224491540428</v>
      </c>
      <c r="F2" s="2">
        <f>D2/$G$2</f>
        <v>0.99957772923388521</v>
      </c>
      <c r="G2" s="2">
        <v>9.8500000000000001E-10</v>
      </c>
    </row>
    <row r="3" spans="1:7" x14ac:dyDescent="0.2">
      <c r="A3">
        <v>2</v>
      </c>
      <c r="B3">
        <f>25.52/24/365</f>
        <v>2.91324200913242E-3</v>
      </c>
      <c r="C3" s="2">
        <f t="shared" ref="C3:C17" si="0">B3/LN(2)</f>
        <v>4.2029197994847426E-3</v>
      </c>
      <c r="D3" s="2">
        <f t="shared" ref="D3:D17" si="1">1/C3</f>
        <v>237.9298315715173</v>
      </c>
      <c r="E3" s="2">
        <f t="shared" ref="E3:E17" si="2">1/F3</f>
        <v>4.1398760024924713E-12</v>
      </c>
      <c r="F3" s="2">
        <f t="shared" ref="F3:F17" si="3">D3/$G$2</f>
        <v>241553128499.00232</v>
      </c>
    </row>
    <row r="4" spans="1:7" x14ac:dyDescent="0.2">
      <c r="A4">
        <v>3</v>
      </c>
      <c r="B4" s="2">
        <v>32760</v>
      </c>
      <c r="C4" s="2">
        <f t="shared" si="0"/>
        <v>47262.689539522442</v>
      </c>
      <c r="D4" s="2">
        <f t="shared" si="1"/>
        <v>2.1158338844931175E-5</v>
      </c>
      <c r="E4" s="2">
        <f t="shared" si="2"/>
        <v>4.6553749196429605E-5</v>
      </c>
      <c r="F4" s="2">
        <f t="shared" si="3"/>
        <v>21480.547050691548</v>
      </c>
    </row>
    <row r="5" spans="1:7" x14ac:dyDescent="0.2">
      <c r="A5">
        <v>4</v>
      </c>
      <c r="B5">
        <v>21.771999999999998</v>
      </c>
      <c r="C5" s="2">
        <f t="shared" si="0"/>
        <v>31.410356430234511</v>
      </c>
      <c r="D5" s="2">
        <f t="shared" si="1"/>
        <v>3.1836633316183416E-2</v>
      </c>
      <c r="E5" s="2">
        <f t="shared" si="2"/>
        <v>3.0939201083780993E-8</v>
      </c>
      <c r="F5" s="2">
        <f t="shared" si="3"/>
        <v>32321455.143333416</v>
      </c>
    </row>
    <row r="6" spans="1:7" x14ac:dyDescent="0.2">
      <c r="A6">
        <v>5</v>
      </c>
      <c r="B6">
        <f>18.697/365</f>
        <v>5.122465753424657E-2</v>
      </c>
      <c r="C6" s="2">
        <f t="shared" si="0"/>
        <v>7.3901559395893004E-2</v>
      </c>
      <c r="D6" s="2">
        <f t="shared" si="1"/>
        <v>13.531514195024874</v>
      </c>
      <c r="E6" s="2">
        <f t="shared" si="2"/>
        <v>7.2793036004954601E-11</v>
      </c>
      <c r="F6" s="2">
        <f t="shared" si="3"/>
        <v>13737577862.969416</v>
      </c>
    </row>
    <row r="7" spans="1:7" x14ac:dyDescent="0.2">
      <c r="A7">
        <v>6</v>
      </c>
      <c r="B7">
        <f>22/60/24/365</f>
        <v>4.185692541856925E-5</v>
      </c>
      <c r="C7" s="2">
        <f t="shared" si="0"/>
        <v>6.0386778728229057E-5</v>
      </c>
      <c r="D7" s="2">
        <f t="shared" si="1"/>
        <v>16559.916277377604</v>
      </c>
      <c r="E7" s="2">
        <f t="shared" si="2"/>
        <v>5.9480977047305625E-14</v>
      </c>
      <c r="F7" s="2">
        <f t="shared" si="3"/>
        <v>16812097743530.562</v>
      </c>
    </row>
    <row r="8" spans="1:7" x14ac:dyDescent="0.2">
      <c r="A8">
        <v>7</v>
      </c>
      <c r="B8">
        <f>11.43/365</f>
        <v>3.1315068493150681E-2</v>
      </c>
      <c r="C8" s="2">
        <f t="shared" si="0"/>
        <v>4.5178094020166711E-2</v>
      </c>
      <c r="D8" s="2">
        <f t="shared" si="1"/>
        <v>22.134621251476823</v>
      </c>
      <c r="E8" s="2">
        <f t="shared" si="2"/>
        <v>4.4500422609864206E-11</v>
      </c>
      <c r="F8" s="2">
        <f t="shared" si="3"/>
        <v>22471696702.006927</v>
      </c>
    </row>
    <row r="9" spans="1:7" x14ac:dyDescent="0.2">
      <c r="A9">
        <v>8</v>
      </c>
      <c r="B9">
        <f>56/60/60/24/365</f>
        <v>1.7757483510908167E-6</v>
      </c>
      <c r="C9" s="2">
        <f t="shared" si="0"/>
        <v>2.5618633399854751E-6</v>
      </c>
      <c r="D9" s="2">
        <f t="shared" si="1"/>
        <v>390340.88368104352</v>
      </c>
      <c r="E9" s="2">
        <f t="shared" si="2"/>
        <v>2.5234353898856928E-15</v>
      </c>
      <c r="F9" s="2">
        <f t="shared" si="3"/>
        <v>396285161097506.12</v>
      </c>
    </row>
    <row r="10" spans="1:7" x14ac:dyDescent="0.2">
      <c r="A10">
        <v>9</v>
      </c>
      <c r="B10">
        <f>3.96/60/60/24/365</f>
        <v>1.2557077625570777E-7</v>
      </c>
      <c r="C10" s="2">
        <f t="shared" si="0"/>
        <v>1.8116033618468721E-7</v>
      </c>
      <c r="D10" s="2">
        <f t="shared" si="1"/>
        <v>5519972.0924592</v>
      </c>
      <c r="E10" s="2">
        <f t="shared" si="2"/>
        <v>1.784429311419169E-16</v>
      </c>
      <c r="F10" s="2">
        <f t="shared" si="3"/>
        <v>5604032581176853</v>
      </c>
    </row>
    <row r="11" spans="1:7" x14ac:dyDescent="0.2">
      <c r="A11">
        <v>10</v>
      </c>
      <c r="B11">
        <f>7.6/60/24/365</f>
        <v>1.445966514459665E-5</v>
      </c>
      <c r="C11" s="2">
        <f t="shared" si="0"/>
        <v>2.0860887197024583E-5</v>
      </c>
      <c r="D11" s="2">
        <f t="shared" si="1"/>
        <v>47936.599750303591</v>
      </c>
      <c r="E11" s="2">
        <f t="shared" si="2"/>
        <v>2.0547973889069215E-14</v>
      </c>
      <c r="F11" s="2">
        <f t="shared" si="3"/>
        <v>48666598731272.68</v>
      </c>
    </row>
    <row r="12" spans="1:7" x14ac:dyDescent="0.2">
      <c r="A12">
        <v>11</v>
      </c>
      <c r="B12">
        <f>0.001781/60/60/24/365</f>
        <v>5.6475139523084721E-11</v>
      </c>
      <c r="C12" s="2">
        <f t="shared" si="0"/>
        <v>8.1476403723466624E-11</v>
      </c>
      <c r="D12" s="2">
        <f t="shared" si="1"/>
        <v>12273492131.464592</v>
      </c>
      <c r="E12" s="2">
        <f t="shared" si="2"/>
        <v>8.0254257667614621E-20</v>
      </c>
      <c r="F12" s="2">
        <f t="shared" si="3"/>
        <v>1.2460398103009739E+19</v>
      </c>
    </row>
    <row r="13" spans="1:7" x14ac:dyDescent="0.2">
      <c r="A13">
        <v>12</v>
      </c>
      <c r="B13">
        <f>0.0001/60/60/24/365</f>
        <v>3.1709791983764588E-12</v>
      </c>
      <c r="C13" s="2">
        <f t="shared" si="0"/>
        <v>4.5747559642597778E-12</v>
      </c>
      <c r="D13" s="2">
        <f t="shared" si="1"/>
        <v>218590894861.38434</v>
      </c>
      <c r="E13" s="2">
        <f t="shared" si="2"/>
        <v>4.5061346247958812E-21</v>
      </c>
      <c r="F13" s="2">
        <f t="shared" si="3"/>
        <v>2.2191969021460339E+20</v>
      </c>
    </row>
    <row r="14" spans="1:7" x14ac:dyDescent="0.2">
      <c r="A14">
        <v>13</v>
      </c>
      <c r="B14">
        <f>36.1/60/24/365</f>
        <v>6.8683409436834093E-5</v>
      </c>
      <c r="C14" s="2">
        <f t="shared" si="0"/>
        <v>9.9089214185866782E-5</v>
      </c>
      <c r="D14" s="2">
        <f t="shared" si="1"/>
        <v>10091.915736906018</v>
      </c>
      <c r="E14" s="2">
        <f t="shared" si="2"/>
        <v>9.7602875973078785E-14</v>
      </c>
      <c r="F14" s="2">
        <f t="shared" si="3"/>
        <v>10245599732899.51</v>
      </c>
    </row>
    <row r="15" spans="1:7" x14ac:dyDescent="0.2">
      <c r="A15">
        <v>14</v>
      </c>
      <c r="B15">
        <f>2.14/60/24/365</f>
        <v>4.071537290715373E-6</v>
      </c>
      <c r="C15" s="2">
        <f t="shared" si="0"/>
        <v>5.8739866581095541E-6</v>
      </c>
      <c r="D15" s="2">
        <f t="shared" si="1"/>
        <v>170242.12995434919</v>
      </c>
      <c r="E15" s="2">
        <f t="shared" si="2"/>
        <v>5.7858768582379102E-15</v>
      </c>
      <c r="F15" s="2">
        <f t="shared" si="3"/>
        <v>172834649699846.91</v>
      </c>
    </row>
    <row r="16" spans="1:7" x14ac:dyDescent="0.2">
      <c r="A16">
        <v>15</v>
      </c>
      <c r="B16">
        <f>0.516/60/60/24/365</f>
        <v>1.6362252663622526E-8</v>
      </c>
      <c r="C16" s="2">
        <f t="shared" si="0"/>
        <v>2.360574077558045E-8</v>
      </c>
      <c r="D16" s="2">
        <f t="shared" si="1"/>
        <v>42362576.523524098</v>
      </c>
      <c r="E16" s="2">
        <f t="shared" si="2"/>
        <v>2.3251654663946746E-17</v>
      </c>
      <c r="F16" s="2">
        <f t="shared" si="3"/>
        <v>4.300769190205492E+16</v>
      </c>
    </row>
    <row r="17" spans="1:6" x14ac:dyDescent="0.2">
      <c r="A17">
        <v>16</v>
      </c>
      <c r="B17">
        <f>4.77/60/24/365</f>
        <v>9.0753424657534235E-6</v>
      </c>
      <c r="C17" s="2">
        <f t="shared" si="0"/>
        <v>1.3092951569711481E-5</v>
      </c>
      <c r="D17" s="2">
        <f t="shared" si="1"/>
        <v>76376.972348492098</v>
      </c>
      <c r="E17" s="2">
        <f t="shared" si="2"/>
        <v>1.289655729616581E-14</v>
      </c>
      <c r="F17" s="2">
        <f t="shared" si="3"/>
        <v>77540073450245.781</v>
      </c>
    </row>
    <row r="24" spans="1:6" s="3" customFormat="1" x14ac:dyDescent="0.2">
      <c r="A24" s="3" t="s">
        <v>0</v>
      </c>
      <c r="B24" s="3" t="s">
        <v>8</v>
      </c>
      <c r="C24" s="3" t="s">
        <v>7</v>
      </c>
    </row>
    <row r="25" spans="1:6" x14ac:dyDescent="0.2">
      <c r="A25">
        <v>4</v>
      </c>
      <c r="B25">
        <f>0.9862*100</f>
        <v>98.61999999999999</v>
      </c>
      <c r="C25">
        <f>0.0138*100</f>
        <v>1.38</v>
      </c>
    </row>
    <row r="26" spans="1:6" x14ac:dyDescent="0.2">
      <c r="A26">
        <v>6</v>
      </c>
      <c r="B26">
        <f>0.9999*100</f>
        <v>99.99</v>
      </c>
      <c r="C26" s="2">
        <f>0.006*100</f>
        <v>0.6</v>
      </c>
    </row>
    <row r="27" spans="1:6" x14ac:dyDescent="0.2">
      <c r="A27">
        <v>8</v>
      </c>
      <c r="B27">
        <f>0.936*100</f>
        <v>93.600000000000009</v>
      </c>
      <c r="C27">
        <f>0.064*100</f>
        <v>6.4</v>
      </c>
    </row>
    <row r="28" spans="1:6" x14ac:dyDescent="0.2">
      <c r="A28">
        <v>11</v>
      </c>
      <c r="B28">
        <f>1*100</f>
        <v>100</v>
      </c>
      <c r="C28">
        <f>0.00023*100</f>
        <v>2.3E-2</v>
      </c>
    </row>
    <row r="29" spans="1:6" x14ac:dyDescent="0.2">
      <c r="A29">
        <v>14</v>
      </c>
      <c r="B29">
        <f>0.9972*100</f>
        <v>99.72</v>
      </c>
      <c r="C29">
        <f>0.0028*100</f>
        <v>0.27999999999999997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6BC9F-6F57-874B-973E-14E935690D92}">
  <dimension ref="A1:G28"/>
  <sheetViews>
    <sheetView zoomScale="117" workbookViewId="0">
      <selection activeCell="B26" sqref="B26"/>
    </sheetView>
  </sheetViews>
  <sheetFormatPr baseColWidth="10" defaultRowHeight="16" x14ac:dyDescent="0.2"/>
  <cols>
    <col min="1" max="1" width="21.83203125" customWidth="1"/>
    <col min="2" max="2" width="21.33203125" customWidth="1"/>
    <col min="3" max="3" width="21.83203125" customWidth="1"/>
    <col min="4" max="4" width="22" customWidth="1"/>
    <col min="5" max="5" width="21.5" customWidth="1"/>
    <col min="6" max="6" width="21.83203125" customWidth="1"/>
    <col min="7" max="7" width="22.1640625" customWidth="1"/>
  </cols>
  <sheetData>
    <row r="1" spans="1:7" s="1" customFormat="1" x14ac:dyDescent="0.2">
      <c r="A1" s="1" t="s">
        <v>0</v>
      </c>
      <c r="B1" s="1" t="s">
        <v>2</v>
      </c>
      <c r="C1" s="1" t="s">
        <v>5</v>
      </c>
      <c r="D1" s="1" t="s">
        <v>1</v>
      </c>
      <c r="E1" s="1" t="s">
        <v>3</v>
      </c>
      <c r="F1" s="1" t="s">
        <v>4</v>
      </c>
      <c r="G1" s="1" t="s">
        <v>6</v>
      </c>
    </row>
    <row r="2" spans="1:7" x14ac:dyDescent="0.2">
      <c r="A2">
        <v>1</v>
      </c>
      <c r="B2" s="2">
        <v>4468000000</v>
      </c>
      <c r="C2" s="2">
        <f>B2/LN(2)</f>
        <v>6445961442.6918888</v>
      </c>
      <c r="D2" s="2">
        <f>1/C2</f>
        <v>1.5513589538047119E-10</v>
      </c>
      <c r="E2" s="2">
        <f>1/F2</f>
        <v>0.99912402361724273</v>
      </c>
      <c r="F2" s="2">
        <f>D2/$G$2</f>
        <v>1.0008767443901367</v>
      </c>
      <c r="G2" s="2">
        <v>1.5500000000000001E-10</v>
      </c>
    </row>
    <row r="3" spans="1:7" x14ac:dyDescent="0.2">
      <c r="A3">
        <v>2</v>
      </c>
      <c r="B3">
        <f>24.1/365</f>
        <v>6.6027397260273971E-2</v>
      </c>
      <c r="C3" s="2">
        <f t="shared" ref="C3:C19" si="0">B3/LN(2)</f>
        <v>9.5257398590202796E-2</v>
      </c>
      <c r="D3" s="2">
        <f t="shared" ref="D3:D19" si="1">1/C3</f>
        <v>10.497872236696267</v>
      </c>
      <c r="E3" s="2">
        <f t="shared" ref="E3:E19" si="2">1/F3</f>
        <v>1.4764896781481431E-11</v>
      </c>
      <c r="F3" s="2">
        <f t="shared" ref="F3:F19" si="3">D3/$G$2</f>
        <v>67728207978.685593</v>
      </c>
    </row>
    <row r="4" spans="1:7" x14ac:dyDescent="0.2">
      <c r="A4">
        <v>3</v>
      </c>
      <c r="B4" s="2">
        <f>1.159/60/24/365</f>
        <v>2.2050989345509894E-6</v>
      </c>
      <c r="C4" s="2">
        <f t="shared" si="0"/>
        <v>3.1812852975462493E-6</v>
      </c>
      <c r="D4" s="2">
        <f t="shared" si="1"/>
        <v>314338.35901838419</v>
      </c>
      <c r="E4" s="2">
        <f t="shared" si="2"/>
        <v>4.9309922111966865E-16</v>
      </c>
      <c r="F4" s="2">
        <f t="shared" si="3"/>
        <v>2027989413021833.2</v>
      </c>
    </row>
    <row r="5" spans="1:7" x14ac:dyDescent="0.2">
      <c r="A5">
        <v>4</v>
      </c>
      <c r="B5" s="2">
        <v>245500</v>
      </c>
      <c r="C5" s="2">
        <f t="shared" si="0"/>
        <v>354181.63253824052</v>
      </c>
      <c r="D5" s="2">
        <f t="shared" si="1"/>
        <v>2.82341010411383E-6</v>
      </c>
      <c r="E5" s="2">
        <f t="shared" si="2"/>
        <v>5.4898153043427292E-5</v>
      </c>
      <c r="F5" s="2">
        <f t="shared" si="3"/>
        <v>18215.549058798901</v>
      </c>
    </row>
    <row r="6" spans="1:7" x14ac:dyDescent="0.2">
      <c r="A6">
        <v>5</v>
      </c>
      <c r="B6" s="2">
        <v>75400</v>
      </c>
      <c r="C6" s="2">
        <f t="shared" si="0"/>
        <v>108779.20608302785</v>
      </c>
      <c r="D6" s="2">
        <f t="shared" si="1"/>
        <v>9.1929334291769932E-6</v>
      </c>
      <c r="E6" s="2">
        <f t="shared" si="2"/>
        <v>1.6860776942869315E-5</v>
      </c>
      <c r="F6" s="2">
        <f t="shared" si="3"/>
        <v>59309.247930174148</v>
      </c>
    </row>
    <row r="7" spans="1:7" x14ac:dyDescent="0.2">
      <c r="A7">
        <v>6</v>
      </c>
      <c r="B7" s="2">
        <v>1600</v>
      </c>
      <c r="C7" s="2">
        <f t="shared" si="0"/>
        <v>2308.3120654223417</v>
      </c>
      <c r="D7" s="2">
        <f t="shared" si="1"/>
        <v>4.3321698784996578E-4</v>
      </c>
      <c r="E7" s="2">
        <f t="shared" si="2"/>
        <v>3.5778837014046299E-7</v>
      </c>
      <c r="F7" s="2">
        <f t="shared" si="3"/>
        <v>2794948.3087094566</v>
      </c>
    </row>
    <row r="8" spans="1:7" x14ac:dyDescent="0.2">
      <c r="A8">
        <v>7</v>
      </c>
      <c r="B8">
        <f>3.8235/365</f>
        <v>1.0475342465753426E-2</v>
      </c>
      <c r="C8" s="2">
        <f t="shared" si="0"/>
        <v>1.5112724626956033E-2</v>
      </c>
      <c r="D8" s="2">
        <f t="shared" si="1"/>
        <v>66.169405231955025</v>
      </c>
      <c r="E8" s="2">
        <f t="shared" si="2"/>
        <v>2.3424723171781853E-12</v>
      </c>
      <c r="F8" s="2">
        <f t="shared" si="3"/>
        <v>426899388593.25818</v>
      </c>
    </row>
    <row r="9" spans="1:7" x14ac:dyDescent="0.2">
      <c r="A9">
        <v>8</v>
      </c>
      <c r="B9">
        <f>3.098/60/24/365</f>
        <v>5.8942161339421609E-6</v>
      </c>
      <c r="C9" s="2">
        <f t="shared" si="0"/>
        <v>8.5035563863660734E-6</v>
      </c>
      <c r="D9" s="2">
        <f t="shared" si="1"/>
        <v>117597.85606917601</v>
      </c>
      <c r="E9" s="2">
        <f t="shared" si="2"/>
        <v>1.3180512398867414E-15</v>
      </c>
      <c r="F9" s="2">
        <f t="shared" si="3"/>
        <v>758695845607587.12</v>
      </c>
    </row>
    <row r="10" spans="1:7" x14ac:dyDescent="0.2">
      <c r="A10">
        <v>9</v>
      </c>
      <c r="B10">
        <f>1.5/60/60/24/365</f>
        <v>4.7564687975646879E-8</v>
      </c>
      <c r="C10" s="2">
        <f t="shared" si="0"/>
        <v>6.8621339463896667E-8</v>
      </c>
      <c r="D10" s="2">
        <f t="shared" si="1"/>
        <v>14572726.324092289</v>
      </c>
      <c r="E10" s="2">
        <f t="shared" si="2"/>
        <v>1.0636307616903983E-17</v>
      </c>
      <c r="F10" s="2">
        <f t="shared" si="3"/>
        <v>9.4017589187692192E+16</v>
      </c>
    </row>
    <row r="11" spans="1:7" x14ac:dyDescent="0.2">
      <c r="A11">
        <v>10</v>
      </c>
      <c r="B11">
        <f>27.06/60/24/365</f>
        <v>5.1484018264840178E-5</v>
      </c>
      <c r="C11" s="2">
        <f t="shared" si="0"/>
        <v>7.4275737835721736E-5</v>
      </c>
      <c r="D11" s="2">
        <f t="shared" si="1"/>
        <v>13463.346566973662</v>
      </c>
      <c r="E11" s="2">
        <f t="shared" si="2"/>
        <v>1.151273936453687E-14</v>
      </c>
      <c r="F11" s="2">
        <f t="shared" si="3"/>
        <v>86860300432088.141</v>
      </c>
    </row>
    <row r="12" spans="1:7" x14ac:dyDescent="0.2">
      <c r="A12">
        <v>11</v>
      </c>
      <c r="B12">
        <f>19.9/60/24/365</f>
        <v>3.7861491628614916E-5</v>
      </c>
      <c r="C12" s="2">
        <f t="shared" si="0"/>
        <v>5.4622586213261743E-5</v>
      </c>
      <c r="D12" s="2">
        <f t="shared" si="1"/>
        <v>18307.445130769207</v>
      </c>
      <c r="E12" s="2">
        <f t="shared" si="2"/>
        <v>8.4665008630555703E-15</v>
      </c>
      <c r="F12" s="2">
        <f t="shared" si="3"/>
        <v>118112549230769.08</v>
      </c>
    </row>
    <row r="13" spans="1:7" x14ac:dyDescent="0.2">
      <c r="A13">
        <v>12</v>
      </c>
      <c r="B13">
        <f>0.0001636/60/60/24/365</f>
        <v>5.1877219685438864E-12</v>
      </c>
      <c r="C13" s="2">
        <f t="shared" si="0"/>
        <v>7.4843007575289955E-12</v>
      </c>
      <c r="D13" s="2">
        <f t="shared" si="1"/>
        <v>133613016418.9391</v>
      </c>
      <c r="E13" s="2">
        <f t="shared" si="2"/>
        <v>1.1600666174169944E-21</v>
      </c>
      <c r="F13" s="2">
        <f t="shared" si="3"/>
        <v>8.6201946076734895E+20</v>
      </c>
    </row>
    <row r="14" spans="1:7" x14ac:dyDescent="0.2">
      <c r="A14">
        <v>13</v>
      </c>
      <c r="B14">
        <f>1.3/60/24/365</f>
        <v>2.4733637747336381E-6</v>
      </c>
      <c r="C14" s="2">
        <f t="shared" si="0"/>
        <v>3.5683096521226271E-6</v>
      </c>
      <c r="D14" s="2">
        <f t="shared" si="1"/>
        <v>280244.73700177477</v>
      </c>
      <c r="E14" s="2">
        <f t="shared" si="2"/>
        <v>5.5308799607900715E-16</v>
      </c>
      <c r="F14" s="2">
        <f t="shared" si="3"/>
        <v>1808030561301772.8</v>
      </c>
    </row>
    <row r="15" spans="1:7" x14ac:dyDescent="0.2">
      <c r="A15">
        <v>14</v>
      </c>
      <c r="B15">
        <v>22.2</v>
      </c>
      <c r="C15" s="2">
        <f t="shared" si="0"/>
        <v>32.02782990773499</v>
      </c>
      <c r="D15" s="2">
        <f t="shared" si="1"/>
        <v>3.1222845971168707E-2</v>
      </c>
      <c r="E15" s="2">
        <f t="shared" si="2"/>
        <v>4.9643136356989229E-9</v>
      </c>
      <c r="F15" s="2">
        <f t="shared" si="3"/>
        <v>201437715.94302392</v>
      </c>
    </row>
    <row r="16" spans="1:7" x14ac:dyDescent="0.2">
      <c r="A16">
        <v>15</v>
      </c>
      <c r="B16">
        <f>5.012/365</f>
        <v>1.3731506849315067E-2</v>
      </c>
      <c r="C16" s="2">
        <f t="shared" si="0"/>
        <v>1.9810376835439684E-2</v>
      </c>
      <c r="D16" s="2">
        <f t="shared" si="1"/>
        <v>50.478595551552282</v>
      </c>
      <c r="E16" s="2">
        <f t="shared" si="2"/>
        <v>3.0706084094931515E-12</v>
      </c>
      <c r="F16" s="2">
        <f t="shared" si="3"/>
        <v>325668358397.11145</v>
      </c>
    </row>
    <row r="17" spans="1:6" x14ac:dyDescent="0.2">
      <c r="A17">
        <v>16</v>
      </c>
      <c r="B17">
        <f>138.376/365</f>
        <v>0.37911232876712331</v>
      </c>
      <c r="C17" s="2">
        <f t="shared" si="0"/>
        <v>0.54694347665219512</v>
      </c>
      <c r="D17" s="2">
        <f t="shared" si="1"/>
        <v>1.8283424936721686</v>
      </c>
      <c r="E17" s="2">
        <f t="shared" si="2"/>
        <v>8.4776238881090251E-11</v>
      </c>
      <c r="F17" s="2">
        <f t="shared" si="3"/>
        <v>11795758023.69141</v>
      </c>
    </row>
    <row r="18" spans="1:6" x14ac:dyDescent="0.2">
      <c r="A18">
        <v>17</v>
      </c>
      <c r="B18">
        <f>8.32/60/24/365</f>
        <v>1.582952815829528E-5</v>
      </c>
      <c r="C18" s="2">
        <f t="shared" si="0"/>
        <v>2.283718177358481E-5</v>
      </c>
      <c r="D18" s="2">
        <f t="shared" si="1"/>
        <v>43788.24015652731</v>
      </c>
      <c r="E18" s="2">
        <f t="shared" si="2"/>
        <v>3.5397631749056459E-15</v>
      </c>
      <c r="F18" s="2">
        <f t="shared" si="3"/>
        <v>282504775203402</v>
      </c>
    </row>
    <row r="19" spans="1:6" x14ac:dyDescent="0.2">
      <c r="A19">
        <v>18</v>
      </c>
      <c r="B19">
        <f>4.202/60/24/365</f>
        <v>7.9946727549467287E-6</v>
      </c>
      <c r="C19" s="2">
        <f t="shared" si="0"/>
        <v>1.1533874737091752E-5</v>
      </c>
      <c r="D19" s="2">
        <f t="shared" si="1"/>
        <v>86701.132342291108</v>
      </c>
      <c r="E19" s="2">
        <f t="shared" si="2"/>
        <v>1.7877505842492216E-15</v>
      </c>
      <c r="F19" s="2">
        <f t="shared" si="3"/>
        <v>559362144143813.56</v>
      </c>
    </row>
    <row r="24" spans="1:6" s="3" customFormat="1" x14ac:dyDescent="0.2">
      <c r="A24" s="3" t="s">
        <v>0</v>
      </c>
      <c r="B24" s="3" t="s">
        <v>8</v>
      </c>
      <c r="C24" s="3" t="s">
        <v>7</v>
      </c>
    </row>
    <row r="25" spans="1:6" x14ac:dyDescent="0.2">
      <c r="A25">
        <v>8</v>
      </c>
      <c r="B25">
        <f>0.0002*100</f>
        <v>0.02</v>
      </c>
      <c r="C25">
        <f>0.9998*100</f>
        <v>99.98</v>
      </c>
    </row>
    <row r="26" spans="1:6" x14ac:dyDescent="0.2">
      <c r="A26">
        <v>11</v>
      </c>
      <c r="B26">
        <f>0.9998*100</f>
        <v>99.98</v>
      </c>
      <c r="C26" s="2">
        <f>0.0002*100</f>
        <v>0.02</v>
      </c>
    </row>
    <row r="27" spans="1:6" x14ac:dyDescent="0.2">
      <c r="A27">
        <v>14</v>
      </c>
      <c r="B27">
        <f>1*100</f>
        <v>100</v>
      </c>
      <c r="C27">
        <f>0.000000019*100</f>
        <v>1.9000000000000002E-6</v>
      </c>
    </row>
    <row r="28" spans="1:6" x14ac:dyDescent="0.2">
      <c r="A28">
        <v>15</v>
      </c>
      <c r="B28">
        <f>1*100</f>
        <v>100</v>
      </c>
      <c r="C28">
        <f>0.0000013*100</f>
        <v>1.3000000000000002E-4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A64B6C-DEC2-C34F-9D2C-E99132B53E3A}">
  <dimension ref="A1:K37"/>
  <sheetViews>
    <sheetView workbookViewId="0">
      <selection activeCell="B3" sqref="B3"/>
    </sheetView>
  </sheetViews>
  <sheetFormatPr baseColWidth="10" defaultRowHeight="16" x14ac:dyDescent="0.2"/>
  <cols>
    <col min="1" max="1" width="21.83203125" customWidth="1"/>
    <col min="2" max="2" width="31.1640625" style="6" customWidth="1"/>
    <col min="3" max="3" width="25.5" style="6" customWidth="1"/>
    <col min="4" max="4" width="31.5" customWidth="1"/>
    <col min="5" max="5" width="26" customWidth="1"/>
    <col min="6" max="6" width="32.83203125" customWidth="1"/>
    <col min="7" max="7" width="21.83203125" style="11" customWidth="1"/>
    <col min="8" max="8" width="21.6640625" customWidth="1"/>
  </cols>
  <sheetData>
    <row r="1" spans="1:11" s="4" customFormat="1" x14ac:dyDescent="0.2">
      <c r="A1" s="4" t="s">
        <v>9</v>
      </c>
      <c r="B1" s="5" t="s">
        <v>67</v>
      </c>
      <c r="C1" s="5" t="s">
        <v>13</v>
      </c>
      <c r="D1" s="4" t="s">
        <v>66</v>
      </c>
      <c r="E1" s="4" t="s">
        <v>42</v>
      </c>
      <c r="F1" s="4" t="s">
        <v>43</v>
      </c>
      <c r="G1" s="10" t="s">
        <v>71</v>
      </c>
      <c r="H1" s="4" t="s">
        <v>74</v>
      </c>
    </row>
    <row r="2" spans="1:11" x14ac:dyDescent="0.2">
      <c r="A2" t="s">
        <v>10</v>
      </c>
      <c r="B2" s="6">
        <v>2.9999999999999998E-14</v>
      </c>
      <c r="C2" s="6">
        <f>B2*($D$2/0.00000000000003)</f>
        <v>2.9999999999999998E-14</v>
      </c>
      <c r="D2" s="2">
        <v>2.9999999999999998E-14</v>
      </c>
      <c r="E2" s="6">
        <f>$F$2*C2</f>
        <v>19038570000</v>
      </c>
      <c r="F2" s="6">
        <v>6.3461900000000002E+23</v>
      </c>
      <c r="G2" s="11">
        <v>4.0815999999999999</v>
      </c>
    </row>
    <row r="3" spans="1:11" x14ac:dyDescent="0.2">
      <c r="A3" t="s">
        <v>11</v>
      </c>
      <c r="B3" s="6">
        <f>4.07056E-24</f>
        <v>4.0705599999999999E-24</v>
      </c>
      <c r="C3" s="6">
        <f t="shared" ref="C3:C8" si="0">B3*($D$2/0.00000000000003)</f>
        <v>4.0705599999999999E-24</v>
      </c>
      <c r="E3" s="6">
        <f t="shared" ref="E3:E8" si="1">$F$2*C3</f>
        <v>2.5832547166399999</v>
      </c>
      <c r="G3" s="11">
        <v>5.5201500000000001</v>
      </c>
    </row>
    <row r="4" spans="1:11" x14ac:dyDescent="0.2">
      <c r="A4" t="s">
        <v>12</v>
      </c>
      <c r="B4" s="6">
        <f>2.11268E-26</f>
        <v>2.1126800000000001E-26</v>
      </c>
      <c r="C4" s="6">
        <f t="shared" si="0"/>
        <v>2.1126800000000001E-26</v>
      </c>
      <c r="E4" s="6">
        <f t="shared" si="1"/>
        <v>1.3407468689200001E-2</v>
      </c>
      <c r="G4" s="11">
        <v>5.7889214999999998</v>
      </c>
      <c r="J4" s="12"/>
      <c r="K4" t="s">
        <v>72</v>
      </c>
    </row>
    <row r="5" spans="1:11" x14ac:dyDescent="0.2">
      <c r="A5" t="s">
        <v>14</v>
      </c>
      <c r="B5" s="6">
        <v>3.7546900000000003E-30</v>
      </c>
      <c r="C5" s="6">
        <f t="shared" si="0"/>
        <v>3.7546900000000003E-30</v>
      </c>
      <c r="E5" s="6">
        <f t="shared" si="1"/>
        <v>2.3827976131100004E-6</v>
      </c>
      <c r="G5" s="11">
        <v>6.4047409999999996</v>
      </c>
    </row>
    <row r="6" spans="1:11" s="12" customFormat="1" x14ac:dyDescent="0.2">
      <c r="A6" s="12" t="s">
        <v>15</v>
      </c>
      <c r="B6" s="13">
        <v>9.8039200000000002E-33</v>
      </c>
      <c r="C6" s="13">
        <f t="shared" si="0"/>
        <v>9.8039200000000002E-33</v>
      </c>
      <c r="E6" s="13">
        <f t="shared" si="1"/>
        <v>6.2217539064800001E-9</v>
      </c>
      <c r="G6" s="14">
        <v>6.9063499999999998</v>
      </c>
    </row>
    <row r="7" spans="1:11" s="12" customFormat="1" x14ac:dyDescent="0.2">
      <c r="A7" s="12" t="s">
        <v>16</v>
      </c>
      <c r="B7" s="13">
        <v>1.2898000000000001E-38</v>
      </c>
      <c r="C7" s="13">
        <f t="shared" si="0"/>
        <v>1.2898000000000001E-38</v>
      </c>
      <c r="E7" s="13">
        <f t="shared" si="1"/>
        <v>8.1853158620000008E-15</v>
      </c>
      <c r="G7" s="14">
        <v>8.9541910999999992</v>
      </c>
    </row>
    <row r="8" spans="1:11" s="12" customFormat="1" x14ac:dyDescent="0.2">
      <c r="A8" s="12" t="s">
        <v>17</v>
      </c>
      <c r="B8" s="13">
        <f>2.45902E-28</f>
        <v>2.4590199999999999E-28</v>
      </c>
      <c r="C8" s="13">
        <f t="shared" si="0"/>
        <v>2.4590199999999999E-28</v>
      </c>
      <c r="E8" s="13">
        <f t="shared" si="1"/>
        <v>1.5605408133800001E-4</v>
      </c>
      <c r="G8" s="14">
        <v>6.2072630000000002</v>
      </c>
      <c r="H8" s="12" t="s">
        <v>73</v>
      </c>
    </row>
    <row r="9" spans="1:11" x14ac:dyDescent="0.2">
      <c r="E9" s="6"/>
    </row>
    <row r="10" spans="1:11" s="4" customFormat="1" x14ac:dyDescent="0.2">
      <c r="A10" s="4" t="s">
        <v>9</v>
      </c>
      <c r="B10" s="5" t="s">
        <v>68</v>
      </c>
      <c r="C10" s="5" t="s">
        <v>13</v>
      </c>
      <c r="D10" s="4" t="s">
        <v>66</v>
      </c>
      <c r="E10" s="4" t="s">
        <v>42</v>
      </c>
      <c r="F10" s="4" t="s">
        <v>43</v>
      </c>
      <c r="G10" s="10" t="s">
        <v>71</v>
      </c>
    </row>
    <row r="11" spans="1:11" x14ac:dyDescent="0.2">
      <c r="A11" t="s">
        <v>18</v>
      </c>
      <c r="B11" s="6">
        <v>8.9999999999999995E-15</v>
      </c>
      <c r="C11" s="6">
        <f>B11*($D$11/0.000000000000009)</f>
        <v>8.9999999999999995E-15</v>
      </c>
      <c r="D11" s="2">
        <v>8.9999999999999995E-15</v>
      </c>
      <c r="E11" s="6">
        <f>$F$11*C11</f>
        <v>5711571000</v>
      </c>
      <c r="F11" s="6">
        <v>6.3461900000000002E+23</v>
      </c>
      <c r="G11" s="11">
        <v>4.2699210000000001</v>
      </c>
    </row>
    <row r="12" spans="1:11" x14ac:dyDescent="0.2">
      <c r="A12" t="s">
        <v>19</v>
      </c>
      <c r="B12" s="6">
        <f>4.94533E-19</f>
        <v>4.9453300000000002E-19</v>
      </c>
      <c r="C12" s="6">
        <f t="shared" ref="C12:C22" si="2">B12*($D$11/0.000000000000009)</f>
        <v>4.9453300000000002E-19</v>
      </c>
      <c r="E12" s="6">
        <f t="shared" ref="E12:E22" si="3">$F$11*C12</f>
        <v>313840.03792700003</v>
      </c>
      <c r="G12" s="11">
        <v>4.8575699999999999</v>
      </c>
    </row>
    <row r="13" spans="1:11" x14ac:dyDescent="0.2">
      <c r="A13" t="s">
        <v>20</v>
      </c>
      <c r="B13" s="6">
        <f>1.51782E-19</f>
        <v>1.5178200000000001E-19</v>
      </c>
      <c r="C13" s="6">
        <f t="shared" si="2"/>
        <v>1.5178200000000001E-19</v>
      </c>
      <c r="E13" s="6">
        <f t="shared" si="3"/>
        <v>96323.741058000014</v>
      </c>
      <c r="G13" s="11">
        <v>4.7700149999999999</v>
      </c>
    </row>
    <row r="14" spans="1:11" x14ac:dyDescent="0.2">
      <c r="A14" t="s">
        <v>21</v>
      </c>
      <c r="B14" s="6">
        <f>3.22604E-21</f>
        <v>3.22604E-21</v>
      </c>
      <c r="C14" s="6">
        <f t="shared" si="2"/>
        <v>3.22604E-21</v>
      </c>
      <c r="E14" s="6">
        <f t="shared" si="3"/>
        <v>2047.3062787599999</v>
      </c>
      <c r="G14" s="11">
        <v>4.87073</v>
      </c>
    </row>
    <row r="15" spans="1:11" x14ac:dyDescent="0.2">
      <c r="A15" t="s">
        <v>22</v>
      </c>
      <c r="B15" s="6">
        <v>2.1078800000000001E-26</v>
      </c>
      <c r="C15" s="6">
        <f t="shared" si="2"/>
        <v>2.1078800000000001E-26</v>
      </c>
      <c r="E15" s="6">
        <f t="shared" si="3"/>
        <v>1.3377006977200002E-2</v>
      </c>
      <c r="G15" s="11">
        <v>5.5904299999999996</v>
      </c>
    </row>
    <row r="16" spans="1:11" s="12" customFormat="1" x14ac:dyDescent="0.2">
      <c r="A16" s="12" t="s">
        <v>24</v>
      </c>
      <c r="B16" s="13">
        <v>1.9150299999999999E-35</v>
      </c>
      <c r="C16" s="13">
        <f t="shared" si="2"/>
        <v>1.9150299999999999E-35</v>
      </c>
      <c r="D16" s="15"/>
      <c r="E16" s="13">
        <f t="shared" si="3"/>
        <v>1.2153144235699999E-11</v>
      </c>
      <c r="G16" s="14">
        <v>6.8762999999999996</v>
      </c>
    </row>
    <row r="17" spans="1:8" x14ac:dyDescent="0.2">
      <c r="A17" t="s">
        <v>23</v>
      </c>
      <c r="B17" s="6">
        <v>1.1858500000000001E-29</v>
      </c>
      <c r="C17" s="6">
        <f t="shared" si="2"/>
        <v>1.1858500000000001E-29</v>
      </c>
      <c r="E17" s="6">
        <f t="shared" si="3"/>
        <v>7.5256294115000006E-6</v>
      </c>
      <c r="G17" s="11">
        <v>6.1147590000000003</v>
      </c>
    </row>
    <row r="18" spans="1:8" s="12" customFormat="1" x14ac:dyDescent="0.2">
      <c r="A18" s="12" t="s">
        <v>26</v>
      </c>
      <c r="B18" s="13">
        <v>1.04395E-35</v>
      </c>
      <c r="C18" s="13">
        <f t="shared" si="2"/>
        <v>1.04395E-35</v>
      </c>
      <c r="E18" s="13">
        <f t="shared" si="3"/>
        <v>6.6251050504999998E-12</v>
      </c>
      <c r="G18" s="14">
        <v>7.8335460000000001</v>
      </c>
    </row>
    <row r="19" spans="1:8" x14ac:dyDescent="0.2">
      <c r="A19" t="s">
        <v>29</v>
      </c>
      <c r="B19" s="6">
        <v>7.62767E-25</v>
      </c>
      <c r="C19" s="6">
        <f t="shared" si="2"/>
        <v>7.62767E-25</v>
      </c>
      <c r="E19" s="6">
        <f t="shared" si="3"/>
        <v>0.48406643077299999</v>
      </c>
      <c r="G19" s="11">
        <v>5.4075369999999996</v>
      </c>
    </row>
    <row r="20" spans="1:8" s="12" customFormat="1" x14ac:dyDescent="0.2">
      <c r="A20" s="12" t="s">
        <v>25</v>
      </c>
      <c r="B20" s="13">
        <v>7.6275999999999997E-29</v>
      </c>
      <c r="C20" s="13">
        <f t="shared" si="2"/>
        <v>7.6275999999999997E-29</v>
      </c>
      <c r="E20" s="13">
        <f t="shared" si="3"/>
        <v>4.8406198843999999E-5</v>
      </c>
      <c r="G20" s="14">
        <v>5.6212999999999997</v>
      </c>
      <c r="H20" s="12" t="s">
        <v>73</v>
      </c>
    </row>
    <row r="21" spans="1:8" x14ac:dyDescent="0.2">
      <c r="A21" t="s">
        <v>28</v>
      </c>
      <c r="B21" s="6">
        <v>2.7609400000000002E-26</v>
      </c>
      <c r="C21" s="6">
        <f t="shared" si="2"/>
        <v>2.7609400000000002E-26</v>
      </c>
      <c r="E21" s="6">
        <f t="shared" si="3"/>
        <v>1.7521449818600002E-2</v>
      </c>
      <c r="G21" s="11">
        <v>5.0365799999999998</v>
      </c>
    </row>
    <row r="22" spans="1:8" x14ac:dyDescent="0.2">
      <c r="A22" t="s">
        <v>27</v>
      </c>
      <c r="B22" s="6">
        <v>4.47794E-23</v>
      </c>
      <c r="C22" s="6">
        <f t="shared" si="2"/>
        <v>4.47794E-23</v>
      </c>
      <c r="E22" s="6">
        <f t="shared" si="3"/>
        <v>28.417858048599999</v>
      </c>
      <c r="G22" s="11">
        <v>3.7921999999999998</v>
      </c>
    </row>
    <row r="25" spans="1:8" s="4" customFormat="1" x14ac:dyDescent="0.2">
      <c r="A25" s="4" t="s">
        <v>9</v>
      </c>
      <c r="B25" s="5" t="s">
        <v>69</v>
      </c>
      <c r="C25" s="5" t="s">
        <v>13</v>
      </c>
      <c r="D25" s="4" t="s">
        <v>66</v>
      </c>
      <c r="E25" s="4" t="s">
        <v>42</v>
      </c>
      <c r="F25" s="4" t="s">
        <v>43</v>
      </c>
      <c r="G25" s="10" t="s">
        <v>71</v>
      </c>
    </row>
    <row r="26" spans="1:8" x14ac:dyDescent="0.2">
      <c r="A26" t="s">
        <v>30</v>
      </c>
      <c r="B26" s="6">
        <v>6.4836000000000002E-17</v>
      </c>
      <c r="C26" s="6">
        <f>B26*($D$26/6.4836E-17)</f>
        <v>6.4836000000000002E-17</v>
      </c>
      <c r="D26" s="8">
        <f>0.007204*D11</f>
        <v>6.4836000000000002E-17</v>
      </c>
      <c r="E26" s="6">
        <f>$F$26*C26</f>
        <v>41146157.484000005</v>
      </c>
      <c r="F26" s="6">
        <v>6.3461900000000002E+23</v>
      </c>
      <c r="G26" s="11">
        <v>4.6781699999999997</v>
      </c>
    </row>
    <row r="27" spans="1:8" x14ac:dyDescent="0.2">
      <c r="A27" t="s">
        <v>31</v>
      </c>
      <c r="B27" s="6">
        <v>3.0157699999999998E-21</v>
      </c>
      <c r="C27" s="6">
        <f t="shared" ref="C27:C37" si="4">B27*($D$26/6.4836E-17)</f>
        <v>3.0157699999999998E-21</v>
      </c>
      <c r="E27" s="6">
        <f t="shared" ref="E27:E37" si="5">$F$26*C27</f>
        <v>1913.86494163</v>
      </c>
      <c r="G27" s="11">
        <v>5.1499800000000002</v>
      </c>
    </row>
    <row r="28" spans="1:8" x14ac:dyDescent="0.2">
      <c r="A28" t="s">
        <v>33</v>
      </c>
      <c r="B28" s="6">
        <v>4.6674600000000001E-27</v>
      </c>
      <c r="C28" s="6">
        <f t="shared" si="4"/>
        <v>4.6674600000000001E-27</v>
      </c>
      <c r="E28" s="6">
        <f t="shared" si="5"/>
        <v>2.96205879774E-3</v>
      </c>
      <c r="G28" s="11">
        <v>6.1466010000000004</v>
      </c>
    </row>
    <row r="29" spans="1:8" x14ac:dyDescent="0.2">
      <c r="A29" t="s">
        <v>32</v>
      </c>
      <c r="B29" s="6">
        <v>2.0074E-24</v>
      </c>
      <c r="C29" s="6">
        <f t="shared" si="4"/>
        <v>2.0074E-24</v>
      </c>
      <c r="E29" s="6">
        <f t="shared" si="5"/>
        <v>1.2739341806</v>
      </c>
      <c r="G29" s="11">
        <v>5.0422713999999997</v>
      </c>
    </row>
    <row r="30" spans="1:8" x14ac:dyDescent="0.2">
      <c r="A30" t="s">
        <v>35</v>
      </c>
      <c r="B30" s="6">
        <v>2.8817300000000002E-27</v>
      </c>
      <c r="C30" s="6">
        <f t="shared" si="4"/>
        <v>2.8817300000000002E-27</v>
      </c>
      <c r="E30" s="6">
        <f t="shared" si="5"/>
        <v>1.8288006108700002E-3</v>
      </c>
      <c r="G30" s="11">
        <v>5.9789921000000001</v>
      </c>
    </row>
    <row r="31" spans="1:8" x14ac:dyDescent="0.2">
      <c r="A31" t="s">
        <v>34</v>
      </c>
      <c r="B31" s="6">
        <v>5.32606E-32</v>
      </c>
      <c r="C31" s="6">
        <f t="shared" si="4"/>
        <v>5.32606E-32</v>
      </c>
      <c r="E31" s="6">
        <f t="shared" si="5"/>
        <v>3.3800188711400002E-8</v>
      </c>
      <c r="G31" s="11">
        <v>5.5613000000000001</v>
      </c>
    </row>
    <row r="32" spans="1:8" s="12" customFormat="1" x14ac:dyDescent="0.2">
      <c r="A32" s="12" t="s">
        <v>37</v>
      </c>
      <c r="B32" s="13">
        <v>1.15793E-32</v>
      </c>
      <c r="C32" s="13">
        <f t="shared" si="4"/>
        <v>1.15793E-32</v>
      </c>
      <c r="E32" s="13">
        <f t="shared" si="5"/>
        <v>7.3484437867000002E-9</v>
      </c>
      <c r="G32" s="14">
        <v>6.9462299999999999</v>
      </c>
    </row>
    <row r="33" spans="1:7" x14ac:dyDescent="0.2">
      <c r="A33" t="s">
        <v>36</v>
      </c>
      <c r="B33" s="6">
        <v>1.3557199999999999E-35</v>
      </c>
      <c r="C33" s="6">
        <f t="shared" si="4"/>
        <v>1.3557199999999999E-35</v>
      </c>
      <c r="E33" s="6">
        <f t="shared" si="5"/>
        <v>8.6036567067999988E-12</v>
      </c>
      <c r="G33" s="11">
        <v>6.3425000000000002</v>
      </c>
    </row>
    <row r="34" spans="1:7" s="12" customFormat="1" x14ac:dyDescent="0.2">
      <c r="A34" s="12" t="s">
        <v>39</v>
      </c>
      <c r="B34" s="13">
        <v>2.9209100000000002E-37</v>
      </c>
      <c r="C34" s="13">
        <f t="shared" si="4"/>
        <v>2.9209100000000002E-37</v>
      </c>
      <c r="E34" s="13">
        <f t="shared" si="5"/>
        <v>1.8536649832900002E-13</v>
      </c>
      <c r="G34" s="14">
        <v>8.1783999999999999</v>
      </c>
    </row>
    <row r="35" spans="1:7" s="12" customFormat="1" x14ac:dyDescent="0.2">
      <c r="A35" s="12" t="s">
        <v>38</v>
      </c>
      <c r="B35" s="13">
        <v>5.1875399999999997E-36</v>
      </c>
      <c r="C35" s="13">
        <f t="shared" si="4"/>
        <v>5.1875399999999997E-36</v>
      </c>
      <c r="E35" s="13">
        <f t="shared" si="5"/>
        <v>3.29211144726E-12</v>
      </c>
      <c r="G35" s="14">
        <v>7.5263799999999996</v>
      </c>
    </row>
    <row r="36" spans="1:7" s="12" customFormat="1" x14ac:dyDescent="0.2">
      <c r="A36" s="12" t="s">
        <v>41</v>
      </c>
      <c r="B36" s="13">
        <v>1.50413E-33</v>
      </c>
      <c r="C36" s="13">
        <f t="shared" si="4"/>
        <v>1.50413E-33</v>
      </c>
      <c r="E36" s="13">
        <f t="shared" si="5"/>
        <v>9.5454947647000005E-10</v>
      </c>
      <c r="G36" s="14">
        <v>7.5946499999999997</v>
      </c>
    </row>
    <row r="37" spans="1:7" s="12" customFormat="1" x14ac:dyDescent="0.2">
      <c r="A37" s="12" t="s">
        <v>40</v>
      </c>
      <c r="B37" s="13">
        <v>3.7490899999999998E-31</v>
      </c>
      <c r="C37" s="13">
        <f t="shared" si="4"/>
        <v>3.7490899999999998E-31</v>
      </c>
      <c r="E37" s="13">
        <f t="shared" si="5"/>
        <v>2.3792437467100001E-7</v>
      </c>
      <c r="G37" s="14">
        <v>6.7504499999999998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4BF7A-0142-9B4A-8871-96C42DF45FD4}">
  <dimension ref="A1:K37"/>
  <sheetViews>
    <sheetView workbookViewId="0">
      <selection activeCell="E11" sqref="E11"/>
    </sheetView>
  </sheetViews>
  <sheetFormatPr baseColWidth="10" defaultRowHeight="16" x14ac:dyDescent="0.2"/>
  <cols>
    <col min="1" max="1" width="21.83203125" customWidth="1"/>
    <col min="2" max="2" width="31.1640625" style="6" customWidth="1"/>
    <col min="3" max="3" width="25.5" style="6" customWidth="1"/>
    <col min="4" max="4" width="31.5" customWidth="1"/>
    <col min="5" max="5" width="26" customWidth="1"/>
    <col min="6" max="6" width="32.83203125" customWidth="1"/>
    <col min="7" max="7" width="21.83203125" style="11" customWidth="1"/>
    <col min="8" max="8" width="21.6640625" customWidth="1"/>
  </cols>
  <sheetData>
    <row r="1" spans="1:11" s="4" customFormat="1" x14ac:dyDescent="0.2">
      <c r="A1" s="4" t="s">
        <v>9</v>
      </c>
      <c r="B1" s="5" t="s">
        <v>67</v>
      </c>
      <c r="C1" s="5" t="s">
        <v>13</v>
      </c>
      <c r="D1" s="4" t="s">
        <v>66</v>
      </c>
      <c r="E1" s="4" t="s">
        <v>42</v>
      </c>
      <c r="F1" s="4" t="s">
        <v>43</v>
      </c>
      <c r="G1" s="10" t="s">
        <v>71</v>
      </c>
      <c r="H1" s="4" t="s">
        <v>74</v>
      </c>
    </row>
    <row r="2" spans="1:11" x14ac:dyDescent="0.2">
      <c r="A2" t="s">
        <v>10</v>
      </c>
      <c r="B2" s="6">
        <v>2.9999999999999998E-14</v>
      </c>
      <c r="C2" s="6">
        <f>B2*($D$2/0.00000000000003)</f>
        <v>1.0000000000000001E-9</v>
      </c>
      <c r="D2" s="2">
        <v>1.0000000000000001E-9</v>
      </c>
      <c r="E2" s="6">
        <f t="shared" ref="E2:E8" si="0">$F$2*C2</f>
        <v>634619000000000</v>
      </c>
      <c r="F2" s="6">
        <v>6.3461900000000002E+23</v>
      </c>
      <c r="G2" s="11">
        <v>4.0815999999999999</v>
      </c>
    </row>
    <row r="3" spans="1:11" x14ac:dyDescent="0.2">
      <c r="A3" t="s">
        <v>11</v>
      </c>
      <c r="B3" s="6">
        <f>4.07056E-24</f>
        <v>4.0705599999999999E-24</v>
      </c>
      <c r="C3" s="6">
        <f t="shared" ref="C3:C8" si="1">B3*($D$2/0.00000000000003)</f>
        <v>1.3568533333333334E-19</v>
      </c>
      <c r="E3" s="6">
        <f t="shared" si="0"/>
        <v>86108.490554666671</v>
      </c>
      <c r="G3" s="11">
        <v>5.5201500000000001</v>
      </c>
    </row>
    <row r="4" spans="1:11" x14ac:dyDescent="0.2">
      <c r="A4" t="s">
        <v>12</v>
      </c>
      <c r="B4" s="6">
        <f>2.11268E-26</f>
        <v>2.1126800000000001E-26</v>
      </c>
      <c r="C4" s="6">
        <f t="shared" si="1"/>
        <v>7.0422666666666678E-22</v>
      </c>
      <c r="E4" s="6">
        <f t="shared" si="0"/>
        <v>446.91562297333343</v>
      </c>
      <c r="G4" s="11">
        <v>5.7889214999999998</v>
      </c>
      <c r="J4" s="12"/>
      <c r="K4" t="s">
        <v>72</v>
      </c>
    </row>
    <row r="5" spans="1:11" x14ac:dyDescent="0.2">
      <c r="A5" t="s">
        <v>14</v>
      </c>
      <c r="B5" s="6">
        <v>3.7546900000000003E-30</v>
      </c>
      <c r="C5" s="6">
        <f t="shared" si="1"/>
        <v>1.2515633333333336E-25</v>
      </c>
      <c r="E5" s="6">
        <f t="shared" si="0"/>
        <v>7.9426587103666693E-2</v>
      </c>
      <c r="G5" s="11">
        <v>6.4047409999999996</v>
      </c>
    </row>
    <row r="6" spans="1:11" s="12" customFormat="1" x14ac:dyDescent="0.2">
      <c r="A6" s="12" t="s">
        <v>15</v>
      </c>
      <c r="B6" s="13">
        <v>9.8039200000000002E-33</v>
      </c>
      <c r="C6" s="13">
        <f t="shared" si="1"/>
        <v>3.2679733333333338E-28</v>
      </c>
      <c r="E6" s="13">
        <f t="shared" si="0"/>
        <v>2.073917968826667E-4</v>
      </c>
      <c r="G6" s="14">
        <v>6.9063499999999998</v>
      </c>
    </row>
    <row r="7" spans="1:11" s="12" customFormat="1" x14ac:dyDescent="0.2">
      <c r="A7" s="12" t="s">
        <v>16</v>
      </c>
      <c r="B7" s="13">
        <v>1.2898000000000001E-38</v>
      </c>
      <c r="C7" s="13">
        <f t="shared" si="1"/>
        <v>4.299333333333334E-34</v>
      </c>
      <c r="E7" s="13">
        <f t="shared" si="0"/>
        <v>2.728438620666667E-10</v>
      </c>
      <c r="G7" s="14">
        <v>8.9541910999999992</v>
      </c>
    </row>
    <row r="8" spans="1:11" s="12" customFormat="1" x14ac:dyDescent="0.2">
      <c r="A8" s="12" t="s">
        <v>17</v>
      </c>
      <c r="B8" s="13">
        <f>2.45902E-28</f>
        <v>2.4590199999999999E-28</v>
      </c>
      <c r="C8" s="13">
        <f t="shared" si="1"/>
        <v>8.1967333333333338E-24</v>
      </c>
      <c r="E8" s="13">
        <f t="shared" si="0"/>
        <v>5.2018027112666667</v>
      </c>
      <c r="G8" s="14">
        <v>6.2072630000000002</v>
      </c>
      <c r="H8" s="12" t="s">
        <v>73</v>
      </c>
    </row>
    <row r="9" spans="1:11" x14ac:dyDescent="0.2">
      <c r="E9" s="6"/>
    </row>
    <row r="10" spans="1:11" s="4" customFormat="1" x14ac:dyDescent="0.2">
      <c r="A10" s="4" t="s">
        <v>9</v>
      </c>
      <c r="B10" s="5" t="s">
        <v>68</v>
      </c>
      <c r="C10" s="5" t="s">
        <v>13</v>
      </c>
      <c r="D10" s="4" t="s">
        <v>66</v>
      </c>
      <c r="E10" s="4" t="s">
        <v>42</v>
      </c>
      <c r="F10" s="4" t="s">
        <v>43</v>
      </c>
      <c r="G10" s="10" t="s">
        <v>71</v>
      </c>
    </row>
    <row r="11" spans="1:11" x14ac:dyDescent="0.2">
      <c r="A11" t="s">
        <v>18</v>
      </c>
      <c r="B11" s="6">
        <v>8.9999999999999995E-15</v>
      </c>
      <c r="C11" s="6">
        <f>B11*($D$11/0.000000000000009)</f>
        <v>1.0000000000000001E-9</v>
      </c>
      <c r="D11" s="2">
        <v>1.0000000000000001E-9</v>
      </c>
      <c r="E11" s="6">
        <f>$F$11*C11</f>
        <v>634619000000000</v>
      </c>
      <c r="F11" s="6">
        <v>6.3461900000000002E+23</v>
      </c>
      <c r="G11" s="11">
        <v>4.2699210000000001</v>
      </c>
    </row>
    <row r="12" spans="1:11" x14ac:dyDescent="0.2">
      <c r="A12" t="s">
        <v>19</v>
      </c>
      <c r="B12" s="6">
        <f>4.94533E-19</f>
        <v>4.9453300000000002E-19</v>
      </c>
      <c r="C12" s="6">
        <f t="shared" ref="C12:C22" si="2">B12*($D$11/0.000000000000009)</f>
        <v>5.4948111111111116E-14</v>
      </c>
      <c r="E12" s="6">
        <f t="shared" ref="E12:E22" si="3">$F$11*C12</f>
        <v>34871115325.222229</v>
      </c>
      <c r="G12" s="11">
        <v>4.8575699999999999</v>
      </c>
    </row>
    <row r="13" spans="1:11" x14ac:dyDescent="0.2">
      <c r="A13" t="s">
        <v>20</v>
      </c>
      <c r="B13" s="6">
        <f>1.51782E-19</f>
        <v>1.5178200000000001E-19</v>
      </c>
      <c r="C13" s="6">
        <f t="shared" si="2"/>
        <v>1.6864666666666669E-14</v>
      </c>
      <c r="E13" s="6">
        <f t="shared" si="3"/>
        <v>10702637895.333336</v>
      </c>
      <c r="G13" s="11">
        <v>4.7700149999999999</v>
      </c>
    </row>
    <row r="14" spans="1:11" x14ac:dyDescent="0.2">
      <c r="A14" t="s">
        <v>21</v>
      </c>
      <c r="B14" s="6">
        <f>3.22604E-21</f>
        <v>3.22604E-21</v>
      </c>
      <c r="C14" s="6">
        <f t="shared" si="2"/>
        <v>3.5844888888888891E-16</v>
      </c>
      <c r="E14" s="6">
        <f t="shared" si="3"/>
        <v>227478475.41777781</v>
      </c>
      <c r="G14" s="11">
        <v>4.87073</v>
      </c>
    </row>
    <row r="15" spans="1:11" x14ac:dyDescent="0.2">
      <c r="A15" t="s">
        <v>22</v>
      </c>
      <c r="B15" s="6">
        <v>2.1078800000000001E-26</v>
      </c>
      <c r="C15" s="6">
        <f t="shared" si="2"/>
        <v>2.3420888888888894E-21</v>
      </c>
      <c r="E15" s="6">
        <f t="shared" si="3"/>
        <v>1486.3341085777781</v>
      </c>
      <c r="G15" s="11">
        <v>5.5904299999999996</v>
      </c>
    </row>
    <row r="16" spans="1:11" s="12" customFormat="1" x14ac:dyDescent="0.2">
      <c r="A16" s="12" t="s">
        <v>24</v>
      </c>
      <c r="B16" s="13">
        <v>1.9150299999999999E-35</v>
      </c>
      <c r="C16" s="13">
        <f t="shared" si="2"/>
        <v>2.1278111111111113E-30</v>
      </c>
      <c r="D16" s="15"/>
      <c r="E16" s="13">
        <f t="shared" si="3"/>
        <v>1.3503493595222223E-6</v>
      </c>
      <c r="G16" s="14">
        <v>6.8762999999999996</v>
      </c>
    </row>
    <row r="17" spans="1:8" x14ac:dyDescent="0.2">
      <c r="A17" t="s">
        <v>23</v>
      </c>
      <c r="B17" s="6">
        <v>1.1858500000000001E-29</v>
      </c>
      <c r="C17" s="6">
        <f t="shared" si="2"/>
        <v>1.3176111111111114E-24</v>
      </c>
      <c r="E17" s="6">
        <f t="shared" si="3"/>
        <v>0.8361810457222224</v>
      </c>
      <c r="G17" s="11">
        <v>6.1147590000000003</v>
      </c>
    </row>
    <row r="18" spans="1:8" s="12" customFormat="1" x14ac:dyDescent="0.2">
      <c r="A18" s="12" t="s">
        <v>26</v>
      </c>
      <c r="B18" s="13">
        <v>1.04395E-35</v>
      </c>
      <c r="C18" s="13">
        <f t="shared" si="2"/>
        <v>1.1599444444444446E-30</v>
      </c>
      <c r="E18" s="13">
        <f t="shared" si="3"/>
        <v>7.3612278338888901E-7</v>
      </c>
      <c r="G18" s="14">
        <v>7.8335460000000001</v>
      </c>
    </row>
    <row r="19" spans="1:8" x14ac:dyDescent="0.2">
      <c r="A19" t="s">
        <v>29</v>
      </c>
      <c r="B19" s="6">
        <v>7.62767E-25</v>
      </c>
      <c r="C19" s="6">
        <f t="shared" si="2"/>
        <v>8.4751888888888893E-20</v>
      </c>
      <c r="E19" s="6">
        <f t="shared" si="3"/>
        <v>53785.158974777783</v>
      </c>
      <c r="G19" s="11">
        <v>5.4075369999999996</v>
      </c>
    </row>
    <row r="20" spans="1:8" s="12" customFormat="1" x14ac:dyDescent="0.2">
      <c r="A20" s="12" t="s">
        <v>25</v>
      </c>
      <c r="B20" s="13">
        <v>7.6275999999999997E-29</v>
      </c>
      <c r="C20" s="13">
        <f t="shared" si="2"/>
        <v>8.4751111111111123E-24</v>
      </c>
      <c r="E20" s="13">
        <f t="shared" si="3"/>
        <v>5.3784665382222228</v>
      </c>
      <c r="G20" s="14">
        <v>5.6212999999999997</v>
      </c>
      <c r="H20" s="12" t="s">
        <v>73</v>
      </c>
    </row>
    <row r="21" spans="1:8" x14ac:dyDescent="0.2">
      <c r="A21" t="s">
        <v>28</v>
      </c>
      <c r="B21" s="6">
        <v>2.7609400000000002E-26</v>
      </c>
      <c r="C21" s="6">
        <f t="shared" si="2"/>
        <v>3.0677111111111118E-21</v>
      </c>
      <c r="E21" s="6">
        <f t="shared" si="3"/>
        <v>1946.8277576222226</v>
      </c>
      <c r="G21" s="11">
        <v>5.0365799999999998</v>
      </c>
    </row>
    <row r="22" spans="1:8" x14ac:dyDescent="0.2">
      <c r="A22" t="s">
        <v>27</v>
      </c>
      <c r="B22" s="6">
        <v>4.47794E-23</v>
      </c>
      <c r="C22" s="6">
        <f t="shared" si="2"/>
        <v>4.9754888888888893E-18</v>
      </c>
      <c r="E22" s="6">
        <f t="shared" si="3"/>
        <v>3157539.7831777781</v>
      </c>
      <c r="G22" s="11">
        <v>3.7921999999999998</v>
      </c>
    </row>
    <row r="25" spans="1:8" s="4" customFormat="1" x14ac:dyDescent="0.2">
      <c r="A25" s="4" t="s">
        <v>9</v>
      </c>
      <c r="B25" s="5" t="s">
        <v>69</v>
      </c>
      <c r="C25" s="5" t="s">
        <v>13</v>
      </c>
      <c r="D25" s="4" t="s">
        <v>66</v>
      </c>
      <c r="E25" s="4" t="s">
        <v>42</v>
      </c>
      <c r="F25" s="4" t="s">
        <v>43</v>
      </c>
      <c r="G25" s="10" t="s">
        <v>71</v>
      </c>
    </row>
    <row r="26" spans="1:8" x14ac:dyDescent="0.2">
      <c r="A26" t="s">
        <v>30</v>
      </c>
      <c r="B26" s="6">
        <v>6.4836000000000002E-17</v>
      </c>
      <c r="C26" s="6">
        <f>B26*($D$26/6.4836E-17)</f>
        <v>7.2040000000000004E-12</v>
      </c>
      <c r="D26" s="8">
        <f>0.007204*D11</f>
        <v>7.2040000000000004E-12</v>
      </c>
      <c r="E26" s="6">
        <f>$F$26*C26</f>
        <v>4571795276000</v>
      </c>
      <c r="F26" s="6">
        <v>6.3461900000000002E+23</v>
      </c>
      <c r="G26" s="11">
        <v>4.6781699999999997</v>
      </c>
    </row>
    <row r="27" spans="1:8" x14ac:dyDescent="0.2">
      <c r="A27" t="s">
        <v>31</v>
      </c>
      <c r="B27" s="6">
        <v>3.0157699999999998E-21</v>
      </c>
      <c r="C27" s="6">
        <f t="shared" ref="C27:C37" si="4">B27*($D$26/6.4836E-17)</f>
        <v>3.3508555555555554E-16</v>
      </c>
      <c r="E27" s="6">
        <f t="shared" ref="E27:E37" si="5">$F$26*C27</f>
        <v>212651660.1811111</v>
      </c>
      <c r="G27" s="11">
        <v>5.1499800000000002</v>
      </c>
    </row>
    <row r="28" spans="1:8" x14ac:dyDescent="0.2">
      <c r="A28" t="s">
        <v>33</v>
      </c>
      <c r="B28" s="6">
        <v>4.6674600000000001E-27</v>
      </c>
      <c r="C28" s="6">
        <f t="shared" si="4"/>
        <v>5.1860666666666665E-22</v>
      </c>
      <c r="E28" s="6">
        <f t="shared" si="5"/>
        <v>329.11764419333332</v>
      </c>
      <c r="G28" s="11">
        <v>6.1466010000000004</v>
      </c>
    </row>
    <row r="29" spans="1:8" x14ac:dyDescent="0.2">
      <c r="A29" t="s">
        <v>32</v>
      </c>
      <c r="B29" s="6">
        <v>2.0074E-24</v>
      </c>
      <c r="C29" s="6">
        <f t="shared" si="4"/>
        <v>2.2304444444444444E-19</v>
      </c>
      <c r="E29" s="6">
        <f t="shared" si="5"/>
        <v>141548.2422888889</v>
      </c>
      <c r="G29" s="11">
        <v>5.0422713999999997</v>
      </c>
    </row>
    <row r="30" spans="1:8" x14ac:dyDescent="0.2">
      <c r="A30" t="s">
        <v>35</v>
      </c>
      <c r="B30" s="6">
        <v>2.8817300000000002E-27</v>
      </c>
      <c r="C30" s="6">
        <f t="shared" si="4"/>
        <v>3.2019222222222224E-22</v>
      </c>
      <c r="E30" s="6">
        <f t="shared" si="5"/>
        <v>203.20006787444447</v>
      </c>
      <c r="G30" s="11">
        <v>5.9789921000000001</v>
      </c>
    </row>
    <row r="31" spans="1:8" x14ac:dyDescent="0.2">
      <c r="A31" t="s">
        <v>34</v>
      </c>
      <c r="B31" s="6">
        <v>5.32606E-32</v>
      </c>
      <c r="C31" s="6">
        <f t="shared" si="4"/>
        <v>5.9178444444444445E-27</v>
      </c>
      <c r="E31" s="6">
        <f t="shared" si="5"/>
        <v>3.755576523488889E-3</v>
      </c>
      <c r="G31" s="11">
        <v>5.5613000000000001</v>
      </c>
    </row>
    <row r="32" spans="1:8" s="12" customFormat="1" x14ac:dyDescent="0.2">
      <c r="A32" s="12" t="s">
        <v>37</v>
      </c>
      <c r="B32" s="13">
        <v>1.15793E-32</v>
      </c>
      <c r="C32" s="13">
        <f t="shared" si="4"/>
        <v>1.2865888888888888E-27</v>
      </c>
      <c r="E32" s="13">
        <f t="shared" si="5"/>
        <v>8.1649375407777771E-4</v>
      </c>
      <c r="G32" s="14">
        <v>6.9462299999999999</v>
      </c>
    </row>
    <row r="33" spans="1:7" x14ac:dyDescent="0.2">
      <c r="A33" t="s">
        <v>36</v>
      </c>
      <c r="B33" s="6">
        <v>1.3557199999999999E-35</v>
      </c>
      <c r="C33" s="6">
        <f t="shared" si="4"/>
        <v>1.5063555555555554E-30</v>
      </c>
      <c r="E33" s="6">
        <f t="shared" si="5"/>
        <v>9.5596185631111091E-7</v>
      </c>
      <c r="G33" s="11">
        <v>6.3425000000000002</v>
      </c>
    </row>
    <row r="34" spans="1:7" s="12" customFormat="1" x14ac:dyDescent="0.2">
      <c r="A34" s="12" t="s">
        <v>39</v>
      </c>
      <c r="B34" s="13">
        <v>2.9209100000000002E-37</v>
      </c>
      <c r="C34" s="13">
        <f t="shared" si="4"/>
        <v>3.2454555555555558E-32</v>
      </c>
      <c r="E34" s="13">
        <f t="shared" si="5"/>
        <v>2.0596277592111113E-8</v>
      </c>
      <c r="G34" s="14">
        <v>8.1783999999999999</v>
      </c>
    </row>
    <row r="35" spans="1:7" s="12" customFormat="1" x14ac:dyDescent="0.2">
      <c r="A35" s="12" t="s">
        <v>38</v>
      </c>
      <c r="B35" s="13">
        <v>5.1875399999999997E-36</v>
      </c>
      <c r="C35" s="13">
        <f t="shared" si="4"/>
        <v>5.7639333333333326E-31</v>
      </c>
      <c r="E35" s="13">
        <f t="shared" si="5"/>
        <v>3.6579016080666663E-7</v>
      </c>
      <c r="G35" s="14">
        <v>7.5263799999999996</v>
      </c>
    </row>
    <row r="36" spans="1:7" s="12" customFormat="1" x14ac:dyDescent="0.2">
      <c r="A36" s="12" t="s">
        <v>41</v>
      </c>
      <c r="B36" s="13">
        <v>1.50413E-33</v>
      </c>
      <c r="C36" s="13">
        <f t="shared" si="4"/>
        <v>1.6712555555555556E-28</v>
      </c>
      <c r="E36" s="13">
        <f t="shared" si="5"/>
        <v>1.0606105294111112E-4</v>
      </c>
      <c r="G36" s="14">
        <v>7.5946499999999997</v>
      </c>
    </row>
    <row r="37" spans="1:7" s="12" customFormat="1" x14ac:dyDescent="0.2">
      <c r="A37" s="12" t="s">
        <v>40</v>
      </c>
      <c r="B37" s="13">
        <v>3.7490899999999998E-31</v>
      </c>
      <c r="C37" s="13">
        <f t="shared" si="4"/>
        <v>4.1656555555555551E-26</v>
      </c>
      <c r="E37" s="13">
        <f t="shared" si="5"/>
        <v>2.643604163011111E-2</v>
      </c>
      <c r="G37" s="14">
        <v>6.7504499999999998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0C8FF-B22E-AA44-AF26-339606D55407}">
  <dimension ref="A1:I32"/>
  <sheetViews>
    <sheetView zoomScale="101" workbookViewId="0">
      <selection activeCell="D29" sqref="D29"/>
    </sheetView>
  </sheetViews>
  <sheetFormatPr baseColWidth="10" defaultRowHeight="16" x14ac:dyDescent="0.2"/>
  <cols>
    <col min="1" max="2" width="21.5" customWidth="1"/>
    <col min="3" max="3" width="21.6640625" customWidth="1"/>
    <col min="4" max="4" width="21.5" customWidth="1"/>
    <col min="5" max="5" width="21.6640625" customWidth="1"/>
    <col min="6" max="6" width="29.33203125" customWidth="1"/>
    <col min="7" max="7" width="21.83203125" customWidth="1"/>
    <col min="8" max="8" width="24" customWidth="1"/>
    <col min="9" max="9" width="32.5" customWidth="1"/>
  </cols>
  <sheetData>
    <row r="1" spans="1:9" s="4" customFormat="1" x14ac:dyDescent="0.2">
      <c r="A1" s="4" t="s">
        <v>45</v>
      </c>
      <c r="B1" s="4" t="s">
        <v>44</v>
      </c>
      <c r="C1" s="4" t="s">
        <v>57</v>
      </c>
      <c r="D1" s="4" t="s">
        <v>60</v>
      </c>
      <c r="E1" s="4" t="s">
        <v>59</v>
      </c>
      <c r="F1" s="4" t="s">
        <v>63</v>
      </c>
      <c r="G1" s="4" t="s">
        <v>64</v>
      </c>
      <c r="H1" s="4" t="s">
        <v>65</v>
      </c>
      <c r="I1" s="4" t="s">
        <v>70</v>
      </c>
    </row>
    <row r="2" spans="1:9" x14ac:dyDescent="0.2">
      <c r="A2" t="s">
        <v>46</v>
      </c>
      <c r="B2">
        <v>13</v>
      </c>
      <c r="C2">
        <v>6.04</v>
      </c>
      <c r="D2">
        <v>2222.2199999999998</v>
      </c>
      <c r="E2">
        <f>D2*(1000)*(1/100000)</f>
        <v>22.222200000000001</v>
      </c>
      <c r="F2">
        <f>$E$2*(C2/100)</f>
        <v>1.3422208800000002</v>
      </c>
      <c r="G2">
        <v>26.981539000000001</v>
      </c>
      <c r="H2">
        <f>(F2/G2)*6.0221408E+23</f>
        <v>2.9957680042120296E+22</v>
      </c>
      <c r="I2">
        <f>H2/$H$13</f>
        <v>4.720578993057023E-2</v>
      </c>
    </row>
    <row r="3" spans="1:9" x14ac:dyDescent="0.2">
      <c r="A3" t="s">
        <v>47</v>
      </c>
      <c r="B3">
        <v>20</v>
      </c>
      <c r="C3">
        <v>9.5399999999999991</v>
      </c>
      <c r="F3">
        <f t="shared" ref="F3:F12" si="0">$E$2*(C3/100)</f>
        <v>2.1199978799999997</v>
      </c>
      <c r="G3">
        <v>40.078000000000003</v>
      </c>
      <c r="H3">
        <f t="shared" ref="H3:H12" si="1">(F3/G3)*6.0221408E+23</f>
        <v>3.185519668910999E+22</v>
      </c>
      <c r="I3">
        <f t="shared" ref="I3:I12" si="2">H3/$H$13</f>
        <v>5.0195800241836508E-2</v>
      </c>
    </row>
    <row r="4" spans="1:9" x14ac:dyDescent="0.2">
      <c r="A4" t="s">
        <v>48</v>
      </c>
      <c r="B4">
        <v>26</v>
      </c>
      <c r="C4">
        <v>2.54</v>
      </c>
      <c r="F4">
        <f t="shared" si="0"/>
        <v>0.56444388000000001</v>
      </c>
      <c r="G4">
        <v>55.844999999999999</v>
      </c>
      <c r="H4">
        <f t="shared" si="1"/>
        <v>6.0867768270360895E+21</v>
      </c>
      <c r="I4">
        <f t="shared" si="2"/>
        <v>9.5912336284833428E-3</v>
      </c>
    </row>
    <row r="5" spans="1:9" x14ac:dyDescent="0.2">
      <c r="A5" t="s">
        <v>49</v>
      </c>
      <c r="B5">
        <v>19</v>
      </c>
      <c r="C5">
        <v>1.76</v>
      </c>
      <c r="F5">
        <f t="shared" si="0"/>
        <v>0.39111072000000002</v>
      </c>
      <c r="G5">
        <v>39.098300000000002</v>
      </c>
      <c r="H5">
        <f t="shared" si="1"/>
        <v>6.0241080155131452E+21</v>
      </c>
      <c r="I5">
        <f t="shared" si="2"/>
        <v>9.492483299759916E-3</v>
      </c>
    </row>
    <row r="6" spans="1:9" x14ac:dyDescent="0.2">
      <c r="A6" t="s">
        <v>50</v>
      </c>
      <c r="B6">
        <v>12</v>
      </c>
      <c r="C6">
        <v>1.18</v>
      </c>
      <c r="F6">
        <f t="shared" si="0"/>
        <v>0.26222195999999998</v>
      </c>
      <c r="G6">
        <v>24.305</v>
      </c>
      <c r="H6">
        <f t="shared" si="1"/>
        <v>6.4971716271218591E+21</v>
      </c>
      <c r="I6">
        <f t="shared" si="2"/>
        <v>1.023791290051672E-2</v>
      </c>
    </row>
    <row r="7" spans="1:9" x14ac:dyDescent="0.2">
      <c r="A7" t="s">
        <v>51</v>
      </c>
      <c r="B7">
        <v>25</v>
      </c>
      <c r="C7">
        <v>0.37</v>
      </c>
      <c r="F7">
        <f t="shared" si="0"/>
        <v>8.2222140000000013E-2</v>
      </c>
      <c r="G7">
        <v>54.938043999999998</v>
      </c>
      <c r="H7">
        <f t="shared" si="1"/>
        <v>9.0129401759791828E+20</v>
      </c>
      <c r="I7">
        <f t="shared" si="2"/>
        <v>1.4202133142682343E-3</v>
      </c>
    </row>
    <row r="8" spans="1:9" x14ac:dyDescent="0.2">
      <c r="A8" t="s">
        <v>52</v>
      </c>
      <c r="B8">
        <v>11</v>
      </c>
      <c r="C8">
        <v>2.25</v>
      </c>
      <c r="F8">
        <f t="shared" si="0"/>
        <v>0.49999949999999999</v>
      </c>
      <c r="G8">
        <v>22.989768999999999</v>
      </c>
      <c r="H8">
        <f t="shared" si="1"/>
        <v>1.3097423418780763E+22</v>
      </c>
      <c r="I8">
        <f t="shared" si="2"/>
        <v>2.063825428636017E-2</v>
      </c>
    </row>
    <row r="9" spans="1:9" x14ac:dyDescent="0.2">
      <c r="A9" t="s">
        <v>53</v>
      </c>
      <c r="B9">
        <v>14</v>
      </c>
      <c r="C9">
        <v>27.9</v>
      </c>
      <c r="F9">
        <f t="shared" si="0"/>
        <v>6.1999937999999997</v>
      </c>
      <c r="G9">
        <v>28.0855</v>
      </c>
      <c r="H9">
        <f t="shared" si="1"/>
        <v>1.3294132425175638E+23</v>
      </c>
      <c r="I9">
        <f t="shared" si="2"/>
        <v>0.20948218342998465</v>
      </c>
    </row>
    <row r="10" spans="1:9" x14ac:dyDescent="0.2">
      <c r="A10" t="s">
        <v>54</v>
      </c>
      <c r="B10">
        <v>1</v>
      </c>
      <c r="C10">
        <v>0.04</v>
      </c>
      <c r="F10">
        <f t="shared" si="0"/>
        <v>8.88888E-3</v>
      </c>
      <c r="G10">
        <v>1.0078400000000001</v>
      </c>
      <c r="H10">
        <f t="shared" si="1"/>
        <v>5.3113675696840764E+21</v>
      </c>
      <c r="I10">
        <f t="shared" si="2"/>
        <v>8.3693831226593299E-3</v>
      </c>
    </row>
    <row r="11" spans="1:9" x14ac:dyDescent="0.2">
      <c r="A11" t="s">
        <v>55</v>
      </c>
      <c r="B11">
        <v>6</v>
      </c>
      <c r="C11">
        <v>0.04</v>
      </c>
      <c r="F11">
        <f t="shared" si="0"/>
        <v>8.88888E-3</v>
      </c>
      <c r="G11">
        <v>12.010999999999999</v>
      </c>
      <c r="H11">
        <f t="shared" si="1"/>
        <v>4.4567552172428611E+20</v>
      </c>
      <c r="I11">
        <f t="shared" si="2"/>
        <v>7.022728404246925E-4</v>
      </c>
    </row>
    <row r="12" spans="1:9" x14ac:dyDescent="0.2">
      <c r="A12" t="s">
        <v>56</v>
      </c>
      <c r="B12">
        <v>8</v>
      </c>
      <c r="C12">
        <v>48</v>
      </c>
      <c r="F12">
        <f t="shared" si="0"/>
        <v>10.666656</v>
      </c>
      <c r="G12">
        <v>15.999000000000001</v>
      </c>
      <c r="H12">
        <f t="shared" si="1"/>
        <v>4.0150074565388331E+23</v>
      </c>
      <c r="I12">
        <f t="shared" si="2"/>
        <v>0.63266447300513629</v>
      </c>
    </row>
    <row r="13" spans="1:9" s="7" customFormat="1" x14ac:dyDescent="0.2">
      <c r="A13" s="7" t="s">
        <v>58</v>
      </c>
      <c r="C13" s="7">
        <f>SUM(C2:C12)</f>
        <v>99.66</v>
      </c>
      <c r="F13" s="7">
        <f>SUM(F2:F12)</f>
        <v>22.146644520000002</v>
      </c>
      <c r="H13" s="7">
        <f>SUM(H2:H12)</f>
        <v>6.3461876363432809E+23</v>
      </c>
      <c r="I13" s="7">
        <f>SUM(I2:I12)</f>
        <v>1</v>
      </c>
    </row>
    <row r="16" spans="1:9" x14ac:dyDescent="0.2">
      <c r="A16" t="s">
        <v>61</v>
      </c>
    </row>
    <row r="17" spans="1:2" x14ac:dyDescent="0.2">
      <c r="A17" t="s">
        <v>62</v>
      </c>
    </row>
    <row r="21" spans="1:2" s="9" customFormat="1" x14ac:dyDescent="0.2">
      <c r="A21" s="9" t="s">
        <v>44</v>
      </c>
      <c r="B21" s="9" t="s">
        <v>70</v>
      </c>
    </row>
    <row r="22" spans="1:2" x14ac:dyDescent="0.2">
      <c r="A22">
        <v>1</v>
      </c>
      <c r="B22">
        <v>8.3693831226593299E-3</v>
      </c>
    </row>
    <row r="23" spans="1:2" x14ac:dyDescent="0.2">
      <c r="A23">
        <v>6</v>
      </c>
      <c r="B23">
        <v>7.022728404246925E-4</v>
      </c>
    </row>
    <row r="24" spans="1:2" x14ac:dyDescent="0.2">
      <c r="A24">
        <v>8</v>
      </c>
      <c r="B24">
        <v>0.63266447300513629</v>
      </c>
    </row>
    <row r="25" spans="1:2" x14ac:dyDescent="0.2">
      <c r="A25">
        <v>11</v>
      </c>
      <c r="B25">
        <v>2.063825428636017E-2</v>
      </c>
    </row>
    <row r="26" spans="1:2" x14ac:dyDescent="0.2">
      <c r="A26">
        <v>12</v>
      </c>
      <c r="B26">
        <v>1.023791290051672E-2</v>
      </c>
    </row>
    <row r="27" spans="1:2" x14ac:dyDescent="0.2">
      <c r="A27">
        <v>13</v>
      </c>
      <c r="B27">
        <v>4.720578993057023E-2</v>
      </c>
    </row>
    <row r="28" spans="1:2" x14ac:dyDescent="0.2">
      <c r="A28">
        <v>14</v>
      </c>
      <c r="B28">
        <v>0.20948218342998465</v>
      </c>
    </row>
    <row r="29" spans="1:2" x14ac:dyDescent="0.2">
      <c r="A29">
        <v>19</v>
      </c>
      <c r="B29">
        <v>9.492483299759916E-3</v>
      </c>
    </row>
    <row r="30" spans="1:2" x14ac:dyDescent="0.2">
      <c r="A30">
        <v>20</v>
      </c>
      <c r="B30">
        <v>5.0195800241836508E-2</v>
      </c>
    </row>
    <row r="31" spans="1:2" x14ac:dyDescent="0.2">
      <c r="A31">
        <v>25</v>
      </c>
      <c r="B31">
        <v>1.4202133142682343E-3</v>
      </c>
    </row>
    <row r="32" spans="1:2" x14ac:dyDescent="0.2">
      <c r="A32">
        <v>26</v>
      </c>
      <c r="B32">
        <v>9.5912336284833428E-3</v>
      </c>
    </row>
  </sheetData>
  <sortState xmlns:xlrd2="http://schemas.microsoft.com/office/spreadsheetml/2017/richdata2" ref="A22:B32">
    <sortCondition ref="A22:A32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89027-C8C3-1B4E-B23A-0C8C2B287B0A}">
  <dimension ref="A1:E13"/>
  <sheetViews>
    <sheetView zoomScale="101" workbookViewId="0">
      <selection activeCell="D25" sqref="D25"/>
    </sheetView>
  </sheetViews>
  <sheetFormatPr baseColWidth="10" defaultRowHeight="16" x14ac:dyDescent="0.2"/>
  <cols>
    <col min="1" max="2" width="21.5" customWidth="1"/>
    <col min="3" max="3" width="21.6640625" customWidth="1"/>
    <col min="4" max="4" width="21.5" style="2" customWidth="1"/>
    <col min="5" max="5" width="21.6640625" style="18" customWidth="1"/>
    <col min="6" max="6" width="29.33203125" customWidth="1"/>
    <col min="7" max="7" width="21.83203125" customWidth="1"/>
    <col min="8" max="8" width="24" customWidth="1"/>
    <col min="9" max="9" width="32.5" customWidth="1"/>
  </cols>
  <sheetData>
    <row r="1" spans="1:5" s="9" customFormat="1" x14ac:dyDescent="0.2">
      <c r="A1" s="9" t="s">
        <v>44</v>
      </c>
      <c r="B1" s="9" t="s">
        <v>70</v>
      </c>
      <c r="C1" s="9" t="s">
        <v>75</v>
      </c>
      <c r="D1" s="20" t="s">
        <v>76</v>
      </c>
      <c r="E1" s="17" t="s">
        <v>77</v>
      </c>
    </row>
    <row r="2" spans="1:5" x14ac:dyDescent="0.2">
      <c r="A2">
        <v>1</v>
      </c>
      <c r="B2" s="2">
        <v>4.0000000000000002E-4</v>
      </c>
      <c r="C2" s="2">
        <f>B2/$B$13</f>
        <v>8.4355084291817973E-3</v>
      </c>
      <c r="D2" s="2">
        <v>8.3693831226593299E-3</v>
      </c>
      <c r="E2" s="18">
        <f>((C2-D2)/C2)*100</f>
        <v>0.78389236496656745</v>
      </c>
    </row>
    <row r="3" spans="1:5" x14ac:dyDescent="0.2">
      <c r="A3">
        <v>6</v>
      </c>
      <c r="B3" s="2">
        <v>3.3300000000000003E-5</v>
      </c>
      <c r="C3" s="2">
        <f t="shared" ref="C3:C12" si="0">B3/$B$13</f>
        <v>7.0225607672938463E-4</v>
      </c>
      <c r="D3" s="2">
        <v>7.022728404246925E-4</v>
      </c>
      <c r="E3" s="18">
        <f t="shared" ref="E3:E12" si="1">((C3-D3)/C3)*100</f>
        <v>-2.3871200069848679E-3</v>
      </c>
    </row>
    <row r="4" spans="1:5" x14ac:dyDescent="0.2">
      <c r="A4">
        <v>8</v>
      </c>
      <c r="B4" s="2">
        <v>0.03</v>
      </c>
      <c r="C4" s="2">
        <f t="shared" si="0"/>
        <v>0.63266313218863479</v>
      </c>
      <c r="D4" s="2">
        <v>0.63266447300513629</v>
      </c>
      <c r="E4" s="18">
        <f t="shared" si="1"/>
        <v>-2.1193213785912393E-4</v>
      </c>
    </row>
    <row r="5" spans="1:5" x14ac:dyDescent="0.2">
      <c r="A5">
        <v>11</v>
      </c>
      <c r="B5" s="2">
        <v>9.7799999999999992E-4</v>
      </c>
      <c r="C5" s="2">
        <f t="shared" si="0"/>
        <v>2.0624818109349491E-2</v>
      </c>
      <c r="D5" s="2">
        <v>2.063825428636017E-2</v>
      </c>
      <c r="E5" s="18">
        <f t="shared" si="1"/>
        <v>-6.5145675173679446E-2</v>
      </c>
    </row>
    <row r="6" spans="1:5" x14ac:dyDescent="0.2">
      <c r="A6">
        <v>12</v>
      </c>
      <c r="B6" s="2">
        <v>4.86E-4</v>
      </c>
      <c r="C6" s="2">
        <f t="shared" si="0"/>
        <v>1.0249142741455884E-2</v>
      </c>
      <c r="D6" s="2">
        <v>1.023791290051672E-2</v>
      </c>
      <c r="E6" s="18">
        <f t="shared" si="1"/>
        <v>0.10956858756333754</v>
      </c>
    </row>
    <row r="7" spans="1:5" x14ac:dyDescent="0.2">
      <c r="A7">
        <v>13</v>
      </c>
      <c r="B7" s="2">
        <v>2.2399999999999998E-3</v>
      </c>
      <c r="C7" s="2">
        <f t="shared" si="0"/>
        <v>4.7238847203418061E-2</v>
      </c>
      <c r="D7" s="2">
        <v>4.720578993057023E-2</v>
      </c>
      <c r="E7" s="18">
        <f t="shared" si="1"/>
        <v>6.9978999922417115E-2</v>
      </c>
    </row>
    <row r="8" spans="1:5" x14ac:dyDescent="0.2">
      <c r="A8">
        <v>14</v>
      </c>
      <c r="B8" s="2">
        <v>9.9299999999999996E-3</v>
      </c>
      <c r="C8" s="2">
        <f t="shared" si="0"/>
        <v>0.2094114967544381</v>
      </c>
      <c r="D8" s="2">
        <v>0.20948218342998465</v>
      </c>
      <c r="E8" s="18">
        <f t="shared" si="1"/>
        <v>-3.3754916345132106E-2</v>
      </c>
    </row>
    <row r="9" spans="1:5" x14ac:dyDescent="0.2">
      <c r="A9">
        <v>19</v>
      </c>
      <c r="B9" s="2">
        <v>4.4999999999999999E-4</v>
      </c>
      <c r="C9" s="2">
        <f t="shared" si="0"/>
        <v>9.4899469828295217E-3</v>
      </c>
      <c r="D9" s="2">
        <v>9.492483299759916E-3</v>
      </c>
      <c r="E9" s="18">
        <f t="shared" si="1"/>
        <v>-2.6726355110132115E-2</v>
      </c>
    </row>
    <row r="10" spans="1:5" x14ac:dyDescent="0.2">
      <c r="A10">
        <v>20</v>
      </c>
      <c r="B10" s="2">
        <v>2.3800000000000002E-3</v>
      </c>
      <c r="C10" s="2">
        <f t="shared" si="0"/>
        <v>5.0191275153631698E-2</v>
      </c>
      <c r="D10" s="2">
        <v>5.0195800241836508E-2</v>
      </c>
      <c r="E10" s="18">
        <f t="shared" si="1"/>
        <v>-9.0156868717896441E-3</v>
      </c>
    </row>
    <row r="11" spans="1:5" x14ac:dyDescent="0.2">
      <c r="A11">
        <v>25</v>
      </c>
      <c r="B11" s="2">
        <v>6.7299999999999996E-5</v>
      </c>
      <c r="C11" s="2">
        <f t="shared" si="0"/>
        <v>1.4192742932098372E-3</v>
      </c>
      <c r="D11" s="2">
        <v>1.4202133142682343E-3</v>
      </c>
      <c r="E11" s="18">
        <f t="shared" si="1"/>
        <v>-6.6162056403730837E-2</v>
      </c>
    </row>
    <row r="12" spans="1:5" x14ac:dyDescent="0.2">
      <c r="A12">
        <v>26</v>
      </c>
      <c r="B12" s="2">
        <v>4.5399999999999998E-4</v>
      </c>
      <c r="C12" s="2">
        <f t="shared" si="0"/>
        <v>9.5743020671213395E-3</v>
      </c>
      <c r="D12" s="2">
        <v>9.5912336284833428E-3</v>
      </c>
      <c r="E12" s="18">
        <f t="shared" si="1"/>
        <v>-0.17684381841416075</v>
      </c>
    </row>
    <row r="13" spans="1:5" s="7" customFormat="1" x14ac:dyDescent="0.2">
      <c r="A13" s="7" t="s">
        <v>58</v>
      </c>
      <c r="B13" s="16">
        <f>SUM(B2:B12)</f>
        <v>4.7418600000000005E-2</v>
      </c>
      <c r="D13" s="16"/>
      <c r="E13" s="19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FCC7E-9834-0644-A762-CED2A17019DD}">
  <dimension ref="A1:H37"/>
  <sheetViews>
    <sheetView tabSelected="1" zoomScale="101" workbookViewId="0">
      <selection activeCell="H32" sqref="H32"/>
    </sheetView>
  </sheetViews>
  <sheetFormatPr baseColWidth="10" defaultRowHeight="16" x14ac:dyDescent="0.2"/>
  <cols>
    <col min="1" max="2" width="21.5" customWidth="1"/>
    <col min="3" max="3" width="21.5" style="22" customWidth="1"/>
    <col min="4" max="4" width="22" style="25" customWidth="1"/>
    <col min="5" max="5" width="21.83203125" style="25" customWidth="1"/>
    <col min="6" max="6" width="24" customWidth="1"/>
    <col min="7" max="7" width="26.1640625" customWidth="1"/>
    <col min="8" max="8" width="22.33203125" customWidth="1"/>
  </cols>
  <sheetData>
    <row r="1" spans="1:8" s="9" customFormat="1" x14ac:dyDescent="0.2">
      <c r="A1" s="9" t="s">
        <v>44</v>
      </c>
      <c r="B1" s="9" t="s">
        <v>70</v>
      </c>
      <c r="C1" s="21" t="s">
        <v>78</v>
      </c>
      <c r="D1" s="24" t="s">
        <v>79</v>
      </c>
      <c r="E1" s="24" t="s">
        <v>80</v>
      </c>
      <c r="F1" s="9" t="s">
        <v>81</v>
      </c>
      <c r="G1" s="9" t="s">
        <v>82</v>
      </c>
      <c r="H1" s="9" t="s">
        <v>83</v>
      </c>
    </row>
    <row r="2" spans="1:8" x14ac:dyDescent="0.2">
      <c r="A2">
        <v>1</v>
      </c>
      <c r="B2">
        <v>8.3693831226593299E-3</v>
      </c>
    </row>
    <row r="3" spans="1:8" x14ac:dyDescent="0.2">
      <c r="A3">
        <v>6</v>
      </c>
      <c r="B3">
        <v>7.022728404246925E-4</v>
      </c>
    </row>
    <row r="4" spans="1:8" x14ac:dyDescent="0.2">
      <c r="B4">
        <v>7.022728404246925E-4</v>
      </c>
      <c r="C4" s="22">
        <v>13</v>
      </c>
      <c r="D4" s="25">
        <v>0.96</v>
      </c>
      <c r="E4" s="25">
        <v>1.6</v>
      </c>
      <c r="F4" s="25">
        <f>B4*(D4+E4)/200</f>
        <v>8.9890923574360637E-6</v>
      </c>
      <c r="G4" s="25">
        <f>B4*D4/100</f>
        <v>6.7418192680770474E-6</v>
      </c>
      <c r="H4" s="25">
        <f>B4*E4/100</f>
        <v>1.1236365446795079E-5</v>
      </c>
    </row>
    <row r="5" spans="1:8" x14ac:dyDescent="0.2">
      <c r="A5">
        <v>8</v>
      </c>
      <c r="B5">
        <v>0.63266447300513629</v>
      </c>
      <c r="F5" s="25"/>
      <c r="G5" s="25"/>
      <c r="H5" s="25"/>
    </row>
    <row r="6" spans="1:8" x14ac:dyDescent="0.2">
      <c r="B6">
        <v>0.63266447300513629</v>
      </c>
      <c r="C6" s="22">
        <v>17</v>
      </c>
      <c r="D6" s="25">
        <v>3.6700000000000003E-2</v>
      </c>
      <c r="E6" s="25">
        <v>0.04</v>
      </c>
      <c r="F6" s="25">
        <f t="shared" ref="F5:F36" si="0">B6*(D6+E6)/200</f>
        <v>2.4262682539746976E-4</v>
      </c>
      <c r="G6" s="25">
        <f t="shared" ref="G5:G36" si="1">B6*D6/100</f>
        <v>2.3218786159288506E-4</v>
      </c>
      <c r="H6" s="25">
        <f t="shared" ref="H5:H36" si="2">B6*E6/100</f>
        <v>2.5306578920205453E-4</v>
      </c>
    </row>
    <row r="7" spans="1:8" x14ac:dyDescent="0.2">
      <c r="B7">
        <v>0.63266447300513629</v>
      </c>
      <c r="C7" s="22">
        <v>18</v>
      </c>
      <c r="D7" s="25">
        <v>0.187</v>
      </c>
      <c r="E7" s="25">
        <v>0.222</v>
      </c>
      <c r="F7" s="25">
        <f t="shared" si="0"/>
        <v>1.293798847295504E-3</v>
      </c>
      <c r="G7" s="25">
        <f t="shared" si="1"/>
        <v>1.1830825645196049E-3</v>
      </c>
      <c r="H7" s="25">
        <f t="shared" si="2"/>
        <v>1.4045151300714027E-3</v>
      </c>
    </row>
    <row r="8" spans="1:8" x14ac:dyDescent="0.2">
      <c r="A8">
        <v>11</v>
      </c>
      <c r="B8">
        <v>2.063825428636017E-2</v>
      </c>
      <c r="F8" s="25"/>
      <c r="G8" s="25"/>
      <c r="H8" s="25"/>
    </row>
    <row r="9" spans="1:8" x14ac:dyDescent="0.2">
      <c r="B9">
        <v>2.063825428636017E-2</v>
      </c>
      <c r="C9" s="22">
        <v>23</v>
      </c>
      <c r="D9" s="25">
        <v>100</v>
      </c>
      <c r="E9" s="25">
        <v>100</v>
      </c>
      <c r="F9" s="25">
        <f t="shared" si="0"/>
        <v>2.063825428636017E-2</v>
      </c>
      <c r="G9" s="25">
        <f t="shared" si="1"/>
        <v>2.063825428636017E-2</v>
      </c>
      <c r="H9" s="25">
        <f t="shared" si="2"/>
        <v>2.063825428636017E-2</v>
      </c>
    </row>
    <row r="10" spans="1:8" x14ac:dyDescent="0.2">
      <c r="A10">
        <v>12</v>
      </c>
      <c r="B10">
        <v>1.023791290051672E-2</v>
      </c>
      <c r="F10" s="25"/>
      <c r="G10" s="25"/>
      <c r="H10" s="25"/>
    </row>
    <row r="11" spans="1:8" x14ac:dyDescent="0.2">
      <c r="B11">
        <v>1.023791290051672E-2</v>
      </c>
      <c r="C11" s="22">
        <v>24</v>
      </c>
      <c r="D11" s="25">
        <v>78.88</v>
      </c>
      <c r="E11" s="25">
        <v>79.05</v>
      </c>
      <c r="F11" s="25">
        <f t="shared" si="0"/>
        <v>8.0843679218930292E-3</v>
      </c>
      <c r="G11" s="25">
        <f t="shared" si="1"/>
        <v>8.0756656959275891E-3</v>
      </c>
      <c r="H11" s="25">
        <f t="shared" si="2"/>
        <v>8.0930701478584659E-3</v>
      </c>
    </row>
    <row r="12" spans="1:8" x14ac:dyDescent="0.2">
      <c r="B12">
        <v>1.023791290051672E-2</v>
      </c>
      <c r="C12" s="22">
        <v>25</v>
      </c>
      <c r="D12" s="25">
        <v>9.9879999999999995</v>
      </c>
      <c r="E12" s="25">
        <v>10.034000000000001</v>
      </c>
      <c r="F12" s="25">
        <f t="shared" si="0"/>
        <v>1.0249174604707288E-3</v>
      </c>
      <c r="G12" s="25">
        <f t="shared" si="1"/>
        <v>1.0225627405036101E-3</v>
      </c>
      <c r="H12" s="25">
        <f t="shared" si="2"/>
        <v>1.0272721804378477E-3</v>
      </c>
    </row>
    <row r="13" spans="1:8" x14ac:dyDescent="0.2">
      <c r="B13">
        <v>1.023791290051672E-2</v>
      </c>
      <c r="C13" s="22">
        <v>26</v>
      </c>
      <c r="D13" s="25">
        <v>10.96</v>
      </c>
      <c r="E13" s="25">
        <v>11.09</v>
      </c>
      <c r="F13" s="25">
        <f t="shared" si="0"/>
        <v>1.1287298972819685E-3</v>
      </c>
      <c r="G13" s="25">
        <f t="shared" si="1"/>
        <v>1.1220752538966326E-3</v>
      </c>
      <c r="H13" s="25">
        <f t="shared" si="2"/>
        <v>1.1353845406673042E-3</v>
      </c>
    </row>
    <row r="14" spans="1:8" x14ac:dyDescent="0.2">
      <c r="A14">
        <v>13</v>
      </c>
      <c r="B14">
        <v>4.720578993057023E-2</v>
      </c>
      <c r="F14" s="25"/>
      <c r="G14" s="25"/>
      <c r="H14" s="25"/>
    </row>
    <row r="15" spans="1:8" x14ac:dyDescent="0.2">
      <c r="B15">
        <v>4.720578993057023E-2</v>
      </c>
      <c r="C15" s="22">
        <v>27</v>
      </c>
      <c r="D15" s="25">
        <v>100</v>
      </c>
      <c r="E15" s="25">
        <v>100</v>
      </c>
      <c r="F15" s="25">
        <f t="shared" si="0"/>
        <v>4.720578993057023E-2</v>
      </c>
      <c r="G15" s="25">
        <f t="shared" si="1"/>
        <v>4.720578993057023E-2</v>
      </c>
      <c r="H15" s="25">
        <f t="shared" si="2"/>
        <v>4.720578993057023E-2</v>
      </c>
    </row>
    <row r="16" spans="1:8" x14ac:dyDescent="0.2">
      <c r="A16">
        <v>14</v>
      </c>
      <c r="B16">
        <v>0.20948218342998465</v>
      </c>
      <c r="F16" s="25"/>
      <c r="G16" s="25"/>
      <c r="H16" s="25"/>
    </row>
    <row r="17" spans="1:8" x14ac:dyDescent="0.2">
      <c r="B17">
        <v>0.20948218342998465</v>
      </c>
      <c r="C17" s="22">
        <v>28</v>
      </c>
      <c r="D17" s="25">
        <v>92.191000000000003</v>
      </c>
      <c r="E17" s="25">
        <v>92.317999999999998</v>
      </c>
      <c r="F17" s="25">
        <f t="shared" si="0"/>
        <v>0.19325674091241521</v>
      </c>
      <c r="G17" s="25">
        <f t="shared" si="1"/>
        <v>0.19312371972593717</v>
      </c>
      <c r="H17" s="25">
        <f t="shared" si="2"/>
        <v>0.19338976209889322</v>
      </c>
    </row>
    <row r="18" spans="1:8" x14ac:dyDescent="0.2">
      <c r="B18">
        <v>0.20948218342998465</v>
      </c>
      <c r="C18" s="22">
        <v>29</v>
      </c>
      <c r="D18" s="25">
        <v>4.6449999999999996</v>
      </c>
      <c r="E18" s="25">
        <v>4.6989999999999998</v>
      </c>
      <c r="F18" s="25">
        <f t="shared" si="0"/>
        <v>9.7870076098488818E-3</v>
      </c>
      <c r="G18" s="25">
        <f t="shared" si="1"/>
        <v>9.7304474203227867E-3</v>
      </c>
      <c r="H18" s="25">
        <f t="shared" si="2"/>
        <v>9.8435677993749787E-3</v>
      </c>
    </row>
    <row r="19" spans="1:8" x14ac:dyDescent="0.2">
      <c r="B19">
        <v>0.20948218342998465</v>
      </c>
      <c r="C19" s="22">
        <v>30</v>
      </c>
      <c r="D19" s="25">
        <v>3.0369999999999999</v>
      </c>
      <c r="E19" s="25">
        <v>3.11</v>
      </c>
      <c r="F19" s="25">
        <f t="shared" si="0"/>
        <v>6.4384349077205782E-3</v>
      </c>
      <c r="G19" s="25">
        <f t="shared" si="1"/>
        <v>6.3619739107686332E-3</v>
      </c>
      <c r="H19" s="25">
        <f t="shared" si="2"/>
        <v>6.5148959046725215E-3</v>
      </c>
    </row>
    <row r="20" spans="1:8" x14ac:dyDescent="0.2">
      <c r="A20">
        <v>19</v>
      </c>
      <c r="B20">
        <v>9.492483299759916E-3</v>
      </c>
      <c r="F20" s="25"/>
      <c r="G20" s="25"/>
      <c r="H20" s="25"/>
    </row>
    <row r="21" spans="1:8" x14ac:dyDescent="0.2">
      <c r="B21">
        <v>9.492483299759916E-3</v>
      </c>
      <c r="C21" s="22">
        <v>39</v>
      </c>
      <c r="D21" s="25">
        <v>93.258099999999999</v>
      </c>
      <c r="E21" s="25">
        <v>93.258099999999999</v>
      </c>
      <c r="F21" s="25">
        <f t="shared" si="0"/>
        <v>8.8525095681734021E-3</v>
      </c>
      <c r="G21" s="25">
        <f t="shared" si="1"/>
        <v>8.8525095681734021E-3</v>
      </c>
      <c r="H21" s="25">
        <f t="shared" si="2"/>
        <v>8.8525095681734021E-3</v>
      </c>
    </row>
    <row r="22" spans="1:8" x14ac:dyDescent="0.2">
      <c r="B22">
        <v>9.492483299759916E-3</v>
      </c>
      <c r="C22" s="22">
        <v>40</v>
      </c>
      <c r="D22" s="25">
        <v>1.17E-2</v>
      </c>
      <c r="E22" s="25">
        <v>1.17E-2</v>
      </c>
      <c r="F22" s="25">
        <f t="shared" si="0"/>
        <v>1.1106205460719101E-6</v>
      </c>
      <c r="G22" s="25">
        <f t="shared" si="1"/>
        <v>1.1106205460719101E-6</v>
      </c>
      <c r="H22" s="25">
        <f t="shared" si="2"/>
        <v>1.1106205460719101E-6</v>
      </c>
    </row>
    <row r="23" spans="1:8" x14ac:dyDescent="0.2">
      <c r="B23">
        <v>9.492483299759916E-3</v>
      </c>
      <c r="C23" s="22">
        <v>41</v>
      </c>
      <c r="D23" s="25">
        <v>6.7302</v>
      </c>
      <c r="E23" s="25">
        <v>6.7302</v>
      </c>
      <c r="F23" s="25">
        <f t="shared" si="0"/>
        <v>6.3886311104044196E-4</v>
      </c>
      <c r="G23" s="25">
        <f t="shared" si="1"/>
        <v>6.3886311104044196E-4</v>
      </c>
      <c r="H23" s="25">
        <f t="shared" si="2"/>
        <v>6.3886311104044196E-4</v>
      </c>
    </row>
    <row r="24" spans="1:8" x14ac:dyDescent="0.2">
      <c r="A24">
        <v>20</v>
      </c>
      <c r="B24">
        <v>5.0195800241836508E-2</v>
      </c>
      <c r="F24" s="25"/>
      <c r="G24" s="25"/>
      <c r="H24" s="25"/>
    </row>
    <row r="25" spans="1:8" x14ac:dyDescent="0.2">
      <c r="B25">
        <v>5.0195800241836508E-2</v>
      </c>
      <c r="C25" s="22">
        <v>42</v>
      </c>
      <c r="D25" s="25">
        <v>0.64700000000000002</v>
      </c>
      <c r="E25" s="25">
        <v>0.64700000000000002</v>
      </c>
      <c r="F25" s="25">
        <f t="shared" si="0"/>
        <v>3.2476682756468219E-4</v>
      </c>
      <c r="G25" s="25">
        <f t="shared" si="1"/>
        <v>3.2476682756468219E-4</v>
      </c>
      <c r="H25" s="25">
        <f t="shared" si="2"/>
        <v>3.2476682756468219E-4</v>
      </c>
    </row>
    <row r="26" spans="1:8" x14ac:dyDescent="0.2">
      <c r="B26">
        <v>5.0195800241836508E-2</v>
      </c>
      <c r="C26" s="22">
        <v>43</v>
      </c>
      <c r="D26" s="25">
        <v>0.13500000000000001</v>
      </c>
      <c r="E26" s="25">
        <v>0.13500000000000001</v>
      </c>
      <c r="F26" s="25">
        <f t="shared" si="0"/>
        <v>6.7764330326479288E-5</v>
      </c>
      <c r="G26" s="25">
        <f t="shared" si="1"/>
        <v>6.7764330326479288E-5</v>
      </c>
      <c r="H26" s="25">
        <f t="shared" si="2"/>
        <v>6.7764330326479288E-5</v>
      </c>
    </row>
    <row r="27" spans="1:8" x14ac:dyDescent="0.2">
      <c r="B27">
        <v>5.0195800241836508E-2</v>
      </c>
      <c r="C27" s="22">
        <v>44</v>
      </c>
      <c r="D27" s="25">
        <v>2.0859999999999999</v>
      </c>
      <c r="E27" s="25">
        <v>2.0859999999999999</v>
      </c>
      <c r="F27" s="25">
        <f t="shared" si="0"/>
        <v>1.0470843930447094E-3</v>
      </c>
      <c r="G27" s="25">
        <f t="shared" si="1"/>
        <v>1.0470843930447094E-3</v>
      </c>
      <c r="H27" s="25">
        <f t="shared" si="2"/>
        <v>1.0470843930447094E-3</v>
      </c>
    </row>
    <row r="28" spans="1:8" x14ac:dyDescent="0.2">
      <c r="B28">
        <v>5.0195800241836508E-2</v>
      </c>
      <c r="C28" s="22">
        <v>46</v>
      </c>
      <c r="D28" s="25">
        <v>4.0000000000000001E-3</v>
      </c>
      <c r="E28" s="25">
        <v>4.0000000000000001E-3</v>
      </c>
      <c r="F28" s="25">
        <f t="shared" si="0"/>
        <v>2.0078320096734603E-6</v>
      </c>
      <c r="G28" s="25">
        <f t="shared" si="1"/>
        <v>2.0078320096734603E-6</v>
      </c>
      <c r="H28" s="25">
        <f t="shared" si="2"/>
        <v>2.0078320096734603E-6</v>
      </c>
    </row>
    <row r="29" spans="1:8" x14ac:dyDescent="0.2">
      <c r="B29">
        <v>5.0195800241836508E-2</v>
      </c>
      <c r="C29" s="22">
        <v>48</v>
      </c>
      <c r="D29" s="25">
        <v>0.187</v>
      </c>
      <c r="E29" s="25">
        <v>0.187</v>
      </c>
      <c r="F29" s="25">
        <f t="shared" si="0"/>
        <v>9.3866146452234263E-5</v>
      </c>
      <c r="G29" s="25">
        <f t="shared" si="1"/>
        <v>9.3866146452234263E-5</v>
      </c>
      <c r="H29" s="25">
        <f t="shared" si="2"/>
        <v>9.3866146452234263E-5</v>
      </c>
    </row>
    <row r="30" spans="1:8" x14ac:dyDescent="0.2">
      <c r="A30">
        <v>25</v>
      </c>
      <c r="B30">
        <v>1.4202133142682343E-3</v>
      </c>
      <c r="F30" s="25"/>
      <c r="G30" s="25"/>
      <c r="H30" s="25"/>
    </row>
    <row r="31" spans="1:8" x14ac:dyDescent="0.2">
      <c r="B31">
        <v>1.4202133142682343E-3</v>
      </c>
      <c r="C31" s="22">
        <v>55</v>
      </c>
      <c r="D31" s="25">
        <v>100</v>
      </c>
      <c r="E31" s="25">
        <v>100</v>
      </c>
      <c r="F31" s="25">
        <f t="shared" si="0"/>
        <v>1.4202133142682343E-3</v>
      </c>
      <c r="G31" s="25">
        <f t="shared" si="1"/>
        <v>1.4202133142682343E-3</v>
      </c>
      <c r="H31" s="25">
        <f t="shared" si="2"/>
        <v>1.4202133142682343E-3</v>
      </c>
    </row>
    <row r="32" spans="1:8" x14ac:dyDescent="0.2">
      <c r="A32">
        <v>26</v>
      </c>
      <c r="B32">
        <v>9.5912336284833428E-3</v>
      </c>
      <c r="F32" s="25"/>
      <c r="G32" s="25"/>
      <c r="H32" s="25"/>
    </row>
    <row r="33" spans="2:8" x14ac:dyDescent="0.2">
      <c r="B33">
        <v>9.5912336284833428E-3</v>
      </c>
      <c r="C33" s="22">
        <v>54</v>
      </c>
      <c r="D33" s="25">
        <v>5.8449999999999998</v>
      </c>
      <c r="E33" s="25">
        <v>5.8449999999999998</v>
      </c>
      <c r="F33" s="25">
        <f t="shared" si="0"/>
        <v>5.6060760558485133E-4</v>
      </c>
      <c r="G33" s="25">
        <f t="shared" si="1"/>
        <v>5.6060760558485133E-4</v>
      </c>
      <c r="H33" s="25">
        <f t="shared" si="2"/>
        <v>5.6060760558485133E-4</v>
      </c>
    </row>
    <row r="34" spans="2:8" x14ac:dyDescent="0.2">
      <c r="B34">
        <v>9.5912336284833428E-3</v>
      </c>
      <c r="C34" s="22">
        <v>56</v>
      </c>
      <c r="D34" s="25">
        <v>91.754000000000005</v>
      </c>
      <c r="E34" s="25">
        <v>91.754000000000005</v>
      </c>
      <c r="F34" s="25">
        <f t="shared" si="0"/>
        <v>8.8003405034786063E-3</v>
      </c>
      <c r="G34" s="25">
        <f t="shared" si="1"/>
        <v>8.8003405034786063E-3</v>
      </c>
      <c r="H34" s="25">
        <f t="shared" si="2"/>
        <v>8.8003405034786063E-3</v>
      </c>
    </row>
    <row r="35" spans="2:8" x14ac:dyDescent="0.2">
      <c r="B35">
        <v>9.5912336284833428E-3</v>
      </c>
      <c r="C35" s="22">
        <v>57</v>
      </c>
      <c r="D35" s="25">
        <v>2.1190000000000002</v>
      </c>
      <c r="E35" s="25">
        <v>2.1190000000000002</v>
      </c>
      <c r="F35" s="25">
        <f t="shared" si="0"/>
        <v>2.0323824058756206E-4</v>
      </c>
      <c r="G35" s="25">
        <f t="shared" si="1"/>
        <v>2.0323824058756206E-4</v>
      </c>
      <c r="H35" s="25">
        <f t="shared" si="2"/>
        <v>2.0323824058756206E-4</v>
      </c>
    </row>
    <row r="36" spans="2:8" x14ac:dyDescent="0.2">
      <c r="B36">
        <v>9.5912336284833428E-3</v>
      </c>
      <c r="C36" s="22">
        <v>58</v>
      </c>
      <c r="D36" s="25">
        <v>0.28199999999999997</v>
      </c>
      <c r="E36" s="25">
        <v>0.28199999999999997</v>
      </c>
      <c r="F36" s="25">
        <f t="shared" si="0"/>
        <v>2.7047278832323025E-5</v>
      </c>
      <c r="G36" s="25">
        <f t="shared" si="1"/>
        <v>2.7047278832323025E-5</v>
      </c>
      <c r="H36" s="25">
        <f t="shared" si="2"/>
        <v>2.7047278832323025E-5</v>
      </c>
    </row>
    <row r="37" spans="2:8" s="7" customFormat="1" x14ac:dyDescent="0.2">
      <c r="B37" s="16">
        <f>B2+B3+B5+B8+B10+B14+B16+B20+B24+B30+B32</f>
        <v>1</v>
      </c>
      <c r="C37" s="23"/>
      <c r="D37" s="26"/>
      <c r="E37" s="2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Th232</vt:lpstr>
      <vt:lpstr>U235</vt:lpstr>
      <vt:lpstr>U238</vt:lpstr>
      <vt:lpstr>SE Results</vt:lpstr>
      <vt:lpstr>1ppb</vt:lpstr>
      <vt:lpstr>Shotcrete Density</vt:lpstr>
      <vt:lpstr>Shotcrete Hang</vt:lpstr>
      <vt:lpstr>Target Fractions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Villano, Anthony N</dc:creator>
  <cp:lastModifiedBy>Villano, Anthony N</cp:lastModifiedBy>
  <dcterms:created xsi:type="dcterms:W3CDTF">2023-05-26T17:38:34Z</dcterms:created>
  <dcterms:modified xsi:type="dcterms:W3CDTF">2025-05-27T00:14:28Z</dcterms:modified>
</cp:coreProperties>
</file>