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violeta.seliuchovien\Documents\Biudzetas\2018 m\Tarybai teikimas 2018-01-17\"/>
    </mc:Choice>
  </mc:AlternateContent>
  <bookViews>
    <workbookView xWindow="0" yWindow="150" windowWidth="22980" windowHeight="8610"/>
  </bookViews>
  <sheets>
    <sheet name="1" sheetId="17" r:id="rId1"/>
    <sheet name="2" sheetId="18" r:id="rId2"/>
    <sheet name="3" sheetId="19" r:id="rId3"/>
    <sheet name="4" sheetId="20" r:id="rId4"/>
    <sheet name="5" sheetId="21" r:id="rId5"/>
    <sheet name="6" sheetId="16" r:id="rId6"/>
    <sheet name="7" sheetId="9" r:id="rId7"/>
    <sheet name="8" sheetId="11" r:id="rId8"/>
    <sheet name="9" sheetId="12" r:id="rId9"/>
    <sheet name="10" sheetId="10" r:id="rId10"/>
    <sheet name="11" sheetId="13" r:id="rId11"/>
    <sheet name="12" sheetId="1" r:id="rId12"/>
    <sheet name="13" sheetId="15" r:id="rId13"/>
    <sheet name="14" sheetId="7" r:id="rId14"/>
    <sheet name="15" sheetId="14" r:id="rId15"/>
  </sheets>
  <externalReferences>
    <externalReference r:id="rId16"/>
  </externalReferences>
  <definedNames>
    <definedName name="_sarasas">[1]Sarasas!$A$1</definedName>
    <definedName name="_skaiciai">[1]Skaiciai!$A$1</definedName>
    <definedName name="ausr1" localSheetId="0">#REF!</definedName>
    <definedName name="ausr1" localSheetId="12">#REF!</definedName>
    <definedName name="ausr1" localSheetId="14">#REF!</definedName>
    <definedName name="ausr1" localSheetId="1">#REF!</definedName>
    <definedName name="ausr1" localSheetId="2">#REF!</definedName>
    <definedName name="ausr1" localSheetId="3">#REF!</definedName>
    <definedName name="ausr1" localSheetId="4">#REF!</definedName>
    <definedName name="ausr1">#REF!</definedName>
    <definedName name="_xlnm.Print_Area" localSheetId="0">#REF!</definedName>
    <definedName name="_xlnm.Print_Area" localSheetId="10">'11'!$A$1:$O$43</definedName>
    <definedName name="_xlnm.Print_Area" localSheetId="11">'12'!$A$1:$O$133</definedName>
    <definedName name="_xlnm.Print_Area" localSheetId="12">'13'!$A$1:$Q$227</definedName>
    <definedName name="_xlnm.Print_Area" localSheetId="13">'14'!$A$1:$Q$116</definedName>
    <definedName name="_xlnm.Print_Area" localSheetId="14">'15'!$A$1:$O$154</definedName>
    <definedName name="_xlnm.Print_Area" localSheetId="1">#REF!</definedName>
    <definedName name="_xlnm.Print_Area" localSheetId="2">#REF!</definedName>
    <definedName name="_xlnm.Print_Area" localSheetId="3">#REF!</definedName>
    <definedName name="_xlnm.Print_Area" localSheetId="4">#REF!</definedName>
    <definedName name="_xlnm.Print_Area" localSheetId="5">#REF!</definedName>
    <definedName name="_xlnm.Print_Area" localSheetId="6">'7'!$A$1:$O$18</definedName>
    <definedName name="_xlnm.Print_Area" localSheetId="7">'8'!$A$1:$O$25</definedName>
    <definedName name="_xlnm.Print_Area" localSheetId="8">'9'!$A$1:$O$11</definedName>
    <definedName name="_xlnm.Print_Area">#REF!</definedName>
    <definedName name="_xlnm.Print_Titles" localSheetId="0">'1'!$4:$4</definedName>
    <definedName name="_xlnm.Print_Titles" localSheetId="9">'10'!$4:$5</definedName>
    <definedName name="_xlnm.Print_Titles" localSheetId="10">'11'!$4:$7</definedName>
    <definedName name="_xlnm.Print_Titles" localSheetId="11">'12'!$4:$6</definedName>
    <definedName name="_xlnm.Print_Titles" localSheetId="12">'13'!$4:$6</definedName>
    <definedName name="_xlnm.Print_Titles" localSheetId="13">'14'!$4:$6</definedName>
    <definedName name="_xlnm.Print_Titles" localSheetId="14">'15'!$4:$6</definedName>
    <definedName name="_xlnm.Print_Titles" localSheetId="1">'2'!$4:$4</definedName>
    <definedName name="_xlnm.Print_Titles" localSheetId="2">'3'!$4:$5</definedName>
    <definedName name="_xlnm.Print_Titles" localSheetId="3">'4'!$4:$5</definedName>
    <definedName name="_xlnm.Print_Titles" localSheetId="5">'6'!$4:$5</definedName>
    <definedName name="_xlnm.Print_Titles" localSheetId="6">'7'!$4:$6</definedName>
    <definedName name="_xlnm.Print_Titles" localSheetId="7">'8'!$4:$6</definedName>
    <definedName name="_xlnm.Print_Titles" localSheetId="8">'9'!$4:$5</definedName>
  </definedNames>
  <calcPr calcId="171027"/>
</workbook>
</file>

<file path=xl/calcChain.xml><?xml version="1.0" encoding="utf-8"?>
<calcChain xmlns="http://schemas.openxmlformats.org/spreadsheetml/2006/main">
  <c r="D49" i="21" l="1"/>
  <c r="D48" i="21"/>
  <c r="D47" i="21"/>
  <c r="D46" i="21"/>
  <c r="D45" i="21"/>
  <c r="D44" i="21"/>
  <c r="D43" i="21"/>
  <c r="D42" i="21"/>
  <c r="C40" i="21"/>
  <c r="D38" i="21"/>
  <c r="C34" i="21"/>
  <c r="D34" i="21" s="1"/>
  <c r="C33" i="21"/>
  <c r="C28" i="21"/>
  <c r="D27" i="21"/>
  <c r="C24" i="21"/>
  <c r="C23" i="21"/>
  <c r="D20" i="21"/>
  <c r="D18" i="21"/>
  <c r="C17" i="21"/>
  <c r="D15" i="21"/>
  <c r="D14" i="21"/>
  <c r="C12" i="21"/>
  <c r="C8" i="21"/>
  <c r="C6" i="21" s="1"/>
  <c r="E75" i="20"/>
  <c r="F74" i="20"/>
  <c r="E74" i="20"/>
  <c r="E73" i="20"/>
  <c r="F73" i="20" s="1"/>
  <c r="D73" i="20"/>
  <c r="C73" i="20"/>
  <c r="E72" i="20"/>
  <c r="D71" i="20"/>
  <c r="E71" i="20" s="1"/>
  <c r="F70" i="20"/>
  <c r="E70" i="20"/>
  <c r="F69" i="20"/>
  <c r="E69" i="20"/>
  <c r="E68" i="20"/>
  <c r="F68" i="20" s="1"/>
  <c r="E67" i="20"/>
  <c r="F67" i="20" s="1"/>
  <c r="F66" i="20"/>
  <c r="E66" i="20"/>
  <c r="F65" i="20"/>
  <c r="E65" i="20"/>
  <c r="E64" i="20"/>
  <c r="F64" i="20" s="1"/>
  <c r="C63" i="20"/>
  <c r="C62" i="20"/>
  <c r="E60" i="20"/>
  <c r="E59" i="20"/>
  <c r="D58" i="20"/>
  <c r="E58" i="20" s="1"/>
  <c r="C58" i="20"/>
  <c r="F56" i="20"/>
  <c r="E56" i="20"/>
  <c r="E55" i="20"/>
  <c r="F55" i="20" s="1"/>
  <c r="F54" i="20"/>
  <c r="E54" i="20"/>
  <c r="D53" i="20"/>
  <c r="C53" i="20"/>
  <c r="E53" i="20" s="1"/>
  <c r="F53" i="20" s="1"/>
  <c r="D52" i="20"/>
  <c r="E52" i="20" s="1"/>
  <c r="F52" i="20" s="1"/>
  <c r="C52" i="20"/>
  <c r="E51" i="20"/>
  <c r="F51" i="20" s="1"/>
  <c r="E50" i="20"/>
  <c r="F50" i="20" s="1"/>
  <c r="E49" i="20"/>
  <c r="F49" i="20" s="1"/>
  <c r="D48" i="20"/>
  <c r="C48" i="20"/>
  <c r="E48" i="20" s="1"/>
  <c r="F48" i="20" s="1"/>
  <c r="E47" i="20"/>
  <c r="F47" i="20" s="1"/>
  <c r="D46" i="20"/>
  <c r="E46" i="20" s="1"/>
  <c r="E45" i="20"/>
  <c r="D44" i="20"/>
  <c r="E44" i="20" s="1"/>
  <c r="F44" i="20" s="1"/>
  <c r="C44" i="20"/>
  <c r="F43" i="20"/>
  <c r="E43" i="20"/>
  <c r="E41" i="20"/>
  <c r="F41" i="20" s="1"/>
  <c r="F40" i="20"/>
  <c r="E40" i="20"/>
  <c r="D39" i="20"/>
  <c r="E39" i="20" s="1"/>
  <c r="F39" i="20" s="1"/>
  <c r="C39" i="20"/>
  <c r="C38" i="20" s="1"/>
  <c r="C30" i="20" s="1"/>
  <c r="F37" i="20"/>
  <c r="E37" i="20"/>
  <c r="F36" i="20"/>
  <c r="E36" i="20"/>
  <c r="E35" i="20"/>
  <c r="F35" i="20" s="1"/>
  <c r="E34" i="20"/>
  <c r="E33" i="20"/>
  <c r="E32" i="20"/>
  <c r="E31" i="20"/>
  <c r="F31" i="20" s="1"/>
  <c r="D31" i="20"/>
  <c r="C31" i="20"/>
  <c r="E29" i="20"/>
  <c r="F29" i="20" s="1"/>
  <c r="E28" i="20"/>
  <c r="F28" i="20" s="1"/>
  <c r="F27" i="20"/>
  <c r="E27" i="20"/>
  <c r="D26" i="20"/>
  <c r="C26" i="20"/>
  <c r="E26" i="20" s="1"/>
  <c r="F26" i="20" s="1"/>
  <c r="E25" i="20"/>
  <c r="F25" i="20" s="1"/>
  <c r="F24" i="20"/>
  <c r="E24" i="20"/>
  <c r="E23" i="20"/>
  <c r="F23" i="20" s="1"/>
  <c r="E22" i="20"/>
  <c r="F22" i="20" s="1"/>
  <c r="D22" i="20"/>
  <c r="C22" i="20"/>
  <c r="E21" i="20"/>
  <c r="F20" i="20"/>
  <c r="E20" i="20"/>
  <c r="F19" i="20"/>
  <c r="E19" i="20"/>
  <c r="E18" i="20"/>
  <c r="E17" i="20"/>
  <c r="F17" i="20" s="1"/>
  <c r="F16" i="20"/>
  <c r="E16" i="20"/>
  <c r="D16" i="20"/>
  <c r="C16" i="20"/>
  <c r="E15" i="20"/>
  <c r="F15" i="20" s="1"/>
  <c r="D15" i="20"/>
  <c r="D6" i="20" s="1"/>
  <c r="C15" i="20"/>
  <c r="E14" i="20"/>
  <c r="E13" i="20"/>
  <c r="E12" i="20"/>
  <c r="F11" i="20"/>
  <c r="E11" i="20"/>
  <c r="E10" i="20"/>
  <c r="E9" i="20"/>
  <c r="F9" i="20" s="1"/>
  <c r="F7" i="20"/>
  <c r="E7" i="20"/>
  <c r="C6" i="20"/>
  <c r="E56" i="19"/>
  <c r="E55" i="19"/>
  <c r="D54" i="19"/>
  <c r="C54" i="19"/>
  <c r="E54" i="19" s="1"/>
  <c r="E52" i="19"/>
  <c r="E51" i="19"/>
  <c r="E50" i="19"/>
  <c r="D49" i="19"/>
  <c r="E49" i="19" s="1"/>
  <c r="C49" i="19"/>
  <c r="E48" i="19"/>
  <c r="E47" i="19"/>
  <c r="E46" i="19"/>
  <c r="D45" i="19"/>
  <c r="C45" i="19"/>
  <c r="E45" i="19" s="1"/>
  <c r="E44" i="19"/>
  <c r="E43" i="19"/>
  <c r="E42" i="19"/>
  <c r="E41" i="19"/>
  <c r="D41" i="19"/>
  <c r="E40" i="19"/>
  <c r="E39" i="19"/>
  <c r="E38" i="19"/>
  <c r="E37" i="19"/>
  <c r="D37" i="19"/>
  <c r="D36" i="19" s="1"/>
  <c r="C37" i="19"/>
  <c r="C36" i="19"/>
  <c r="E35" i="19"/>
  <c r="E34" i="19"/>
  <c r="E33" i="19"/>
  <c r="E32" i="19"/>
  <c r="E31" i="19"/>
  <c r="D30" i="19"/>
  <c r="E30" i="19" s="1"/>
  <c r="C30" i="19"/>
  <c r="C29" i="19"/>
  <c r="E28" i="19"/>
  <c r="E27" i="19"/>
  <c r="E26" i="19"/>
  <c r="D25" i="19"/>
  <c r="C25" i="19"/>
  <c r="E25" i="19" s="1"/>
  <c r="E24" i="19"/>
  <c r="E23" i="19"/>
  <c r="E22" i="19"/>
  <c r="C21" i="19"/>
  <c r="E21" i="19" s="1"/>
  <c r="E20" i="19"/>
  <c r="E19" i="19"/>
  <c r="E18" i="19"/>
  <c r="E17" i="19"/>
  <c r="E16" i="19"/>
  <c r="C16" i="19"/>
  <c r="D15" i="19"/>
  <c r="D6" i="19" s="1"/>
  <c r="C15" i="19"/>
  <c r="E15" i="19" s="1"/>
  <c r="E14" i="19"/>
  <c r="E13" i="19"/>
  <c r="E12" i="19"/>
  <c r="E11" i="19"/>
  <c r="E10" i="19"/>
  <c r="E9" i="19"/>
  <c r="E7" i="19"/>
  <c r="C6" i="19"/>
  <c r="C53" i="19" s="1"/>
  <c r="K55" i="18"/>
  <c r="L55" i="18" s="1"/>
  <c r="I55" i="18"/>
  <c r="J55" i="18" s="1"/>
  <c r="G55" i="18"/>
  <c r="H55" i="18" s="1"/>
  <c r="F52" i="18"/>
  <c r="E52" i="18"/>
  <c r="E51" i="18"/>
  <c r="M50" i="18"/>
  <c r="K50" i="18"/>
  <c r="I50" i="18"/>
  <c r="G50" i="18"/>
  <c r="E50" i="18"/>
  <c r="M49" i="18"/>
  <c r="L49" i="18"/>
  <c r="K49" i="18"/>
  <c r="J49" i="18"/>
  <c r="I49" i="18"/>
  <c r="G49" i="18"/>
  <c r="H49" i="18" s="1"/>
  <c r="E49" i="18"/>
  <c r="F49" i="18" s="1"/>
  <c r="M48" i="18"/>
  <c r="K48" i="18"/>
  <c r="L48" i="18" s="1"/>
  <c r="I48" i="18"/>
  <c r="J48" i="18" s="1"/>
  <c r="G48" i="18"/>
  <c r="H48" i="18" s="1"/>
  <c r="F48" i="18"/>
  <c r="E48" i="18"/>
  <c r="L47" i="18"/>
  <c r="K47" i="18"/>
  <c r="I47" i="18"/>
  <c r="J47" i="18" s="1"/>
  <c r="G47" i="18"/>
  <c r="H47" i="18" s="1"/>
  <c r="D47" i="18"/>
  <c r="M47" i="18" s="1"/>
  <c r="C47" i="18"/>
  <c r="M46" i="18"/>
  <c r="K46" i="18"/>
  <c r="L46" i="18" s="1"/>
  <c r="J46" i="18"/>
  <c r="I46" i="18"/>
  <c r="G46" i="18"/>
  <c r="H46" i="18" s="1"/>
  <c r="E46" i="18"/>
  <c r="F46" i="18" s="1"/>
  <c r="M45" i="18"/>
  <c r="K45" i="18"/>
  <c r="L45" i="18" s="1"/>
  <c r="J45" i="18"/>
  <c r="I45" i="18"/>
  <c r="H45" i="18"/>
  <c r="G45" i="18"/>
  <c r="E45" i="18"/>
  <c r="F45" i="18" s="1"/>
  <c r="M44" i="18"/>
  <c r="L44" i="18"/>
  <c r="K44" i="18"/>
  <c r="I44" i="18"/>
  <c r="J44" i="18" s="1"/>
  <c r="G44" i="18"/>
  <c r="H44" i="18" s="1"/>
  <c r="E44" i="18"/>
  <c r="F44" i="18" s="1"/>
  <c r="F43" i="18"/>
  <c r="E43" i="18"/>
  <c r="L42" i="18"/>
  <c r="K42" i="18"/>
  <c r="I42" i="18"/>
  <c r="J42" i="18" s="1"/>
  <c r="G42" i="18"/>
  <c r="H42" i="18" s="1"/>
  <c r="D42" i="18"/>
  <c r="M42" i="18" s="1"/>
  <c r="C42" i="18"/>
  <c r="K41" i="18"/>
  <c r="L41" i="18" s="1"/>
  <c r="J41" i="18"/>
  <c r="I41" i="18"/>
  <c r="G41" i="18"/>
  <c r="H41" i="18" s="1"/>
  <c r="C41" i="18"/>
  <c r="C53" i="18" s="1"/>
  <c r="M40" i="18"/>
  <c r="K40" i="18"/>
  <c r="I40" i="18"/>
  <c r="H40" i="18"/>
  <c r="G40" i="18"/>
  <c r="E37" i="18"/>
  <c r="E36" i="18"/>
  <c r="E35" i="18"/>
  <c r="D35" i="18"/>
  <c r="C35" i="18"/>
  <c r="K34" i="18"/>
  <c r="L34" i="18" s="1"/>
  <c r="J34" i="18"/>
  <c r="I34" i="18"/>
  <c r="H34" i="18"/>
  <c r="G34" i="18"/>
  <c r="F33" i="18"/>
  <c r="E33" i="18"/>
  <c r="M32" i="18"/>
  <c r="L32" i="18"/>
  <c r="K32" i="18"/>
  <c r="I32" i="18"/>
  <c r="J32" i="18" s="1"/>
  <c r="H32" i="18"/>
  <c r="G32" i="18"/>
  <c r="E32" i="18"/>
  <c r="M31" i="18"/>
  <c r="L31" i="18"/>
  <c r="K31" i="18"/>
  <c r="I31" i="18"/>
  <c r="J31" i="18" s="1"/>
  <c r="H31" i="18"/>
  <c r="G31" i="18"/>
  <c r="E31" i="18"/>
  <c r="M30" i="18"/>
  <c r="L30" i="18"/>
  <c r="K30" i="18"/>
  <c r="I30" i="18"/>
  <c r="J30" i="18" s="1"/>
  <c r="H30" i="18"/>
  <c r="G30" i="18"/>
  <c r="E30" i="18"/>
  <c r="F30" i="18" s="1"/>
  <c r="M29" i="18"/>
  <c r="K29" i="18"/>
  <c r="L29" i="18" s="1"/>
  <c r="I29" i="18"/>
  <c r="J29" i="18" s="1"/>
  <c r="H29" i="18"/>
  <c r="G29" i="18"/>
  <c r="F29" i="18"/>
  <c r="E29" i="18"/>
  <c r="M28" i="18"/>
  <c r="K28" i="18"/>
  <c r="L28" i="18" s="1"/>
  <c r="J28" i="18"/>
  <c r="I28" i="18"/>
  <c r="G28" i="18"/>
  <c r="H28" i="18" s="1"/>
  <c r="E28" i="18"/>
  <c r="M27" i="18"/>
  <c r="K27" i="18"/>
  <c r="L27" i="18" s="1"/>
  <c r="J27" i="18"/>
  <c r="I27" i="18"/>
  <c r="G27" i="18"/>
  <c r="H27" i="18" s="1"/>
  <c r="F27" i="18"/>
  <c r="E27" i="18"/>
  <c r="K26" i="18"/>
  <c r="L26" i="18" s="1"/>
  <c r="J26" i="18"/>
  <c r="I26" i="18"/>
  <c r="H26" i="18"/>
  <c r="G26" i="18"/>
  <c r="D26" i="18"/>
  <c r="E26" i="18" s="1"/>
  <c r="F26" i="18" s="1"/>
  <c r="C26" i="18"/>
  <c r="E25" i="18"/>
  <c r="M24" i="18"/>
  <c r="F24" i="18"/>
  <c r="E24" i="18"/>
  <c r="M23" i="18"/>
  <c r="E23" i="18"/>
  <c r="M22" i="18"/>
  <c r="L22" i="18"/>
  <c r="K22" i="18"/>
  <c r="I22" i="18"/>
  <c r="J22" i="18" s="1"/>
  <c r="H22" i="18"/>
  <c r="G22" i="18"/>
  <c r="E22" i="18"/>
  <c r="F22" i="18" s="1"/>
  <c r="M21" i="18"/>
  <c r="L21" i="18"/>
  <c r="K21" i="18"/>
  <c r="J21" i="18"/>
  <c r="I21" i="18"/>
  <c r="G21" i="18"/>
  <c r="H21" i="18" s="1"/>
  <c r="E21" i="18"/>
  <c r="F21" i="18" s="1"/>
  <c r="M20" i="18"/>
  <c r="K20" i="18"/>
  <c r="L20" i="18" s="1"/>
  <c r="J20" i="18"/>
  <c r="I20" i="18"/>
  <c r="G20" i="18"/>
  <c r="H20" i="18" s="1"/>
  <c r="F20" i="18"/>
  <c r="E20" i="18"/>
  <c r="L19" i="18"/>
  <c r="K19" i="18"/>
  <c r="I19" i="18"/>
  <c r="J19" i="18" s="1"/>
  <c r="G19" i="18"/>
  <c r="H19" i="18" s="1"/>
  <c r="D19" i="18"/>
  <c r="M19" i="18" s="1"/>
  <c r="C19" i="18"/>
  <c r="D18" i="18"/>
  <c r="E18" i="18" s="1"/>
  <c r="E17" i="18"/>
  <c r="F17" i="18" s="1"/>
  <c r="M16" i="18"/>
  <c r="K16" i="18"/>
  <c r="L16" i="18" s="1"/>
  <c r="J16" i="18"/>
  <c r="I16" i="18"/>
  <c r="G16" i="18"/>
  <c r="H16" i="18" s="1"/>
  <c r="E16" i="18"/>
  <c r="F15" i="18"/>
  <c r="E15" i="18"/>
  <c r="D14" i="18"/>
  <c r="C14" i="18"/>
  <c r="E14" i="18" s="1"/>
  <c r="F14" i="18" s="1"/>
  <c r="L13" i="18"/>
  <c r="K13" i="18"/>
  <c r="I13" i="18"/>
  <c r="J13" i="18" s="1"/>
  <c r="H13" i="18"/>
  <c r="G13" i="18"/>
  <c r="D13" i="18"/>
  <c r="D34" i="18" s="1"/>
  <c r="C13" i="18"/>
  <c r="C34" i="18" s="1"/>
  <c r="E12" i="18"/>
  <c r="M11" i="18"/>
  <c r="L11" i="18"/>
  <c r="K11" i="18"/>
  <c r="I11" i="18"/>
  <c r="J11" i="18" s="1"/>
  <c r="H11" i="18"/>
  <c r="G11" i="18"/>
  <c r="E11" i="18"/>
  <c r="E10" i="18"/>
  <c r="F9" i="18"/>
  <c r="E9" i="18"/>
  <c r="M8" i="18"/>
  <c r="K8" i="18"/>
  <c r="L8" i="18" s="1"/>
  <c r="J8" i="18"/>
  <c r="I8" i="18"/>
  <c r="H8" i="18"/>
  <c r="G8" i="18"/>
  <c r="E8" i="18"/>
  <c r="M7" i="18"/>
  <c r="K7" i="18"/>
  <c r="L7" i="18" s="1"/>
  <c r="J7" i="18"/>
  <c r="I7" i="18"/>
  <c r="H7" i="18"/>
  <c r="G7" i="18"/>
  <c r="E7" i="18"/>
  <c r="F7" i="18" s="1"/>
  <c r="M5" i="18"/>
  <c r="K5" i="18"/>
  <c r="L5" i="18" s="1"/>
  <c r="I5" i="18"/>
  <c r="J5" i="18" s="1"/>
  <c r="H5" i="18"/>
  <c r="G5" i="18"/>
  <c r="E5" i="18"/>
  <c r="F5" i="18" s="1"/>
  <c r="H45" i="17"/>
  <c r="I45" i="17" s="1"/>
  <c r="F45" i="17"/>
  <c r="G45" i="17" s="1"/>
  <c r="H44" i="17"/>
  <c r="I44" i="17" s="1"/>
  <c r="F44" i="17"/>
  <c r="G44" i="17" s="1"/>
  <c r="H43" i="17"/>
  <c r="I43" i="17" s="1"/>
  <c r="F43" i="17"/>
  <c r="G43" i="17" s="1"/>
  <c r="H42" i="17"/>
  <c r="I42" i="17" s="1"/>
  <c r="F42" i="17"/>
  <c r="G42" i="17" s="1"/>
  <c r="H41" i="17"/>
  <c r="I41" i="17" s="1"/>
  <c r="G41" i="17"/>
  <c r="I40" i="17"/>
  <c r="H40" i="17"/>
  <c r="G40" i="17"/>
  <c r="H39" i="17"/>
  <c r="I39" i="17" s="1"/>
  <c r="F39" i="17"/>
  <c r="G39" i="17" s="1"/>
  <c r="H38" i="17"/>
  <c r="I38" i="17" s="1"/>
  <c r="F38" i="17"/>
  <c r="G38" i="17" s="1"/>
  <c r="H37" i="17"/>
  <c r="I37" i="17" s="1"/>
  <c r="F37" i="17"/>
  <c r="G37" i="17" s="1"/>
  <c r="H36" i="17"/>
  <c r="I36" i="17" s="1"/>
  <c r="F36" i="17"/>
  <c r="G36" i="17" s="1"/>
  <c r="H35" i="17"/>
  <c r="I35" i="17" s="1"/>
  <c r="F35" i="17"/>
  <c r="G35" i="17" s="1"/>
  <c r="H34" i="17"/>
  <c r="I34" i="17" s="1"/>
  <c r="F34" i="17"/>
  <c r="G34" i="17" s="1"/>
  <c r="H33" i="17"/>
  <c r="I33" i="17" s="1"/>
  <c r="F33" i="17"/>
  <c r="G33" i="17" s="1"/>
  <c r="E33" i="17"/>
  <c r="D33" i="17"/>
  <c r="D31" i="17" s="1"/>
  <c r="C33" i="17"/>
  <c r="I32" i="17"/>
  <c r="H32" i="17"/>
  <c r="F32" i="17"/>
  <c r="G32" i="17" s="1"/>
  <c r="E31" i="17"/>
  <c r="C31" i="17"/>
  <c r="H30" i="17"/>
  <c r="I30" i="17" s="1"/>
  <c r="F30" i="17"/>
  <c r="G30" i="17" s="1"/>
  <c r="H29" i="17"/>
  <c r="I29" i="17" s="1"/>
  <c r="F29" i="17"/>
  <c r="G29" i="17" s="1"/>
  <c r="H28" i="17"/>
  <c r="I28" i="17" s="1"/>
  <c r="F28" i="17"/>
  <c r="G28" i="17" s="1"/>
  <c r="E28" i="17"/>
  <c r="E46" i="17" s="1"/>
  <c r="D28" i="17"/>
  <c r="D46" i="17" s="1"/>
  <c r="C28" i="17"/>
  <c r="C46" i="17" s="1"/>
  <c r="H27" i="17"/>
  <c r="I27" i="17" s="1"/>
  <c r="G27" i="17"/>
  <c r="F27" i="17"/>
  <c r="I26" i="17"/>
  <c r="H26" i="17"/>
  <c r="G26" i="17"/>
  <c r="F26" i="17"/>
  <c r="H25" i="17"/>
  <c r="I25" i="17" s="1"/>
  <c r="G25" i="17"/>
  <c r="F25" i="17"/>
  <c r="D25" i="17"/>
  <c r="H24" i="17"/>
  <c r="I24" i="17" s="1"/>
  <c r="F24" i="17"/>
  <c r="G24" i="17" s="1"/>
  <c r="H23" i="17"/>
  <c r="I23" i="17" s="1"/>
  <c r="F23" i="17"/>
  <c r="G23" i="17" s="1"/>
  <c r="F22" i="17"/>
  <c r="G22" i="17" s="1"/>
  <c r="D22" i="17"/>
  <c r="H22" i="17" s="1"/>
  <c r="I22" i="17" s="1"/>
  <c r="I21" i="17"/>
  <c r="H21" i="17"/>
  <c r="G21" i="17"/>
  <c r="F21" i="17"/>
  <c r="E20" i="17"/>
  <c r="E19" i="17" s="1"/>
  <c r="D20" i="17"/>
  <c r="C20" i="17"/>
  <c r="C19" i="17" s="1"/>
  <c r="C6" i="17" s="1"/>
  <c r="D19" i="17"/>
  <c r="D6" i="17" s="1"/>
  <c r="I18" i="17"/>
  <c r="H18" i="17"/>
  <c r="G18" i="17"/>
  <c r="F18" i="17"/>
  <c r="H17" i="17"/>
  <c r="I17" i="17" s="1"/>
  <c r="G17" i="17"/>
  <c r="F17" i="17"/>
  <c r="H13" i="17"/>
  <c r="F13" i="17"/>
  <c r="H12" i="17"/>
  <c r="I12" i="17" s="1"/>
  <c r="F12" i="17"/>
  <c r="G12" i="17" s="1"/>
  <c r="H11" i="17"/>
  <c r="I11" i="17" s="1"/>
  <c r="F11" i="17"/>
  <c r="G11" i="17" s="1"/>
  <c r="H10" i="17"/>
  <c r="I10" i="17" s="1"/>
  <c r="F10" i="17"/>
  <c r="G10" i="17" s="1"/>
  <c r="H9" i="17"/>
  <c r="F9" i="17"/>
  <c r="H8" i="17"/>
  <c r="I8" i="17" s="1"/>
  <c r="F8" i="17"/>
  <c r="G8" i="17" s="1"/>
  <c r="H7" i="17"/>
  <c r="I7" i="17" s="1"/>
  <c r="F7" i="17"/>
  <c r="G7" i="17" s="1"/>
  <c r="C16" i="21" l="1"/>
  <c r="C39" i="21" s="1"/>
  <c r="C57" i="20"/>
  <c r="C61" i="20" s="1"/>
  <c r="C76" i="20" s="1"/>
  <c r="E6" i="20"/>
  <c r="F6" i="20" s="1"/>
  <c r="D30" i="20"/>
  <c r="E30" i="20" s="1"/>
  <c r="F30" i="20" s="1"/>
  <c r="D38" i="20"/>
  <c r="E38" i="20" s="1"/>
  <c r="F38" i="20" s="1"/>
  <c r="D63" i="20"/>
  <c r="E29" i="19"/>
  <c r="E36" i="19"/>
  <c r="D29" i="19"/>
  <c r="D53" i="19"/>
  <c r="D57" i="19" s="1"/>
  <c r="C57" i="19"/>
  <c r="E6" i="19"/>
  <c r="C55" i="18"/>
  <c r="C38" i="18"/>
  <c r="D55" i="18"/>
  <c r="D38" i="18"/>
  <c r="E38" i="18" s="1"/>
  <c r="F38" i="18" s="1"/>
  <c r="M34" i="18"/>
  <c r="E34" i="18"/>
  <c r="F34" i="18" s="1"/>
  <c r="M13" i="18"/>
  <c r="M26" i="18"/>
  <c r="E13" i="18"/>
  <c r="F13" i="18" s="1"/>
  <c r="D41" i="18"/>
  <c r="E19" i="18"/>
  <c r="F19" i="18" s="1"/>
  <c r="E42" i="18"/>
  <c r="F42" i="18" s="1"/>
  <c r="E47" i="18"/>
  <c r="F47" i="18" s="1"/>
  <c r="C5" i="17"/>
  <c r="C47" i="17" s="1"/>
  <c r="C16" i="17"/>
  <c r="D5" i="17"/>
  <c r="D47" i="17" s="1"/>
  <c r="D16" i="17"/>
  <c r="H19" i="17"/>
  <c r="I19" i="17" s="1"/>
  <c r="E6" i="17"/>
  <c r="F19" i="17"/>
  <c r="G19" i="17" s="1"/>
  <c r="H46" i="17"/>
  <c r="I46" i="17" s="1"/>
  <c r="F46" i="17"/>
  <c r="G46" i="17" s="1"/>
  <c r="H31" i="17"/>
  <c r="I31" i="17" s="1"/>
  <c r="H20" i="17"/>
  <c r="I20" i="17" s="1"/>
  <c r="F20" i="17"/>
  <c r="G20" i="17" s="1"/>
  <c r="F31" i="17"/>
  <c r="G31" i="17" s="1"/>
  <c r="O51" i="16"/>
  <c r="O48" i="16"/>
  <c r="J48" i="16" s="1"/>
  <c r="O45" i="16"/>
  <c r="O41" i="16" s="1"/>
  <c r="O44" i="16"/>
  <c r="O43" i="16"/>
  <c r="O39" i="16"/>
  <c r="J39" i="16" s="1"/>
  <c r="O35" i="16"/>
  <c r="O34" i="16"/>
  <c r="O27" i="16" s="1"/>
  <c r="O25" i="16"/>
  <c r="O11" i="16"/>
  <c r="N51" i="16"/>
  <c r="J51" i="16" s="1"/>
  <c r="N48" i="16"/>
  <c r="N11" i="16"/>
  <c r="L21" i="16"/>
  <c r="M21" i="16"/>
  <c r="N21" i="16"/>
  <c r="O21" i="16"/>
  <c r="P21" i="16"/>
  <c r="K21" i="16"/>
  <c r="E21" i="16"/>
  <c r="F21" i="16"/>
  <c r="G21" i="16"/>
  <c r="I21" i="16"/>
  <c r="D21" i="16"/>
  <c r="J26" i="16"/>
  <c r="Q26" i="16" s="1"/>
  <c r="C26" i="16"/>
  <c r="H45" i="16"/>
  <c r="C45" i="16" s="1"/>
  <c r="H35" i="16"/>
  <c r="H25" i="16"/>
  <c r="C25" i="16" s="1"/>
  <c r="H48" i="16"/>
  <c r="H46" i="16" s="1"/>
  <c r="H51" i="16"/>
  <c r="H44" i="16"/>
  <c r="C44" i="16" s="1"/>
  <c r="H34" i="16"/>
  <c r="C34" i="16" s="1"/>
  <c r="H30" i="16"/>
  <c r="C30" i="16" s="1"/>
  <c r="H24" i="16"/>
  <c r="H21" i="16" s="1"/>
  <c r="G51" i="16"/>
  <c r="G48" i="16"/>
  <c r="D48" i="16"/>
  <c r="D46" i="16" s="1"/>
  <c r="J64" i="16"/>
  <c r="C64" i="16"/>
  <c r="J63" i="16"/>
  <c r="Q63" i="16" s="1"/>
  <c r="C63" i="16"/>
  <c r="J62" i="16"/>
  <c r="C62" i="16"/>
  <c r="J61" i="16"/>
  <c r="C61" i="16"/>
  <c r="J60" i="16"/>
  <c r="C60" i="16"/>
  <c r="J59" i="16"/>
  <c r="C59" i="16"/>
  <c r="C58" i="16"/>
  <c r="Q58" i="16" s="1"/>
  <c r="P57" i="16"/>
  <c r="O57" i="16"/>
  <c r="N57" i="16"/>
  <c r="M57" i="16"/>
  <c r="L57" i="16"/>
  <c r="K57" i="16"/>
  <c r="I57" i="16"/>
  <c r="H57" i="16"/>
  <c r="G57" i="16"/>
  <c r="F57" i="16"/>
  <c r="E57" i="16"/>
  <c r="D57" i="16"/>
  <c r="J56" i="16"/>
  <c r="J54" i="16" s="1"/>
  <c r="C56" i="16"/>
  <c r="C54" i="16" s="1"/>
  <c r="Q55" i="16"/>
  <c r="C55" i="16"/>
  <c r="P54" i="16"/>
  <c r="O54" i="16"/>
  <c r="N54" i="16"/>
  <c r="M54" i="16"/>
  <c r="L54" i="16"/>
  <c r="K54" i="16"/>
  <c r="I54" i="16"/>
  <c r="H54" i="16"/>
  <c r="G54" i="16"/>
  <c r="F54" i="16"/>
  <c r="E54" i="16"/>
  <c r="D54" i="16"/>
  <c r="J53" i="16"/>
  <c r="C53" i="16"/>
  <c r="J52" i="16"/>
  <c r="C52" i="16"/>
  <c r="J50" i="16"/>
  <c r="C50" i="16"/>
  <c r="J49" i="16"/>
  <c r="C49" i="16"/>
  <c r="C47" i="16"/>
  <c r="Q47" i="16" s="1"/>
  <c r="P46" i="16"/>
  <c r="N46" i="16"/>
  <c r="M46" i="16"/>
  <c r="L46" i="16"/>
  <c r="K46" i="16"/>
  <c r="I46" i="16"/>
  <c r="F46" i="16"/>
  <c r="E46" i="16"/>
  <c r="J45" i="16"/>
  <c r="J44" i="16"/>
  <c r="J43" i="16"/>
  <c r="C43" i="16"/>
  <c r="C42" i="16"/>
  <c r="Q42" i="16" s="1"/>
  <c r="P41" i="16"/>
  <c r="N41" i="16"/>
  <c r="M41" i="16"/>
  <c r="K41" i="16"/>
  <c r="I41" i="16"/>
  <c r="G41" i="16"/>
  <c r="F41" i="16"/>
  <c r="E41" i="16"/>
  <c r="D41" i="16"/>
  <c r="L37" i="16"/>
  <c r="C40" i="16"/>
  <c r="C39" i="16"/>
  <c r="C38" i="16"/>
  <c r="Q38" i="16" s="1"/>
  <c r="P37" i="16"/>
  <c r="N37" i="16"/>
  <c r="M37" i="16"/>
  <c r="K37" i="16"/>
  <c r="I37" i="16"/>
  <c r="H37" i="16"/>
  <c r="G37" i="16"/>
  <c r="F37" i="16"/>
  <c r="E37" i="16"/>
  <c r="D37" i="16"/>
  <c r="J36" i="16"/>
  <c r="C36" i="16"/>
  <c r="J35" i="16"/>
  <c r="J33" i="16"/>
  <c r="C33" i="16"/>
  <c r="J32" i="16"/>
  <c r="C32" i="16"/>
  <c r="J31" i="16"/>
  <c r="C31" i="16"/>
  <c r="J30" i="16"/>
  <c r="J29" i="16"/>
  <c r="C29" i="16"/>
  <c r="C28" i="16"/>
  <c r="Q28" i="16" s="1"/>
  <c r="P27" i="16"/>
  <c r="N27" i="16"/>
  <c r="M27" i="16"/>
  <c r="L27" i="16"/>
  <c r="K27" i="16"/>
  <c r="I27" i="16"/>
  <c r="G27" i="16"/>
  <c r="F27" i="16"/>
  <c r="E27" i="16"/>
  <c r="D27" i="16"/>
  <c r="J25" i="16"/>
  <c r="J24" i="16"/>
  <c r="C24" i="16"/>
  <c r="J23" i="16"/>
  <c r="C23" i="16"/>
  <c r="C21" i="16" s="1"/>
  <c r="C22" i="16"/>
  <c r="Q22" i="16" s="1"/>
  <c r="J20" i="16"/>
  <c r="J18" i="16" s="1"/>
  <c r="C20" i="16"/>
  <c r="C18" i="16" s="1"/>
  <c r="C19" i="16"/>
  <c r="Q19" i="16" s="1"/>
  <c r="P18" i="16"/>
  <c r="O18" i="16"/>
  <c r="N18" i="16"/>
  <c r="M18" i="16"/>
  <c r="L18" i="16"/>
  <c r="K18" i="16"/>
  <c r="I18" i="16"/>
  <c r="H18" i="16"/>
  <c r="G18" i="16"/>
  <c r="F18" i="16"/>
  <c r="E18" i="16"/>
  <c r="D18" i="16"/>
  <c r="J17" i="16"/>
  <c r="C17" i="16"/>
  <c r="J16" i="16"/>
  <c r="C16" i="16"/>
  <c r="J15" i="16"/>
  <c r="C15" i="16"/>
  <c r="J14" i="16"/>
  <c r="C14" i="16"/>
  <c r="J13" i="16"/>
  <c r="C13" i="16"/>
  <c r="J12" i="16"/>
  <c r="C12" i="16"/>
  <c r="J11" i="16"/>
  <c r="C11" i="16"/>
  <c r="J10" i="16"/>
  <c r="C10" i="16"/>
  <c r="J9" i="16"/>
  <c r="C9" i="16"/>
  <c r="Q8" i="16"/>
  <c r="P7" i="16"/>
  <c r="O7" i="16"/>
  <c r="N7" i="16"/>
  <c r="M7" i="16"/>
  <c r="K7" i="16"/>
  <c r="I7" i="16"/>
  <c r="H7" i="16"/>
  <c r="G7" i="16"/>
  <c r="F7" i="16"/>
  <c r="E7" i="16"/>
  <c r="D7" i="16"/>
  <c r="C51" i="21" l="1"/>
  <c r="D39" i="21" s="1"/>
  <c r="D16" i="21"/>
  <c r="E63" i="20"/>
  <c r="F63" i="20" s="1"/>
  <c r="D62" i="20"/>
  <c r="E62" i="20" s="1"/>
  <c r="F62" i="20" s="1"/>
  <c r="D57" i="20"/>
  <c r="E57" i="19"/>
  <c r="E53" i="19"/>
  <c r="M55" i="18"/>
  <c r="E55" i="18"/>
  <c r="F55" i="18" s="1"/>
  <c r="D53" i="18"/>
  <c r="E53" i="18" s="1"/>
  <c r="F53" i="18" s="1"/>
  <c r="M41" i="18"/>
  <c r="E41" i="18"/>
  <c r="F41" i="18" s="1"/>
  <c r="H6" i="17"/>
  <c r="I6" i="17" s="1"/>
  <c r="F6" i="17"/>
  <c r="G6" i="17" s="1"/>
  <c r="E5" i="17"/>
  <c r="E16" i="17"/>
  <c r="G46" i="16"/>
  <c r="G65" i="16" s="1"/>
  <c r="Q23" i="16"/>
  <c r="Q52" i="16"/>
  <c r="C51" i="16"/>
  <c r="Q51" i="16" s="1"/>
  <c r="H27" i="16"/>
  <c r="J34" i="16"/>
  <c r="Q53" i="16"/>
  <c r="Q60" i="16"/>
  <c r="O46" i="16"/>
  <c r="O65" i="16" s="1"/>
  <c r="O37" i="16"/>
  <c r="Q31" i="16"/>
  <c r="J21" i="16"/>
  <c r="Q44" i="16"/>
  <c r="Q9" i="16"/>
  <c r="Q17" i="16"/>
  <c r="Q61" i="16"/>
  <c r="C35" i="16"/>
  <c r="C27" i="16" s="1"/>
  <c r="H41" i="16"/>
  <c r="C37" i="16"/>
  <c r="Q39" i="16"/>
  <c r="Q64" i="16"/>
  <c r="C48" i="16"/>
  <c r="Q48" i="16" s="1"/>
  <c r="D65" i="16"/>
  <c r="Q62" i="16"/>
  <c r="Q59" i="16"/>
  <c r="C41" i="16"/>
  <c r="Q33" i="16"/>
  <c r="Q29" i="16"/>
  <c r="Q11" i="16"/>
  <c r="J57" i="16"/>
  <c r="N65" i="16"/>
  <c r="J46" i="16"/>
  <c r="K65" i="16"/>
  <c r="Q36" i="16"/>
  <c r="M65" i="16"/>
  <c r="P65" i="16"/>
  <c r="Q12" i="16"/>
  <c r="C57" i="16"/>
  <c r="Q56" i="16"/>
  <c r="Q54" i="16" s="1"/>
  <c r="F65" i="16"/>
  <c r="Q50" i="16"/>
  <c r="Q45" i="16"/>
  <c r="I65" i="16"/>
  <c r="Q34" i="16"/>
  <c r="Q30" i="16"/>
  <c r="Q32" i="16"/>
  <c r="Q25" i="16"/>
  <c r="Q24" i="16"/>
  <c r="Q20" i="16"/>
  <c r="Q18" i="16" s="1"/>
  <c r="Q15" i="16"/>
  <c r="Q16" i="16"/>
  <c r="Q13" i="16"/>
  <c r="Q10" i="16"/>
  <c r="C7" i="16"/>
  <c r="Q14" i="16"/>
  <c r="Q43" i="16"/>
  <c r="J41" i="16"/>
  <c r="L7" i="16"/>
  <c r="J27" i="16"/>
  <c r="J40" i="16"/>
  <c r="E65" i="16"/>
  <c r="L41" i="16"/>
  <c r="Q49" i="16"/>
  <c r="D51" i="21" l="1"/>
  <c r="D32" i="21"/>
  <c r="D25" i="21"/>
  <c r="D19" i="21"/>
  <c r="D13" i="21"/>
  <c r="D7" i="21"/>
  <c r="D37" i="21"/>
  <c r="D31" i="21"/>
  <c r="D50" i="21"/>
  <c r="D36" i="21"/>
  <c r="D30" i="21"/>
  <c r="D26" i="21"/>
  <c r="D41" i="21"/>
  <c r="D35" i="21"/>
  <c r="D29" i="21"/>
  <c r="D11" i="21"/>
  <c r="D10" i="21"/>
  <c r="D22" i="21"/>
  <c r="D9" i="21"/>
  <c r="D21" i="21"/>
  <c r="D33" i="21"/>
  <c r="D28" i="21"/>
  <c r="D17" i="21"/>
  <c r="D8" i="21"/>
  <c r="D40" i="21"/>
  <c r="D6" i="21"/>
  <c r="D24" i="21"/>
  <c r="D12" i="21"/>
  <c r="D23" i="21"/>
  <c r="D61" i="20"/>
  <c r="E57" i="20"/>
  <c r="F57" i="20" s="1"/>
  <c r="H16" i="17"/>
  <c r="I16" i="17" s="1"/>
  <c r="F16" i="17"/>
  <c r="G16" i="17" s="1"/>
  <c r="H5" i="17"/>
  <c r="I5" i="17" s="1"/>
  <c r="F5" i="17"/>
  <c r="E47" i="17"/>
  <c r="H47" i="17" s="1"/>
  <c r="I47" i="17" s="1"/>
  <c r="H65" i="16"/>
  <c r="Q21" i="16"/>
  <c r="Q41" i="16"/>
  <c r="Q57" i="16"/>
  <c r="Q35" i="16"/>
  <c r="Q27" i="16" s="1"/>
  <c r="C46" i="16"/>
  <c r="C65" i="16" s="1"/>
  <c r="Q46" i="16"/>
  <c r="L65" i="16"/>
  <c r="J7" i="16"/>
  <c r="J37" i="16"/>
  <c r="Q40" i="16"/>
  <c r="Q37" i="16" s="1"/>
  <c r="D76" i="20" l="1"/>
  <c r="E76" i="20" s="1"/>
  <c r="F76" i="20" s="1"/>
  <c r="E61" i="20"/>
  <c r="F61" i="20" s="1"/>
  <c r="G5" i="17"/>
  <c r="F47" i="17"/>
  <c r="G47" i="17" s="1"/>
  <c r="Q7" i="16"/>
  <c r="Q65" i="16" s="1"/>
  <c r="J65" i="16"/>
  <c r="L50" i="14" l="1"/>
  <c r="K50" i="14"/>
  <c r="L106" i="1" l="1"/>
  <c r="K106" i="1"/>
  <c r="L38" i="7" l="1"/>
  <c r="J38" i="7"/>
  <c r="J47" i="7"/>
  <c r="L47" i="7"/>
  <c r="I20" i="7" l="1"/>
  <c r="K20" i="7"/>
  <c r="J20" i="7"/>
  <c r="L20" i="7"/>
  <c r="K133" i="1" l="1"/>
  <c r="L133" i="1"/>
  <c r="J16" i="9"/>
  <c r="K16" i="9"/>
  <c r="L16" i="9"/>
  <c r="M16" i="9"/>
  <c r="N16" i="9"/>
  <c r="I16" i="9"/>
  <c r="K55" i="7" l="1"/>
  <c r="J56" i="7" l="1"/>
  <c r="I56" i="7"/>
  <c r="O56" i="7" s="1"/>
  <c r="I62" i="7"/>
  <c r="J57" i="7"/>
  <c r="I57" i="7"/>
  <c r="M119" i="1" l="1"/>
  <c r="M120" i="1"/>
  <c r="M121" i="1"/>
  <c r="M122" i="1"/>
  <c r="M123" i="1"/>
  <c r="M125" i="1"/>
  <c r="M126" i="1"/>
  <c r="M127" i="1"/>
  <c r="M128" i="1"/>
  <c r="M129" i="1"/>
  <c r="M118" i="1"/>
  <c r="M82" i="1"/>
  <c r="M83" i="1"/>
  <c r="M84" i="1"/>
  <c r="M85" i="1"/>
  <c r="M86" i="1"/>
  <c r="M87" i="1"/>
  <c r="M88" i="1"/>
  <c r="M89" i="1"/>
  <c r="M90" i="1"/>
  <c r="M91" i="1"/>
  <c r="M92" i="1"/>
  <c r="M93" i="1"/>
  <c r="M94" i="1"/>
  <c r="M95" i="1"/>
  <c r="M96" i="1"/>
  <c r="M97" i="1"/>
  <c r="M98" i="1"/>
  <c r="M99" i="1"/>
  <c r="M100" i="1"/>
  <c r="M101" i="1"/>
  <c r="M102" i="1"/>
  <c r="M103" i="1"/>
  <c r="M104" i="1"/>
  <c r="M105" i="1"/>
  <c r="M107" i="1"/>
  <c r="M108" i="1"/>
  <c r="M109" i="1"/>
  <c r="M110" i="1"/>
  <c r="M111" i="1"/>
  <c r="M112" i="1"/>
  <c r="M113" i="1"/>
  <c r="M114" i="1"/>
  <c r="M115" i="1"/>
  <c r="M79" i="1"/>
  <c r="M8" i="1"/>
  <c r="M9" i="1"/>
  <c r="M10" i="1"/>
  <c r="M12" i="1"/>
  <c r="M13" i="1"/>
  <c r="M14" i="1"/>
  <c r="M16" i="1"/>
  <c r="M17" i="1"/>
  <c r="M18" i="1"/>
  <c r="M19" i="1"/>
  <c r="M20" i="1"/>
  <c r="M21" i="1"/>
  <c r="M23" i="1"/>
  <c r="M24" i="1"/>
  <c r="M25" i="1"/>
  <c r="M26" i="1"/>
  <c r="M27" i="1"/>
  <c r="M29" i="1"/>
  <c r="M30" i="1"/>
  <c r="M31" i="1"/>
  <c r="M32" i="1"/>
  <c r="M34" i="1"/>
  <c r="M35" i="1"/>
  <c r="M39" i="1"/>
  <c r="M40" i="1"/>
  <c r="M41" i="1"/>
  <c r="M44" i="1"/>
  <c r="M46" i="1"/>
  <c r="M48" i="1"/>
  <c r="M49" i="1"/>
  <c r="M50" i="1"/>
  <c r="M51" i="1"/>
  <c r="M52" i="1"/>
  <c r="M53" i="1"/>
  <c r="M54" i="1"/>
  <c r="M56" i="1"/>
  <c r="M57" i="1"/>
  <c r="M59" i="1"/>
  <c r="M60" i="1"/>
  <c r="M61" i="1"/>
  <c r="M62" i="1"/>
  <c r="M63" i="1"/>
  <c r="M64" i="1"/>
  <c r="M65" i="1"/>
  <c r="M66" i="1"/>
  <c r="M67" i="1"/>
  <c r="M69" i="1"/>
  <c r="M70" i="1"/>
  <c r="M71" i="1"/>
  <c r="M72" i="1"/>
  <c r="M73" i="1"/>
  <c r="M75" i="1"/>
  <c r="M76" i="1"/>
  <c r="M77" i="1"/>
  <c r="P112" i="7" l="1"/>
  <c r="L145" i="15" l="1"/>
  <c r="K145" i="15"/>
  <c r="J145" i="15"/>
  <c r="I145" i="15"/>
  <c r="F223" i="15" l="1"/>
  <c r="G223" i="15"/>
  <c r="H223" i="15"/>
  <c r="I223" i="15"/>
  <c r="J223" i="15"/>
  <c r="K223" i="15"/>
  <c r="L223" i="15"/>
  <c r="M223" i="15"/>
  <c r="E223" i="15"/>
  <c r="J222" i="15" l="1"/>
  <c r="I222" i="15"/>
  <c r="P221" i="15"/>
  <c r="O221" i="15"/>
  <c r="N221" i="15"/>
  <c r="M221" i="15"/>
  <c r="P220" i="15"/>
  <c r="O220" i="15"/>
  <c r="N220" i="15"/>
  <c r="M220" i="15"/>
  <c r="O205" i="15"/>
  <c r="S205" i="15" s="1"/>
  <c r="O200" i="15"/>
  <c r="S200" i="15" s="1"/>
  <c r="P166" i="15"/>
  <c r="O166" i="15"/>
  <c r="S166" i="15" s="1"/>
  <c r="P152" i="15"/>
  <c r="O152" i="15"/>
  <c r="S152" i="15" l="1"/>
  <c r="I43" i="14"/>
  <c r="K43" i="14"/>
  <c r="N40" i="14"/>
  <c r="N41" i="14"/>
  <c r="K37" i="14"/>
  <c r="I37" i="14"/>
  <c r="I80" i="1"/>
  <c r="K80" i="1"/>
  <c r="I29" i="13"/>
  <c r="K29" i="13"/>
  <c r="M80" i="1" l="1"/>
  <c r="K52" i="15"/>
  <c r="K124" i="1"/>
  <c r="K7" i="9"/>
  <c r="K42" i="1" l="1"/>
  <c r="I42" i="1"/>
  <c r="I38" i="1"/>
  <c r="I37" i="1"/>
  <c r="I36" i="1"/>
  <c r="K38" i="1"/>
  <c r="M38" i="1" s="1"/>
  <c r="K37" i="1"/>
  <c r="M37" i="1" s="1"/>
  <c r="K36" i="1"/>
  <c r="M36" i="1" s="1"/>
  <c r="M42" i="1" l="1"/>
  <c r="L39" i="7"/>
  <c r="J39" i="7"/>
  <c r="K13" i="10" l="1"/>
  <c r="N13" i="10" s="1"/>
  <c r="N74" i="14" l="1"/>
  <c r="M74" i="14"/>
  <c r="M77" i="14"/>
  <c r="P22" i="7" l="1"/>
  <c r="O22" i="7"/>
  <c r="J23" i="7" l="1"/>
  <c r="I23" i="7"/>
  <c r="G43" i="14" l="1"/>
  <c r="I106" i="1" l="1"/>
  <c r="M106" i="1" s="1"/>
  <c r="M24" i="9" l="1"/>
  <c r="N24" i="9"/>
  <c r="H222" i="15" l="1"/>
  <c r="G222" i="15"/>
  <c r="F222" i="15"/>
  <c r="E222" i="15"/>
  <c r="P219" i="15"/>
  <c r="O219" i="15"/>
  <c r="S219" i="15" s="1"/>
  <c r="N219" i="15"/>
  <c r="M219" i="15"/>
  <c r="P218" i="15"/>
  <c r="O218" i="15"/>
  <c r="S218" i="15" s="1"/>
  <c r="N218" i="15"/>
  <c r="M218" i="15"/>
  <c r="P217" i="15"/>
  <c r="O217" i="15"/>
  <c r="S217" i="15" s="1"/>
  <c r="N217" i="15"/>
  <c r="M217" i="15"/>
  <c r="P216" i="15"/>
  <c r="O216" i="15"/>
  <c r="S216" i="15" s="1"/>
  <c r="N216" i="15"/>
  <c r="M216" i="15"/>
  <c r="L215" i="15"/>
  <c r="L222" i="15" s="1"/>
  <c r="K215" i="15"/>
  <c r="P214" i="15"/>
  <c r="O214" i="15"/>
  <c r="S214" i="15" s="1"/>
  <c r="N214" i="15"/>
  <c r="M214" i="15"/>
  <c r="P213" i="15"/>
  <c r="O213" i="15"/>
  <c r="S213" i="15" s="1"/>
  <c r="N213" i="15"/>
  <c r="M213" i="15"/>
  <c r="P212" i="15"/>
  <c r="O212" i="15"/>
  <c r="S212" i="15" s="1"/>
  <c r="P211" i="15"/>
  <c r="O211" i="15"/>
  <c r="S211" i="15" s="1"/>
  <c r="N211" i="15"/>
  <c r="M211" i="15"/>
  <c r="P210" i="15"/>
  <c r="O210" i="15"/>
  <c r="S210" i="15" s="1"/>
  <c r="N210" i="15"/>
  <c r="M210" i="15"/>
  <c r="P209" i="15"/>
  <c r="O209" i="15"/>
  <c r="S209" i="15" s="1"/>
  <c r="N209" i="15"/>
  <c r="M209" i="15"/>
  <c r="P208" i="15"/>
  <c r="O208" i="15"/>
  <c r="S208" i="15" s="1"/>
  <c r="N208" i="15"/>
  <c r="M208" i="15"/>
  <c r="P207" i="15"/>
  <c r="O207" i="15"/>
  <c r="S207" i="15" s="1"/>
  <c r="N207" i="15"/>
  <c r="M207" i="15"/>
  <c r="P206" i="15"/>
  <c r="O206" i="15"/>
  <c r="S206" i="15" s="1"/>
  <c r="N206" i="15"/>
  <c r="M206" i="15"/>
  <c r="P204" i="15"/>
  <c r="O204" i="15"/>
  <c r="S204" i="15" s="1"/>
  <c r="N204" i="15"/>
  <c r="M204" i="15"/>
  <c r="P203" i="15"/>
  <c r="O203" i="15"/>
  <c r="S203" i="15" s="1"/>
  <c r="N203" i="15"/>
  <c r="M203" i="15"/>
  <c r="P202" i="15"/>
  <c r="O202" i="15"/>
  <c r="S202" i="15" s="1"/>
  <c r="N202" i="15"/>
  <c r="M202" i="15"/>
  <c r="P201" i="15"/>
  <c r="O201" i="15"/>
  <c r="S201" i="15" s="1"/>
  <c r="N201" i="15"/>
  <c r="M201" i="15"/>
  <c r="P199" i="15"/>
  <c r="O199" i="15"/>
  <c r="S199" i="15" s="1"/>
  <c r="N199" i="15"/>
  <c r="M199" i="15"/>
  <c r="P198" i="15"/>
  <c r="O198" i="15"/>
  <c r="S198" i="15" s="1"/>
  <c r="N198" i="15"/>
  <c r="M198" i="15"/>
  <c r="P197" i="15"/>
  <c r="O197" i="15"/>
  <c r="S197" i="15" s="1"/>
  <c r="N197" i="15"/>
  <c r="M197" i="15"/>
  <c r="P196" i="15"/>
  <c r="O196" i="15"/>
  <c r="S196" i="15" s="1"/>
  <c r="N196" i="15"/>
  <c r="M196" i="15"/>
  <c r="P195" i="15"/>
  <c r="O195" i="15"/>
  <c r="S195" i="15" s="1"/>
  <c r="N195" i="15"/>
  <c r="M195" i="15"/>
  <c r="P194" i="15"/>
  <c r="O194" i="15"/>
  <c r="S194" i="15" s="1"/>
  <c r="N194" i="15"/>
  <c r="M194" i="15"/>
  <c r="P193" i="15"/>
  <c r="O193" i="15"/>
  <c r="S193" i="15" s="1"/>
  <c r="N193" i="15"/>
  <c r="M193" i="15"/>
  <c r="P192" i="15"/>
  <c r="O192" i="15"/>
  <c r="S192" i="15" s="1"/>
  <c r="N192" i="15"/>
  <c r="M192" i="15"/>
  <c r="P191" i="15"/>
  <c r="O191" i="15"/>
  <c r="S191" i="15" s="1"/>
  <c r="N191" i="15"/>
  <c r="M191" i="15"/>
  <c r="P190" i="15"/>
  <c r="O190" i="15"/>
  <c r="S190" i="15" s="1"/>
  <c r="N190" i="15"/>
  <c r="M190" i="15"/>
  <c r="P189" i="15"/>
  <c r="O189" i="15"/>
  <c r="S189" i="15" s="1"/>
  <c r="N189" i="15"/>
  <c r="M189" i="15"/>
  <c r="S188" i="15"/>
  <c r="P188" i="15"/>
  <c r="N188" i="15"/>
  <c r="P187" i="15"/>
  <c r="O187" i="15"/>
  <c r="S187" i="15" s="1"/>
  <c r="N187" i="15"/>
  <c r="M187" i="15"/>
  <c r="S186" i="15"/>
  <c r="P186" i="15"/>
  <c r="P185" i="15"/>
  <c r="O185" i="15"/>
  <c r="S185" i="15" s="1"/>
  <c r="N185" i="15"/>
  <c r="M185" i="15"/>
  <c r="P184" i="15"/>
  <c r="O184" i="15"/>
  <c r="S184" i="15" s="1"/>
  <c r="N184" i="15"/>
  <c r="M184" i="15"/>
  <c r="P183" i="15"/>
  <c r="O183" i="15"/>
  <c r="S183" i="15" s="1"/>
  <c r="N183" i="15"/>
  <c r="M183" i="15"/>
  <c r="P182" i="15"/>
  <c r="O182" i="15"/>
  <c r="S182" i="15" s="1"/>
  <c r="N182" i="15"/>
  <c r="M182" i="15"/>
  <c r="S181" i="15"/>
  <c r="P181" i="15"/>
  <c r="P180" i="15"/>
  <c r="O180" i="15"/>
  <c r="S180" i="15" s="1"/>
  <c r="N180" i="15"/>
  <c r="M180" i="15"/>
  <c r="P179" i="15"/>
  <c r="O179" i="15"/>
  <c r="S179" i="15" s="1"/>
  <c r="N179" i="15"/>
  <c r="M179" i="15"/>
  <c r="P178" i="15"/>
  <c r="O178" i="15"/>
  <c r="S178" i="15" s="1"/>
  <c r="N178" i="15"/>
  <c r="M178" i="15"/>
  <c r="P177" i="15"/>
  <c r="O177" i="15"/>
  <c r="S177" i="15" s="1"/>
  <c r="N177" i="15"/>
  <c r="M177" i="15"/>
  <c r="P176" i="15"/>
  <c r="O176" i="15"/>
  <c r="S176" i="15" s="1"/>
  <c r="N176" i="15"/>
  <c r="M176" i="15"/>
  <c r="P175" i="15"/>
  <c r="O175" i="15"/>
  <c r="S175" i="15" s="1"/>
  <c r="N175" i="15"/>
  <c r="M175" i="15"/>
  <c r="S174" i="15"/>
  <c r="P174" i="15"/>
  <c r="N174" i="15"/>
  <c r="P173" i="15"/>
  <c r="O173" i="15"/>
  <c r="S173" i="15" s="1"/>
  <c r="N173" i="15"/>
  <c r="M173" i="15"/>
  <c r="P172" i="15"/>
  <c r="O172" i="15"/>
  <c r="S172" i="15" s="1"/>
  <c r="N172" i="15"/>
  <c r="M172" i="15"/>
  <c r="P171" i="15"/>
  <c r="O171" i="15"/>
  <c r="S171" i="15" s="1"/>
  <c r="N171" i="15"/>
  <c r="M171" i="15"/>
  <c r="P170" i="15"/>
  <c r="O170" i="15"/>
  <c r="S170" i="15" s="1"/>
  <c r="P169" i="15"/>
  <c r="O169" i="15"/>
  <c r="S169" i="15" s="1"/>
  <c r="N169" i="15"/>
  <c r="M169" i="15"/>
  <c r="P168" i="15"/>
  <c r="O168" i="15"/>
  <c r="S168" i="15" s="1"/>
  <c r="N168" i="15"/>
  <c r="M168" i="15"/>
  <c r="P167" i="15"/>
  <c r="O167" i="15"/>
  <c r="S167" i="15" s="1"/>
  <c r="N167" i="15"/>
  <c r="P165" i="15"/>
  <c r="O165" i="15"/>
  <c r="S165" i="15" s="1"/>
  <c r="N165" i="15"/>
  <c r="P164" i="15"/>
  <c r="O164" i="15"/>
  <c r="S164" i="15" s="1"/>
  <c r="N164" i="15"/>
  <c r="M164" i="15"/>
  <c r="P163" i="15"/>
  <c r="O163" i="15"/>
  <c r="S163" i="15" s="1"/>
  <c r="N163" i="15"/>
  <c r="M163" i="15"/>
  <c r="P162" i="15"/>
  <c r="O162" i="15"/>
  <c r="S162" i="15" s="1"/>
  <c r="N162" i="15"/>
  <c r="M162" i="15"/>
  <c r="P161" i="15"/>
  <c r="O161" i="15"/>
  <c r="S161" i="15" s="1"/>
  <c r="N161" i="15"/>
  <c r="M161" i="15"/>
  <c r="P160" i="15"/>
  <c r="O160" i="15"/>
  <c r="S160" i="15" s="1"/>
  <c r="P159" i="15"/>
  <c r="O159" i="15"/>
  <c r="S159" i="15" s="1"/>
  <c r="N159" i="15"/>
  <c r="M159" i="15"/>
  <c r="S158" i="15"/>
  <c r="P158" i="15"/>
  <c r="P157" i="15"/>
  <c r="O157" i="15"/>
  <c r="S157" i="15" s="1"/>
  <c r="N157" i="15"/>
  <c r="M157" i="15"/>
  <c r="S156" i="15"/>
  <c r="P156" i="15"/>
  <c r="P155" i="15"/>
  <c r="O155" i="15"/>
  <c r="S155" i="15" s="1"/>
  <c r="N155" i="15"/>
  <c r="M155" i="15"/>
  <c r="P154" i="15"/>
  <c r="O154" i="15"/>
  <c r="P153" i="15"/>
  <c r="O153" i="15"/>
  <c r="S153" i="15" s="1"/>
  <c r="N153" i="15"/>
  <c r="M153" i="15"/>
  <c r="P151" i="15"/>
  <c r="O151" i="15"/>
  <c r="S151" i="15" s="1"/>
  <c r="N151" i="15"/>
  <c r="M151" i="15"/>
  <c r="S150" i="15"/>
  <c r="P150" i="15"/>
  <c r="P149" i="15"/>
  <c r="O149" i="15"/>
  <c r="S149" i="15" s="1"/>
  <c r="P148" i="15"/>
  <c r="O148" i="15"/>
  <c r="S148" i="15" s="1"/>
  <c r="P146" i="15"/>
  <c r="O146" i="15"/>
  <c r="H145" i="15"/>
  <c r="G145" i="15"/>
  <c r="F145" i="15"/>
  <c r="E145" i="15"/>
  <c r="J144" i="15"/>
  <c r="I144" i="15"/>
  <c r="H144" i="15"/>
  <c r="G144" i="15"/>
  <c r="F144" i="15"/>
  <c r="E144" i="15"/>
  <c r="P143" i="15"/>
  <c r="O143" i="15"/>
  <c r="S143" i="15" s="1"/>
  <c r="N143" i="15"/>
  <c r="M143" i="15"/>
  <c r="P142" i="15"/>
  <c r="O142" i="15"/>
  <c r="S142" i="15" s="1"/>
  <c r="N142" i="15"/>
  <c r="M142" i="15"/>
  <c r="L141" i="15"/>
  <c r="L144" i="15" s="1"/>
  <c r="K141" i="15"/>
  <c r="K144" i="15" s="1"/>
  <c r="P140" i="15"/>
  <c r="O140" i="15"/>
  <c r="S140" i="15" s="1"/>
  <c r="P139" i="15"/>
  <c r="O139" i="15"/>
  <c r="S139" i="15" s="1"/>
  <c r="N139" i="15"/>
  <c r="M139" i="15"/>
  <c r="S138" i="15"/>
  <c r="P138" i="15"/>
  <c r="P137" i="15"/>
  <c r="O137" i="15"/>
  <c r="S137" i="15" s="1"/>
  <c r="N137" i="15"/>
  <c r="M137" i="15"/>
  <c r="P136" i="15"/>
  <c r="O136" i="15"/>
  <c r="S136" i="15" s="1"/>
  <c r="N136" i="15"/>
  <c r="M136" i="15"/>
  <c r="P135" i="15"/>
  <c r="O135" i="15"/>
  <c r="S135" i="15" s="1"/>
  <c r="P134" i="15"/>
  <c r="O134" i="15"/>
  <c r="P133" i="15"/>
  <c r="O133" i="15"/>
  <c r="P132" i="15"/>
  <c r="O132" i="15"/>
  <c r="P131" i="15"/>
  <c r="O131" i="15"/>
  <c r="P130" i="15"/>
  <c r="O130" i="15"/>
  <c r="P129" i="15"/>
  <c r="O129" i="15"/>
  <c r="P128" i="15"/>
  <c r="O128" i="15"/>
  <c r="P127" i="15"/>
  <c r="O127" i="15"/>
  <c r="P126" i="15"/>
  <c r="O126" i="15"/>
  <c r="P125" i="15"/>
  <c r="O125" i="15"/>
  <c r="P124" i="15"/>
  <c r="O124" i="15"/>
  <c r="P123" i="15"/>
  <c r="O123" i="15"/>
  <c r="P122" i="15"/>
  <c r="O122" i="15"/>
  <c r="P121" i="15"/>
  <c r="O121" i="15"/>
  <c r="P120" i="15"/>
  <c r="O120" i="15"/>
  <c r="P119" i="15"/>
  <c r="O119" i="15"/>
  <c r="P118" i="15"/>
  <c r="O118" i="15"/>
  <c r="P117" i="15"/>
  <c r="O117" i="15"/>
  <c r="P116" i="15"/>
  <c r="O116" i="15"/>
  <c r="P115" i="15"/>
  <c r="O115" i="15"/>
  <c r="S115" i="15" s="1"/>
  <c r="N115" i="15"/>
  <c r="M115" i="15"/>
  <c r="P114" i="15"/>
  <c r="O114" i="15"/>
  <c r="S114" i="15" s="1"/>
  <c r="P113" i="15"/>
  <c r="O113" i="15"/>
  <c r="S113" i="15" s="1"/>
  <c r="N113" i="15"/>
  <c r="M113" i="15"/>
  <c r="P112" i="15"/>
  <c r="O112" i="15"/>
  <c r="S112" i="15" s="1"/>
  <c r="P111" i="15"/>
  <c r="O111" i="15"/>
  <c r="S111" i="15" s="1"/>
  <c r="N111" i="15"/>
  <c r="M111" i="15"/>
  <c r="P110" i="15"/>
  <c r="O110" i="15"/>
  <c r="S110" i="15" s="1"/>
  <c r="P109" i="15"/>
  <c r="O109" i="15"/>
  <c r="S109" i="15" s="1"/>
  <c r="N109" i="15"/>
  <c r="M109" i="15"/>
  <c r="P108" i="15"/>
  <c r="O108" i="15"/>
  <c r="S108" i="15" s="1"/>
  <c r="O107" i="15"/>
  <c r="P106" i="15"/>
  <c r="O106" i="15"/>
  <c r="P105" i="15"/>
  <c r="O105" i="15"/>
  <c r="S105" i="15" s="1"/>
  <c r="N105" i="15"/>
  <c r="M105" i="15"/>
  <c r="S104" i="15"/>
  <c r="P104" i="15"/>
  <c r="P103" i="15"/>
  <c r="O103" i="15"/>
  <c r="S103" i="15" s="1"/>
  <c r="N103" i="15"/>
  <c r="M103" i="15"/>
  <c r="S102" i="15"/>
  <c r="P102" i="15"/>
  <c r="P101" i="15"/>
  <c r="O101" i="15"/>
  <c r="S101" i="15" s="1"/>
  <c r="N101" i="15"/>
  <c r="M101" i="15"/>
  <c r="P100" i="15"/>
  <c r="O100" i="15"/>
  <c r="S100" i="15" s="1"/>
  <c r="P99" i="15"/>
  <c r="O99" i="15"/>
  <c r="P98" i="15"/>
  <c r="O98" i="15"/>
  <c r="P97" i="15"/>
  <c r="O97" i="15"/>
  <c r="S97" i="15" s="1"/>
  <c r="N97" i="15"/>
  <c r="M97" i="15"/>
  <c r="S96" i="15"/>
  <c r="P96" i="15"/>
  <c r="S95" i="15"/>
  <c r="P95" i="15"/>
  <c r="N95" i="15"/>
  <c r="M95" i="15"/>
  <c r="P94" i="15"/>
  <c r="O94" i="15"/>
  <c r="S94" i="15" s="1"/>
  <c r="P93" i="15"/>
  <c r="O93" i="15"/>
  <c r="P92" i="15"/>
  <c r="O92" i="15"/>
  <c r="P91" i="15"/>
  <c r="O91" i="15"/>
  <c r="P90" i="15"/>
  <c r="O90" i="15"/>
  <c r="P89" i="15"/>
  <c r="O89" i="15"/>
  <c r="P88" i="15"/>
  <c r="O88" i="15"/>
  <c r="P87" i="15"/>
  <c r="O87" i="15"/>
  <c r="P86" i="15"/>
  <c r="O86" i="15"/>
  <c r="P85" i="15"/>
  <c r="O85" i="15"/>
  <c r="P84" i="15"/>
  <c r="O84" i="15"/>
  <c r="P83" i="15"/>
  <c r="O83" i="15"/>
  <c r="P82" i="15"/>
  <c r="O82" i="15"/>
  <c r="S82" i="15" s="1"/>
  <c r="N82" i="15"/>
  <c r="M82" i="15"/>
  <c r="P81" i="15"/>
  <c r="O81" i="15"/>
  <c r="S81" i="15" s="1"/>
  <c r="P80" i="15"/>
  <c r="O80" i="15"/>
  <c r="P79" i="15"/>
  <c r="O79" i="15"/>
  <c r="P78" i="15"/>
  <c r="O78" i="15"/>
  <c r="P77" i="15"/>
  <c r="O77" i="15"/>
  <c r="P76" i="15"/>
  <c r="O76" i="15"/>
  <c r="P75" i="15"/>
  <c r="O75" i="15"/>
  <c r="S75" i="15" s="1"/>
  <c r="N75" i="15"/>
  <c r="M75" i="15"/>
  <c r="P74" i="15"/>
  <c r="O74" i="15"/>
  <c r="S74" i="15" s="1"/>
  <c r="P72" i="15"/>
  <c r="O72" i="15"/>
  <c r="P71" i="15"/>
  <c r="O71" i="15"/>
  <c r="S71" i="15" s="1"/>
  <c r="N71" i="15"/>
  <c r="M71" i="15"/>
  <c r="P70" i="15"/>
  <c r="O70" i="15"/>
  <c r="S70" i="15" s="1"/>
  <c r="P69" i="15"/>
  <c r="O69" i="15"/>
  <c r="P68" i="15"/>
  <c r="O68" i="15"/>
  <c r="P67" i="15"/>
  <c r="O67" i="15"/>
  <c r="N67" i="15"/>
  <c r="M67" i="15"/>
  <c r="P66" i="15"/>
  <c r="O66" i="15"/>
  <c r="P65" i="15"/>
  <c r="O65" i="15"/>
  <c r="P64" i="15"/>
  <c r="O64" i="15"/>
  <c r="P63" i="15"/>
  <c r="O63" i="15"/>
  <c r="P62" i="15"/>
  <c r="O62" i="15"/>
  <c r="P61" i="15"/>
  <c r="O61" i="15"/>
  <c r="P60" i="15"/>
  <c r="O60" i="15"/>
  <c r="P59" i="15"/>
  <c r="O59" i="15"/>
  <c r="P58" i="15"/>
  <c r="O58" i="15"/>
  <c r="P57" i="15"/>
  <c r="O57" i="15"/>
  <c r="P56" i="15"/>
  <c r="O56" i="15"/>
  <c r="P55" i="15"/>
  <c r="P54" i="15"/>
  <c r="O54" i="15"/>
  <c r="P53" i="15"/>
  <c r="O53" i="15"/>
  <c r="N53" i="15"/>
  <c r="M53" i="15"/>
  <c r="L52" i="15"/>
  <c r="J52" i="15"/>
  <c r="I52" i="15"/>
  <c r="F52" i="15"/>
  <c r="E52" i="15"/>
  <c r="J51" i="15"/>
  <c r="H51" i="15"/>
  <c r="G51" i="15"/>
  <c r="F51" i="15"/>
  <c r="E51" i="15"/>
  <c r="P50" i="15"/>
  <c r="O50" i="15"/>
  <c r="S50" i="15" s="1"/>
  <c r="N50" i="15"/>
  <c r="N52" i="15" s="1"/>
  <c r="M50" i="15"/>
  <c r="M52" i="15" s="1"/>
  <c r="P49" i="15"/>
  <c r="O49" i="15"/>
  <c r="S49" i="15" s="1"/>
  <c r="N49" i="15"/>
  <c r="M49" i="15"/>
  <c r="P48" i="15"/>
  <c r="O48" i="15"/>
  <c r="S48" i="15" s="1"/>
  <c r="N48" i="15"/>
  <c r="M48" i="15"/>
  <c r="P47" i="15"/>
  <c r="O47" i="15"/>
  <c r="S47" i="15" s="1"/>
  <c r="N47" i="15"/>
  <c r="M47" i="15"/>
  <c r="P46" i="15"/>
  <c r="O46" i="15"/>
  <c r="S46" i="15" s="1"/>
  <c r="N46" i="15"/>
  <c r="M46" i="15"/>
  <c r="P45" i="15"/>
  <c r="O45" i="15"/>
  <c r="S45" i="15" s="1"/>
  <c r="N45" i="15"/>
  <c r="M45" i="15"/>
  <c r="P44" i="15"/>
  <c r="O44" i="15"/>
  <c r="S44" i="15" s="1"/>
  <c r="N44" i="15"/>
  <c r="M44" i="15"/>
  <c r="P43" i="15"/>
  <c r="O43" i="15"/>
  <c r="S43" i="15" s="1"/>
  <c r="N43" i="15"/>
  <c r="M43" i="15"/>
  <c r="P42" i="15"/>
  <c r="O42" i="15"/>
  <c r="S42" i="15" s="1"/>
  <c r="N42" i="15"/>
  <c r="M42" i="15"/>
  <c r="P41" i="15"/>
  <c r="O41" i="15"/>
  <c r="S41" i="15" s="1"/>
  <c r="N41" i="15"/>
  <c r="M41" i="15"/>
  <c r="P40" i="15"/>
  <c r="O40" i="15"/>
  <c r="S40" i="15" s="1"/>
  <c r="N40" i="15"/>
  <c r="M40" i="15"/>
  <c r="P39" i="15"/>
  <c r="O39" i="15"/>
  <c r="S39" i="15" s="1"/>
  <c r="N39" i="15"/>
  <c r="M39" i="15"/>
  <c r="P38" i="15"/>
  <c r="O38" i="15"/>
  <c r="S38" i="15" s="1"/>
  <c r="N38" i="15"/>
  <c r="M38" i="15"/>
  <c r="P37" i="15"/>
  <c r="O37" i="15"/>
  <c r="S37" i="15" s="1"/>
  <c r="N37" i="15"/>
  <c r="M37" i="15"/>
  <c r="P36" i="15"/>
  <c r="O36" i="15"/>
  <c r="S36" i="15" s="1"/>
  <c r="N36" i="15"/>
  <c r="M36" i="15"/>
  <c r="P35" i="15"/>
  <c r="O35" i="15"/>
  <c r="S35" i="15" s="1"/>
  <c r="N35" i="15"/>
  <c r="M35" i="15"/>
  <c r="P34" i="15"/>
  <c r="O34" i="15"/>
  <c r="S34" i="15" s="1"/>
  <c r="N34" i="15"/>
  <c r="M34" i="15"/>
  <c r="P33" i="15"/>
  <c r="O33" i="15"/>
  <c r="S33" i="15" s="1"/>
  <c r="N33" i="15"/>
  <c r="M33" i="15"/>
  <c r="P32" i="15"/>
  <c r="O32" i="15"/>
  <c r="S32" i="15" s="1"/>
  <c r="N32" i="15"/>
  <c r="M32" i="15"/>
  <c r="L31" i="15"/>
  <c r="L51" i="15" s="1"/>
  <c r="K31" i="15"/>
  <c r="P31" i="15" s="1"/>
  <c r="I31" i="15"/>
  <c r="I51" i="15" s="1"/>
  <c r="P30" i="15"/>
  <c r="O30" i="15"/>
  <c r="S30" i="15" s="1"/>
  <c r="N30" i="15"/>
  <c r="M30" i="15"/>
  <c r="P29" i="15"/>
  <c r="O29" i="15"/>
  <c r="S29" i="15" s="1"/>
  <c r="N29" i="15"/>
  <c r="M29" i="15"/>
  <c r="L28" i="15"/>
  <c r="K28" i="15"/>
  <c r="J28" i="15"/>
  <c r="I28" i="15"/>
  <c r="H28" i="15"/>
  <c r="G28" i="15"/>
  <c r="F28" i="15"/>
  <c r="E28" i="15"/>
  <c r="P27" i="15"/>
  <c r="O27" i="15"/>
  <c r="S27" i="15" s="1"/>
  <c r="N27" i="15"/>
  <c r="M27" i="15"/>
  <c r="S26" i="15"/>
  <c r="P26" i="15"/>
  <c r="P25" i="15"/>
  <c r="O25" i="15"/>
  <c r="S25" i="15" s="1"/>
  <c r="N25" i="15"/>
  <c r="M25" i="15"/>
  <c r="J24" i="15"/>
  <c r="I24" i="15"/>
  <c r="H24" i="15"/>
  <c r="G24" i="15"/>
  <c r="N24" i="15" s="1"/>
  <c r="F24" i="15"/>
  <c r="E24" i="15"/>
  <c r="P24" i="15" s="1"/>
  <c r="L23" i="15"/>
  <c r="K23" i="15"/>
  <c r="J23" i="15"/>
  <c r="I23" i="15"/>
  <c r="H23" i="15"/>
  <c r="G23" i="15"/>
  <c r="F23" i="15"/>
  <c r="E23" i="15"/>
  <c r="P22" i="15"/>
  <c r="O22" i="15"/>
  <c r="S22" i="15" s="1"/>
  <c r="N22" i="15"/>
  <c r="M22" i="15"/>
  <c r="P21" i="15"/>
  <c r="O21" i="15"/>
  <c r="S21" i="15" s="1"/>
  <c r="N21" i="15"/>
  <c r="M21" i="15"/>
  <c r="L20" i="15"/>
  <c r="K20" i="15"/>
  <c r="J20" i="15"/>
  <c r="I20" i="15"/>
  <c r="H20" i="15"/>
  <c r="G20" i="15"/>
  <c r="F20" i="15"/>
  <c r="E20" i="15"/>
  <c r="P19" i="15"/>
  <c r="O19" i="15"/>
  <c r="P18" i="15"/>
  <c r="O18" i="15"/>
  <c r="S18" i="15" s="1"/>
  <c r="N18" i="15"/>
  <c r="N20" i="15" s="1"/>
  <c r="M18" i="15"/>
  <c r="M20" i="15" s="1"/>
  <c r="P17" i="15"/>
  <c r="O17" i="15"/>
  <c r="S17" i="15" s="1"/>
  <c r="N17" i="15"/>
  <c r="M17" i="15"/>
  <c r="L16" i="15"/>
  <c r="K16" i="15"/>
  <c r="J16" i="15"/>
  <c r="I16" i="15"/>
  <c r="H16" i="15"/>
  <c r="G16" i="15"/>
  <c r="F16" i="15"/>
  <c r="E16" i="15"/>
  <c r="P15" i="15"/>
  <c r="O15" i="15"/>
  <c r="S15" i="15" s="1"/>
  <c r="N15" i="15"/>
  <c r="M15" i="15"/>
  <c r="P14" i="15"/>
  <c r="O14" i="15"/>
  <c r="S14" i="15" s="1"/>
  <c r="N14" i="15"/>
  <c r="M14" i="15"/>
  <c r="P13" i="15"/>
  <c r="O13" i="15"/>
  <c r="S13" i="15" s="1"/>
  <c r="N13" i="15"/>
  <c r="M13" i="15"/>
  <c r="N12" i="15"/>
  <c r="M12" i="15"/>
  <c r="L12" i="15"/>
  <c r="K12" i="15"/>
  <c r="J12" i="15"/>
  <c r="I12" i="15"/>
  <c r="H12" i="15"/>
  <c r="G12" i="15"/>
  <c r="F12" i="15"/>
  <c r="E12" i="15"/>
  <c r="J11" i="15"/>
  <c r="I11" i="15"/>
  <c r="H11" i="15"/>
  <c r="G11" i="15"/>
  <c r="F11" i="15"/>
  <c r="E11" i="15"/>
  <c r="P10" i="15"/>
  <c r="O10" i="15"/>
  <c r="S10" i="15" s="1"/>
  <c r="L9" i="15"/>
  <c r="L11" i="15" s="1"/>
  <c r="K9" i="15"/>
  <c r="N9" i="15" s="1"/>
  <c r="P8" i="15"/>
  <c r="O8" i="15"/>
  <c r="S8" i="15" s="1"/>
  <c r="P7" i="15"/>
  <c r="O7" i="15"/>
  <c r="S7" i="15" s="1"/>
  <c r="N7" i="15"/>
  <c r="M7" i="15"/>
  <c r="O223" i="15" l="1"/>
  <c r="G224" i="15"/>
  <c r="E224" i="15"/>
  <c r="P20" i="15"/>
  <c r="P223" i="15"/>
  <c r="O23" i="15"/>
  <c r="N223" i="15"/>
  <c r="M16" i="15"/>
  <c r="P23" i="15"/>
  <c r="M24" i="15"/>
  <c r="O215" i="15"/>
  <c r="S215" i="15" s="1"/>
  <c r="K222" i="15"/>
  <c r="S146" i="15"/>
  <c r="S154" i="15"/>
  <c r="O16" i="15"/>
  <c r="S16" i="15" s="1"/>
  <c r="F224" i="15"/>
  <c r="P16" i="15"/>
  <c r="O141" i="15"/>
  <c r="S141" i="15" s="1"/>
  <c r="O9" i="15"/>
  <c r="S9" i="15" s="1"/>
  <c r="N16" i="15"/>
  <c r="P9" i="15"/>
  <c r="J224" i="15"/>
  <c r="P215" i="15"/>
  <c r="P222" i="15" s="1"/>
  <c r="H224" i="15"/>
  <c r="N23" i="15"/>
  <c r="H225" i="15"/>
  <c r="I224" i="15"/>
  <c r="I225" i="15"/>
  <c r="J225" i="15"/>
  <c r="O24" i="15"/>
  <c r="S24" i="15" s="1"/>
  <c r="E225" i="15"/>
  <c r="F225" i="15"/>
  <c r="G225" i="15"/>
  <c r="K225" i="15"/>
  <c r="L225" i="15"/>
  <c r="N144" i="15"/>
  <c r="P144" i="15"/>
  <c r="M144" i="15"/>
  <c r="O144" i="15"/>
  <c r="S144" i="15" s="1"/>
  <c r="L224" i="15"/>
  <c r="N11" i="15"/>
  <c r="O20" i="15"/>
  <c r="S23" i="15"/>
  <c r="M28" i="15"/>
  <c r="P141" i="15"/>
  <c r="K11" i="15"/>
  <c r="O28" i="15"/>
  <c r="S28" i="15" s="1"/>
  <c r="M31" i="15"/>
  <c r="M51" i="15" s="1"/>
  <c r="N145" i="15"/>
  <c r="N28" i="15"/>
  <c r="O12" i="15"/>
  <c r="S12" i="15" s="1"/>
  <c r="P28" i="15"/>
  <c r="N31" i="15"/>
  <c r="N51" i="15" s="1"/>
  <c r="O52" i="15"/>
  <c r="O145" i="15"/>
  <c r="M215" i="15"/>
  <c r="M222" i="15" s="1"/>
  <c r="M145" i="15"/>
  <c r="M225" i="15" s="1"/>
  <c r="M9" i="15"/>
  <c r="M11" i="15" s="1"/>
  <c r="P12" i="15"/>
  <c r="M23" i="15"/>
  <c r="O31" i="15"/>
  <c r="S31" i="15" s="1"/>
  <c r="K51" i="15"/>
  <c r="P52" i="15"/>
  <c r="P145" i="15"/>
  <c r="N215" i="15"/>
  <c r="N222" i="15" s="1"/>
  <c r="I124" i="1"/>
  <c r="M124" i="1" s="1"/>
  <c r="J124" i="1"/>
  <c r="O222" i="15" l="1"/>
  <c r="N225" i="15"/>
  <c r="M224" i="15"/>
  <c r="P225" i="15"/>
  <c r="O225" i="15"/>
  <c r="P11" i="15"/>
  <c r="K224" i="15"/>
  <c r="O11" i="15"/>
  <c r="P51" i="15"/>
  <c r="O51" i="15"/>
  <c r="S51" i="15" s="1"/>
  <c r="S145" i="15"/>
  <c r="N224" i="15"/>
  <c r="I130" i="1"/>
  <c r="O224" i="15" l="1"/>
  <c r="P224" i="15"/>
  <c r="S11" i="15"/>
  <c r="G27" i="14"/>
  <c r="G32" i="14" l="1"/>
  <c r="H26" i="14"/>
  <c r="G26" i="14" s="1"/>
  <c r="I26" i="14"/>
  <c r="E27" i="14" l="1"/>
  <c r="Q38" i="14" l="1"/>
  <c r="Q39" i="14"/>
  <c r="Q40" i="14"/>
  <c r="Q41" i="14"/>
  <c r="E32" i="14"/>
  <c r="G37" i="14"/>
  <c r="E37" i="14"/>
  <c r="I32" i="14" l="1"/>
  <c r="K32" i="14"/>
  <c r="L55" i="1" l="1"/>
  <c r="K55" i="1"/>
  <c r="L47" i="1"/>
  <c r="K47" i="1"/>
  <c r="M47" i="1" s="1"/>
  <c r="L58" i="1"/>
  <c r="K58" i="1"/>
  <c r="M58" i="1" s="1"/>
  <c r="K45" i="1" l="1"/>
  <c r="M55" i="1"/>
  <c r="M146" i="14"/>
  <c r="Q146" i="14" s="1"/>
  <c r="N34" i="14" l="1"/>
  <c r="N35" i="14"/>
  <c r="N36" i="14"/>
  <c r="N37" i="14"/>
  <c r="N44" i="14"/>
  <c r="N45" i="14"/>
  <c r="N49" i="14"/>
  <c r="N50" i="14"/>
  <c r="N57" i="14"/>
  <c r="N58" i="14"/>
  <c r="N59" i="14"/>
  <c r="N60" i="14"/>
  <c r="N61" i="14"/>
  <c r="N62" i="14"/>
  <c r="N63" i="14"/>
  <c r="N64" i="14"/>
  <c r="N65" i="14"/>
  <c r="N66" i="14"/>
  <c r="N67" i="14"/>
  <c r="N68" i="14"/>
  <c r="N69" i="14"/>
  <c r="N71" i="14"/>
  <c r="N72" i="14"/>
  <c r="N73" i="14"/>
  <c r="N77" i="14"/>
  <c r="N78" i="14"/>
  <c r="N79" i="14"/>
  <c r="N80" i="14"/>
  <c r="N81" i="14"/>
  <c r="N82" i="14"/>
  <c r="N87"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3" i="14"/>
  <c r="N134" i="14"/>
  <c r="N135" i="14"/>
  <c r="N136" i="14"/>
  <c r="N137" i="14"/>
  <c r="N138" i="14"/>
  <c r="N139" i="14"/>
  <c r="N140" i="14"/>
  <c r="N141" i="14"/>
  <c r="N142" i="14"/>
  <c r="N143" i="14"/>
  <c r="N144" i="14"/>
  <c r="N145" i="14"/>
  <c r="N148" i="14"/>
  <c r="P14" i="7"/>
  <c r="P16" i="7"/>
  <c r="P19" i="7"/>
  <c r="P20" i="7"/>
  <c r="P21" i="7"/>
  <c r="P24" i="7"/>
  <c r="P25" i="7"/>
  <c r="P28" i="7"/>
  <c r="P29" i="7"/>
  <c r="P30" i="7"/>
  <c r="P31" i="7"/>
  <c r="P32" i="7"/>
  <c r="P33" i="7"/>
  <c r="P34" i="7"/>
  <c r="P35" i="7"/>
  <c r="P36" i="7"/>
  <c r="P56" i="7"/>
  <c r="P57" i="7"/>
  <c r="P59" i="7"/>
  <c r="P60" i="7"/>
  <c r="P63" i="7"/>
  <c r="P65" i="7"/>
  <c r="P67" i="7"/>
  <c r="P68" i="7"/>
  <c r="P69" i="7"/>
  <c r="P70" i="7"/>
  <c r="P71" i="7"/>
  <c r="P73" i="7"/>
  <c r="P74" i="7"/>
  <c r="P75" i="7"/>
  <c r="P77" i="7"/>
  <c r="P79" i="7"/>
  <c r="P80" i="7"/>
  <c r="P81" i="7"/>
  <c r="P83" i="7"/>
  <c r="P85" i="7"/>
  <c r="P86" i="7"/>
  <c r="P87" i="7"/>
  <c r="P88" i="7"/>
  <c r="P89" i="7"/>
  <c r="P91" i="7"/>
  <c r="P93" i="7"/>
  <c r="P95" i="7"/>
  <c r="P97" i="7"/>
  <c r="P99" i="7"/>
  <c r="P100" i="7"/>
  <c r="P101" i="7"/>
  <c r="P102" i="7"/>
  <c r="P103" i="7"/>
  <c r="P106" i="7"/>
  <c r="P109" i="7"/>
  <c r="P110" i="7"/>
  <c r="P111" i="7"/>
  <c r="P7" i="7"/>
  <c r="N8" i="1"/>
  <c r="N9" i="1"/>
  <c r="N10" i="1"/>
  <c r="N12" i="1"/>
  <c r="N13" i="1"/>
  <c r="N14" i="1"/>
  <c r="N16" i="1"/>
  <c r="N17" i="1"/>
  <c r="N18" i="1"/>
  <c r="N19" i="1"/>
  <c r="N20" i="1"/>
  <c r="N21" i="1"/>
  <c r="N23" i="1"/>
  <c r="N24" i="1"/>
  <c r="N25" i="1"/>
  <c r="N26" i="1"/>
  <c r="N27" i="1"/>
  <c r="N29" i="1"/>
  <c r="N30" i="1"/>
  <c r="N31" i="1"/>
  <c r="N32" i="1"/>
  <c r="N34" i="1"/>
  <c r="N35" i="1"/>
  <c r="N37" i="1"/>
  <c r="N40" i="1"/>
  <c r="N41" i="1"/>
  <c r="N44" i="1"/>
  <c r="N46" i="1"/>
  <c r="N47" i="1"/>
  <c r="N48" i="1"/>
  <c r="N49" i="1"/>
  <c r="N50" i="1"/>
  <c r="N51" i="1"/>
  <c r="N52" i="1"/>
  <c r="N53" i="1"/>
  <c r="N54" i="1"/>
  <c r="N55" i="1"/>
  <c r="N56" i="1"/>
  <c r="N57" i="1"/>
  <c r="N58" i="1"/>
  <c r="N59" i="1"/>
  <c r="N60" i="1"/>
  <c r="N61" i="1"/>
  <c r="N62" i="1"/>
  <c r="N63" i="1"/>
  <c r="N64" i="1"/>
  <c r="N65" i="1"/>
  <c r="N66" i="1"/>
  <c r="N69" i="1"/>
  <c r="N70" i="1"/>
  <c r="N71" i="1"/>
  <c r="N75" i="1"/>
  <c r="N76" i="1"/>
  <c r="N77" i="1"/>
  <c r="N79" i="1"/>
  <c r="N80" i="1"/>
  <c r="N82" i="1"/>
  <c r="N83" i="1"/>
  <c r="N84" i="1"/>
  <c r="N85" i="1"/>
  <c r="N86" i="1"/>
  <c r="N87" i="1"/>
  <c r="N88" i="1"/>
  <c r="N89" i="1"/>
  <c r="N90" i="1"/>
  <c r="N91" i="1"/>
  <c r="N93" i="1"/>
  <c r="N94" i="1"/>
  <c r="N95" i="1"/>
  <c r="N96" i="1"/>
  <c r="N97" i="1"/>
  <c r="N98" i="1"/>
  <c r="N99" i="1"/>
  <c r="N100" i="1"/>
  <c r="N101" i="1"/>
  <c r="N102" i="1"/>
  <c r="N103" i="1"/>
  <c r="N104" i="1"/>
  <c r="N105" i="1"/>
  <c r="N106" i="1"/>
  <c r="N113" i="1"/>
  <c r="N114" i="1"/>
  <c r="N115" i="1"/>
  <c r="N117" i="1"/>
  <c r="N118" i="1"/>
  <c r="N119" i="1"/>
  <c r="N120" i="1"/>
  <c r="N121" i="1"/>
  <c r="N122" i="1"/>
  <c r="N123" i="1"/>
  <c r="N124" i="1"/>
  <c r="N125" i="1"/>
  <c r="N126" i="1"/>
  <c r="N127" i="1"/>
  <c r="N128" i="1"/>
  <c r="N129" i="1"/>
  <c r="N18" i="13"/>
  <c r="N19" i="13"/>
  <c r="N21" i="13"/>
  <c r="N22" i="13"/>
  <c r="N23" i="13"/>
  <c r="N24" i="13"/>
  <c r="N25" i="13"/>
  <c r="N26" i="13"/>
  <c r="N28" i="13"/>
  <c r="N29" i="13"/>
  <c r="N30" i="13"/>
  <c r="N31" i="13"/>
  <c r="N32" i="13"/>
  <c r="N33" i="13"/>
  <c r="N34" i="13"/>
  <c r="N35" i="13"/>
  <c r="N36" i="13"/>
  <c r="N37" i="13"/>
  <c r="N38" i="13"/>
  <c r="N40" i="13"/>
  <c r="N14" i="13"/>
  <c r="N8" i="11"/>
  <c r="N9" i="11"/>
  <c r="N10" i="11"/>
  <c r="N11" i="11"/>
  <c r="N12" i="11"/>
  <c r="N13" i="11"/>
  <c r="N14" i="11"/>
  <c r="N15" i="11"/>
  <c r="N16" i="11"/>
  <c r="N17" i="11"/>
  <c r="N18" i="11"/>
  <c r="N19" i="11"/>
  <c r="N20" i="11"/>
  <c r="N21" i="11"/>
  <c r="N7" i="11"/>
  <c r="N8" i="10"/>
  <c r="N9" i="10"/>
  <c r="N10" i="10"/>
  <c r="N12" i="10"/>
  <c r="N16" i="10"/>
  <c r="N7" i="10"/>
  <c r="N8" i="9"/>
  <c r="N11" i="9"/>
  <c r="N12" i="9"/>
  <c r="N13" i="9"/>
  <c r="N7" i="9"/>
  <c r="J60" i="14" l="1"/>
  <c r="I60" i="14"/>
  <c r="K54" i="7" l="1"/>
  <c r="L54" i="7"/>
  <c r="J54" i="7"/>
  <c r="I38" i="7"/>
  <c r="Q8" i="11" l="1"/>
  <c r="Q9" i="11"/>
  <c r="Q10" i="11"/>
  <c r="Q11" i="11"/>
  <c r="Q12" i="11"/>
  <c r="Q13" i="11"/>
  <c r="Q14" i="11"/>
  <c r="Q15" i="11"/>
  <c r="Q16" i="11"/>
  <c r="Q17" i="11"/>
  <c r="Q18" i="11"/>
  <c r="Q19" i="11"/>
  <c r="Q20" i="11"/>
  <c r="Q21" i="11"/>
  <c r="Q24" i="11"/>
  <c r="Q25" i="11"/>
  <c r="Q7" i="11"/>
  <c r="O36" i="7"/>
  <c r="S36" i="7" s="1"/>
  <c r="S14" i="7"/>
  <c r="S16" i="7"/>
  <c r="S17" i="7"/>
  <c r="S21" i="7"/>
  <c r="S28" i="7"/>
  <c r="S29" i="7"/>
  <c r="S30" i="7"/>
  <c r="S31" i="7"/>
  <c r="S32" i="7"/>
  <c r="S33" i="7"/>
  <c r="S34" i="7"/>
  <c r="S35" i="7"/>
  <c r="S48" i="7"/>
  <c r="S49" i="7"/>
  <c r="S109" i="7"/>
  <c r="S111" i="7"/>
  <c r="S113" i="7"/>
  <c r="S114" i="7"/>
  <c r="S115" i="7"/>
  <c r="S116" i="7"/>
  <c r="M139" i="14"/>
  <c r="Q139" i="14" s="1"/>
  <c r="M140" i="14"/>
  <c r="Q140" i="14" s="1"/>
  <c r="M141" i="14"/>
  <c r="Q141" i="14" s="1"/>
  <c r="M142" i="14"/>
  <c r="Q142" i="14" s="1"/>
  <c r="M143" i="14"/>
  <c r="Q143" i="14" s="1"/>
  <c r="M144" i="14"/>
  <c r="Q144" i="14" s="1"/>
  <c r="M145" i="14"/>
  <c r="Q145" i="14" s="1"/>
  <c r="Q36" i="14"/>
  <c r="Q37" i="14"/>
  <c r="Q51" i="14"/>
  <c r="Q55" i="14"/>
  <c r="Q56" i="14"/>
  <c r="Q86" i="14"/>
  <c r="Q87" i="14"/>
  <c r="Q89" i="14"/>
  <c r="Q151" i="14"/>
  <c r="Q152" i="14"/>
  <c r="Q153" i="14"/>
  <c r="Q154" i="14"/>
  <c r="M43" i="14"/>
  <c r="Q43" i="14" s="1"/>
  <c r="I27" i="14"/>
  <c r="N30" i="14"/>
  <c r="K31" i="14"/>
  <c r="K27" i="14"/>
  <c r="N27" i="14" s="1"/>
  <c r="K28" i="14"/>
  <c r="K25" i="14"/>
  <c r="K26" i="14"/>
  <c r="K10" i="14"/>
  <c r="K12" i="14"/>
  <c r="K13" i="14"/>
  <c r="K16" i="14"/>
  <c r="K17" i="14"/>
  <c r="M27" i="14" l="1"/>
  <c r="Q27" i="14" s="1"/>
  <c r="M50" i="14" l="1"/>
  <c r="K52" i="14"/>
  <c r="L52" i="14"/>
  <c r="Q50" i="14" l="1"/>
  <c r="L33" i="1"/>
  <c r="K33" i="1"/>
  <c r="K28" i="1"/>
  <c r="L28" i="1"/>
  <c r="N28" i="1" l="1"/>
  <c r="M28" i="1"/>
  <c r="N33" i="1"/>
  <c r="M33" i="1"/>
  <c r="H147" i="14"/>
  <c r="L12" i="7"/>
  <c r="J12" i="7"/>
  <c r="I12" i="7" s="1"/>
  <c r="M138" i="14" l="1"/>
  <c r="Q138" i="14" s="1"/>
  <c r="M137" i="14"/>
  <c r="Q137" i="14" s="1"/>
  <c r="M136" i="14"/>
  <c r="Q136" i="14" s="1"/>
  <c r="M135" i="14"/>
  <c r="Q135" i="14" s="1"/>
  <c r="M134" i="14"/>
  <c r="Q134" i="14" s="1"/>
  <c r="M133" i="14"/>
  <c r="Q133" i="14" s="1"/>
  <c r="M131" i="14"/>
  <c r="Q131" i="14" s="1"/>
  <c r="M130" i="14"/>
  <c r="M129" i="14"/>
  <c r="Q129" i="14" s="1"/>
  <c r="M128" i="14"/>
  <c r="Q128" i="14" s="1"/>
  <c r="M127" i="14"/>
  <c r="Q127" i="14" s="1"/>
  <c r="M126" i="14"/>
  <c r="Q126" i="14" s="1"/>
  <c r="M125" i="14"/>
  <c r="Q125" i="14" s="1"/>
  <c r="M124" i="14"/>
  <c r="Q124" i="14" s="1"/>
  <c r="M123" i="14"/>
  <c r="Q123" i="14" s="1"/>
  <c r="M122" i="14"/>
  <c r="Q122" i="14" s="1"/>
  <c r="M121" i="14"/>
  <c r="Q121" i="14" s="1"/>
  <c r="M120" i="14"/>
  <c r="Q120" i="14" s="1"/>
  <c r="M119" i="14"/>
  <c r="Q119" i="14" s="1"/>
  <c r="M118" i="14"/>
  <c r="Q118" i="14" s="1"/>
  <c r="M117" i="14"/>
  <c r="Q117" i="14" s="1"/>
  <c r="M116" i="14"/>
  <c r="Q116" i="14" s="1"/>
  <c r="M115" i="14"/>
  <c r="Q115" i="14" s="1"/>
  <c r="M114" i="14"/>
  <c r="Q114" i="14" s="1"/>
  <c r="M113" i="14"/>
  <c r="Q113" i="14" s="1"/>
  <c r="M112" i="14"/>
  <c r="Q112" i="14" s="1"/>
  <c r="M111" i="14"/>
  <c r="Q111" i="14" s="1"/>
  <c r="M110" i="14"/>
  <c r="Q110" i="14" s="1"/>
  <c r="M109" i="14"/>
  <c r="Q109" i="14" s="1"/>
  <c r="M108" i="14"/>
  <c r="Q108" i="14" s="1"/>
  <c r="M107" i="14"/>
  <c r="Q107" i="14" s="1"/>
  <c r="M106" i="14"/>
  <c r="Q106" i="14" s="1"/>
  <c r="M105" i="14"/>
  <c r="Q105" i="14" s="1"/>
  <c r="M104" i="14"/>
  <c r="Q104" i="14" s="1"/>
  <c r="M103" i="14"/>
  <c r="Q103" i="14" s="1"/>
  <c r="M102" i="14"/>
  <c r="Q102" i="14" s="1"/>
  <c r="M101" i="14"/>
  <c r="Q101" i="14" s="1"/>
  <c r="M100" i="14"/>
  <c r="Q100" i="14" s="1"/>
  <c r="M99" i="14"/>
  <c r="Q99" i="14" s="1"/>
  <c r="K94" i="14"/>
  <c r="I94" i="14"/>
  <c r="G94" i="14"/>
  <c r="E94" i="14"/>
  <c r="L93" i="14"/>
  <c r="K93" i="14"/>
  <c r="J93" i="14"/>
  <c r="I93" i="14"/>
  <c r="F93" i="14"/>
  <c r="F147" i="14" s="1"/>
  <c r="K92" i="14"/>
  <c r="I92" i="14"/>
  <c r="K91" i="14"/>
  <c r="I91" i="14"/>
  <c r="L90" i="14"/>
  <c r="K90" i="14"/>
  <c r="J90" i="14"/>
  <c r="I90" i="14"/>
  <c r="E90" i="14"/>
  <c r="G89" i="14"/>
  <c r="E89" i="14"/>
  <c r="N89" i="14" s="1"/>
  <c r="K88" i="14"/>
  <c r="I88" i="14"/>
  <c r="E88" i="14"/>
  <c r="G86" i="14"/>
  <c r="E86" i="14"/>
  <c r="N86" i="14" s="1"/>
  <c r="L85" i="14"/>
  <c r="K85" i="14"/>
  <c r="J85" i="14"/>
  <c r="I85" i="14"/>
  <c r="G85" i="14"/>
  <c r="E85" i="14"/>
  <c r="L54" i="14"/>
  <c r="K54" i="14"/>
  <c r="K83" i="14" s="1"/>
  <c r="I54" i="14"/>
  <c r="I83" i="14" s="1"/>
  <c r="J54" i="14"/>
  <c r="L46" i="14"/>
  <c r="K46" i="14"/>
  <c r="I46" i="14"/>
  <c r="J46" i="14"/>
  <c r="M93" i="14" l="1"/>
  <c r="Q93" i="14" s="1"/>
  <c r="I147" i="14"/>
  <c r="J147" i="14"/>
  <c r="Q130" i="14"/>
  <c r="M88" i="14"/>
  <c r="Q88" i="14" s="1"/>
  <c r="E147" i="14"/>
  <c r="G147" i="14"/>
  <c r="N90" i="14"/>
  <c r="N94" i="14"/>
  <c r="Q94" i="14"/>
  <c r="M97" i="14"/>
  <c r="Q97" i="14" s="1"/>
  <c r="N97" i="14"/>
  <c r="N93" i="14"/>
  <c r="N88" i="14"/>
  <c r="N91" i="14"/>
  <c r="M85" i="14"/>
  <c r="N85" i="14"/>
  <c r="K147" i="14"/>
  <c r="L147" i="14"/>
  <c r="M91" i="14"/>
  <c r="Q91" i="14" s="1"/>
  <c r="M95" i="14"/>
  <c r="Q95" i="14" s="1"/>
  <c r="N95" i="14"/>
  <c r="N46" i="14"/>
  <c r="M90" i="14"/>
  <c r="Q90" i="14" s="1"/>
  <c r="M92" i="14"/>
  <c r="Q92" i="14" s="1"/>
  <c r="N92" i="14"/>
  <c r="L20" i="13"/>
  <c r="K20" i="13" s="1"/>
  <c r="N20" i="13" s="1"/>
  <c r="L81" i="1"/>
  <c r="L116" i="1" s="1"/>
  <c r="K81" i="1"/>
  <c r="K116" i="1" s="1"/>
  <c r="J81" i="1"/>
  <c r="J116" i="1" s="1"/>
  <c r="I81" i="1"/>
  <c r="I116" i="1" s="1"/>
  <c r="N81" i="1" l="1"/>
  <c r="N116" i="1" s="1"/>
  <c r="M81" i="1"/>
  <c r="M116" i="1" s="1"/>
  <c r="N147" i="14"/>
  <c r="M147" i="14"/>
  <c r="Q147" i="14" s="1"/>
  <c r="Q85" i="14"/>
  <c r="I7" i="12"/>
  <c r="J7" i="12"/>
  <c r="K7" i="12"/>
  <c r="N7" i="12" s="1"/>
  <c r="L7" i="12"/>
  <c r="M23" i="11" l="1"/>
  <c r="L23" i="11"/>
  <c r="K23" i="11"/>
  <c r="J23" i="11"/>
  <c r="I23" i="11"/>
  <c r="H23" i="11"/>
  <c r="G23" i="11"/>
  <c r="F23" i="11"/>
  <c r="E23" i="11"/>
  <c r="M22" i="11"/>
  <c r="L22" i="11"/>
  <c r="K22" i="11"/>
  <c r="J22" i="11"/>
  <c r="I22" i="11"/>
  <c r="H22" i="11"/>
  <c r="G22" i="11"/>
  <c r="F22" i="11"/>
  <c r="E22" i="11"/>
  <c r="N23" i="11" l="1"/>
  <c r="Q23" i="11"/>
  <c r="N22" i="11"/>
  <c r="Q22" i="11"/>
  <c r="K38" i="7"/>
  <c r="Q50" i="13" l="1"/>
  <c r="Q51" i="13"/>
  <c r="M28" i="13"/>
  <c r="E33" i="14" l="1"/>
  <c r="E43" i="14" s="1"/>
  <c r="M33" i="14"/>
  <c r="Q33" i="14" s="1"/>
  <c r="N32" i="14"/>
  <c r="G31" i="14"/>
  <c r="E31" i="14"/>
  <c r="N31" i="14" s="1"/>
  <c r="I29" i="14"/>
  <c r="G29" i="14"/>
  <c r="E29" i="14"/>
  <c r="N29" i="14" s="1"/>
  <c r="I28" i="14"/>
  <c r="E28" i="14"/>
  <c r="N28" i="14" s="1"/>
  <c r="E26" i="14"/>
  <c r="N26" i="14" s="1"/>
  <c r="I25" i="14"/>
  <c r="G25" i="14"/>
  <c r="E25" i="14"/>
  <c r="N25" i="14" s="1"/>
  <c r="I24" i="14"/>
  <c r="G24" i="14"/>
  <c r="E24" i="14"/>
  <c r="K23" i="14"/>
  <c r="I23" i="14"/>
  <c r="G23" i="14"/>
  <c r="E23" i="14"/>
  <c r="I22" i="14"/>
  <c r="G22" i="14"/>
  <c r="E22" i="14"/>
  <c r="I21" i="14"/>
  <c r="G21" i="14"/>
  <c r="E21" i="14"/>
  <c r="K20" i="14"/>
  <c r="I20" i="14"/>
  <c r="L19" i="14"/>
  <c r="J19" i="14"/>
  <c r="J42" i="14" s="1"/>
  <c r="H19" i="14"/>
  <c r="F19" i="14"/>
  <c r="F42" i="14" s="1"/>
  <c r="I18" i="14"/>
  <c r="M18" i="14" s="1"/>
  <c r="G18" i="14"/>
  <c r="E18" i="14"/>
  <c r="N18" i="14" s="1"/>
  <c r="I17" i="14"/>
  <c r="G17" i="14"/>
  <c r="E17" i="14"/>
  <c r="N17" i="14" s="1"/>
  <c r="I16" i="14"/>
  <c r="G16" i="14"/>
  <c r="E16" i="14"/>
  <c r="N16" i="14" s="1"/>
  <c r="I15" i="14"/>
  <c r="G15" i="14"/>
  <c r="E15" i="14"/>
  <c r="N15" i="14" s="1"/>
  <c r="I14" i="14"/>
  <c r="G14" i="14"/>
  <c r="E14" i="14"/>
  <c r="N14" i="14" s="1"/>
  <c r="I13" i="14"/>
  <c r="G13" i="14"/>
  <c r="E13" i="14"/>
  <c r="N13" i="14" s="1"/>
  <c r="I12" i="14"/>
  <c r="G12" i="14"/>
  <c r="E12" i="14"/>
  <c r="N12" i="14" s="1"/>
  <c r="I11" i="14"/>
  <c r="G11" i="14"/>
  <c r="E11" i="14"/>
  <c r="N11" i="14" s="1"/>
  <c r="I10" i="14"/>
  <c r="G10" i="14"/>
  <c r="E10" i="14"/>
  <c r="N10" i="14" s="1"/>
  <c r="I9" i="14"/>
  <c r="G9" i="14"/>
  <c r="E9" i="14"/>
  <c r="I8" i="14"/>
  <c r="G8" i="14"/>
  <c r="E8" i="14"/>
  <c r="N8" i="14" s="1"/>
  <c r="E19" i="14" l="1"/>
  <c r="E42" i="14" s="1"/>
  <c r="G19" i="14"/>
  <c r="H42" i="14"/>
  <c r="N9" i="14"/>
  <c r="G42" i="14"/>
  <c r="N20" i="14"/>
  <c r="N22" i="14"/>
  <c r="N24" i="14"/>
  <c r="N23" i="14"/>
  <c r="N21" i="14"/>
  <c r="K19" i="14"/>
  <c r="L42" i="14"/>
  <c r="N43" i="14"/>
  <c r="N33" i="14"/>
  <c r="I19" i="14"/>
  <c r="O65" i="7"/>
  <c r="S65" i="7" s="1"/>
  <c r="O67" i="7"/>
  <c r="S67" i="7" s="1"/>
  <c r="O68" i="7"/>
  <c r="S68" i="7" s="1"/>
  <c r="O69" i="7"/>
  <c r="S69" i="7" s="1"/>
  <c r="O70" i="7"/>
  <c r="S70" i="7" s="1"/>
  <c r="O71" i="7"/>
  <c r="S71" i="7" s="1"/>
  <c r="O72" i="7"/>
  <c r="S72" i="7" s="1"/>
  <c r="O73" i="7"/>
  <c r="S73" i="7" s="1"/>
  <c r="O74" i="7"/>
  <c r="S74" i="7" s="1"/>
  <c r="O75" i="7"/>
  <c r="S75" i="7" s="1"/>
  <c r="O77" i="7"/>
  <c r="S77" i="7" s="1"/>
  <c r="O78" i="7"/>
  <c r="S78" i="7" s="1"/>
  <c r="O79" i="7"/>
  <c r="S79" i="7" s="1"/>
  <c r="O80" i="7"/>
  <c r="S80" i="7" s="1"/>
  <c r="O81" i="7"/>
  <c r="S81" i="7" s="1"/>
  <c r="O83" i="7"/>
  <c r="S83" i="7" s="1"/>
  <c r="O85" i="7"/>
  <c r="S85" i="7" s="1"/>
  <c r="O86" i="7"/>
  <c r="S86" i="7" s="1"/>
  <c r="O87" i="7"/>
  <c r="S87" i="7" s="1"/>
  <c r="O88" i="7"/>
  <c r="S88" i="7" s="1"/>
  <c r="O89" i="7"/>
  <c r="S89" i="7" s="1"/>
  <c r="O91" i="7"/>
  <c r="S91" i="7" s="1"/>
  <c r="O93" i="7"/>
  <c r="S93" i="7" s="1"/>
  <c r="O95" i="7"/>
  <c r="S95" i="7" s="1"/>
  <c r="O97" i="7"/>
  <c r="S97" i="7" s="1"/>
  <c r="O99" i="7"/>
  <c r="S99" i="7" s="1"/>
  <c r="O100" i="7"/>
  <c r="S100" i="7" s="1"/>
  <c r="O101" i="7"/>
  <c r="S101" i="7" s="1"/>
  <c r="O102" i="7"/>
  <c r="S102" i="7" s="1"/>
  <c r="O103" i="7"/>
  <c r="S103" i="7" s="1"/>
  <c r="O104" i="7"/>
  <c r="S104" i="7" s="1"/>
  <c r="O63" i="7"/>
  <c r="M7" i="9"/>
  <c r="N19" i="14" l="1"/>
  <c r="K42" i="14"/>
  <c r="S63" i="7"/>
  <c r="G39" i="13" l="1"/>
  <c r="G20" i="13"/>
  <c r="G14" i="13"/>
  <c r="K17" i="13" l="1"/>
  <c r="M20" i="13" l="1"/>
  <c r="E42" i="13"/>
  <c r="E39" i="13"/>
  <c r="E27" i="13"/>
  <c r="F39" i="13"/>
  <c r="F27" i="13"/>
  <c r="F17" i="13"/>
  <c r="G42" i="13"/>
  <c r="H39" i="13"/>
  <c r="H27" i="13"/>
  <c r="H17" i="13"/>
  <c r="I39" i="13"/>
  <c r="J39" i="13"/>
  <c r="K39" i="13"/>
  <c r="N39" i="13" s="1"/>
  <c r="L39" i="13"/>
  <c r="H41" i="13" l="1"/>
  <c r="F41" i="13"/>
  <c r="L150" i="14"/>
  <c r="J150" i="14"/>
  <c r="I150" i="14"/>
  <c r="H150" i="14"/>
  <c r="G150" i="14"/>
  <c r="F150" i="14"/>
  <c r="M35" i="14"/>
  <c r="Q35" i="14" s="1"/>
  <c r="M34" i="14"/>
  <c r="Q34" i="14" s="1"/>
  <c r="M32" i="14"/>
  <c r="Q32" i="14" s="1"/>
  <c r="M31" i="14"/>
  <c r="Q31" i="14" s="1"/>
  <c r="M30" i="14"/>
  <c r="Q30" i="14" s="1"/>
  <c r="M29" i="14"/>
  <c r="Q29" i="14" s="1"/>
  <c r="M28" i="14"/>
  <c r="Q28" i="14" s="1"/>
  <c r="M24" i="14"/>
  <c r="Q24" i="14" s="1"/>
  <c r="M22" i="14"/>
  <c r="Q22" i="14" s="1"/>
  <c r="M20" i="14"/>
  <c r="Q20" i="14" s="1"/>
  <c r="M14" i="14"/>
  <c r="Q14" i="14" s="1"/>
  <c r="M13" i="14"/>
  <c r="Q13" i="14" s="1"/>
  <c r="M11" i="14"/>
  <c r="Q11" i="14" s="1"/>
  <c r="M10" i="14"/>
  <c r="Q10" i="14" s="1"/>
  <c r="N42" i="14" l="1"/>
  <c r="M17" i="14"/>
  <c r="Q17" i="14" s="1"/>
  <c r="M19" i="14"/>
  <c r="Q19" i="14" s="1"/>
  <c r="M15" i="14"/>
  <c r="Q15" i="14" s="1"/>
  <c r="M12" i="14"/>
  <c r="Q12" i="14" s="1"/>
  <c r="Q18" i="14"/>
  <c r="M23" i="14"/>
  <c r="M9" i="14"/>
  <c r="Q9" i="14" s="1"/>
  <c r="M8" i="14"/>
  <c r="Q8" i="14" s="1"/>
  <c r="M16" i="14"/>
  <c r="Q16" i="14" s="1"/>
  <c r="M21" i="14"/>
  <c r="Q21" i="14" s="1"/>
  <c r="M25" i="14"/>
  <c r="Q25" i="14" s="1"/>
  <c r="M148" i="14" l="1"/>
  <c r="Q148" i="14" s="1"/>
  <c r="K84" i="14"/>
  <c r="L83" i="14"/>
  <c r="J83" i="14"/>
  <c r="H83" i="14"/>
  <c r="F83" i="14"/>
  <c r="M82" i="14"/>
  <c r="Q82" i="14" s="1"/>
  <c r="M81" i="14"/>
  <c r="Q81" i="14" s="1"/>
  <c r="M80" i="14"/>
  <c r="Q80" i="14" s="1"/>
  <c r="M79" i="14"/>
  <c r="Q79" i="14" s="1"/>
  <c r="M78" i="14"/>
  <c r="Q78" i="14" s="1"/>
  <c r="Q77" i="14"/>
  <c r="M73" i="14"/>
  <c r="Q73" i="14" s="1"/>
  <c r="M72" i="14"/>
  <c r="Q72" i="14" s="1"/>
  <c r="G72" i="14"/>
  <c r="M71" i="14"/>
  <c r="Q71" i="14" s="1"/>
  <c r="M70" i="14"/>
  <c r="Q70" i="14" s="1"/>
  <c r="G70" i="14"/>
  <c r="E70" i="14"/>
  <c r="N70" i="14" s="1"/>
  <c r="M69" i="14"/>
  <c r="Q69" i="14" s="1"/>
  <c r="M68" i="14"/>
  <c r="Q68" i="14" s="1"/>
  <c r="M67" i="14"/>
  <c r="Q67" i="14" s="1"/>
  <c r="M66" i="14"/>
  <c r="Q66" i="14" s="1"/>
  <c r="M65" i="14"/>
  <c r="Q65" i="14" s="1"/>
  <c r="M64" i="14"/>
  <c r="Q64" i="14" s="1"/>
  <c r="M63" i="14"/>
  <c r="Q63" i="14" s="1"/>
  <c r="M62" i="14"/>
  <c r="Q62" i="14" s="1"/>
  <c r="M61" i="14"/>
  <c r="Q61" i="14" s="1"/>
  <c r="M60" i="14"/>
  <c r="Q60" i="14" s="1"/>
  <c r="M59" i="14"/>
  <c r="Q59" i="14" s="1"/>
  <c r="M58" i="14"/>
  <c r="Q58" i="14" s="1"/>
  <c r="M57" i="14"/>
  <c r="Q57" i="14" s="1"/>
  <c r="G56" i="14"/>
  <c r="E56" i="14"/>
  <c r="N56" i="14" s="1"/>
  <c r="G55" i="14"/>
  <c r="E55" i="14"/>
  <c r="N55" i="14" s="1"/>
  <c r="G54" i="14"/>
  <c r="E54" i="14"/>
  <c r="N54" i="14" s="1"/>
  <c r="M53" i="14"/>
  <c r="Q53" i="14" s="1"/>
  <c r="E53" i="14"/>
  <c r="J52" i="14"/>
  <c r="I52" i="14"/>
  <c r="H52" i="14"/>
  <c r="G52" i="14"/>
  <c r="F52" i="14"/>
  <c r="E52" i="14"/>
  <c r="N52" i="14" s="1"/>
  <c r="M49" i="14"/>
  <c r="K48" i="14"/>
  <c r="L47" i="14"/>
  <c r="K47" i="14"/>
  <c r="J47" i="14"/>
  <c r="I47" i="14"/>
  <c r="H47" i="14"/>
  <c r="G47" i="14"/>
  <c r="F47" i="14"/>
  <c r="E47" i="14"/>
  <c r="M46" i="14"/>
  <c r="Q46" i="14" s="1"/>
  <c r="M45" i="14"/>
  <c r="Q45" i="14" s="1"/>
  <c r="M44" i="14"/>
  <c r="Q44" i="14" s="1"/>
  <c r="N48" i="14" l="1"/>
  <c r="E150" i="14"/>
  <c r="N53" i="14"/>
  <c r="M84" i="14"/>
  <c r="Q84" i="14" s="1"/>
  <c r="N84" i="14"/>
  <c r="N47" i="14"/>
  <c r="Q49" i="14"/>
  <c r="M52" i="14"/>
  <c r="Q52" i="14" s="1"/>
  <c r="L149" i="14"/>
  <c r="M48" i="14"/>
  <c r="K150" i="14"/>
  <c r="F149" i="14"/>
  <c r="H149" i="14"/>
  <c r="J149" i="14"/>
  <c r="M47" i="14"/>
  <c r="Q47" i="14" s="1"/>
  <c r="G83" i="14"/>
  <c r="M54" i="14"/>
  <c r="Q54" i="14" s="1"/>
  <c r="E83" i="14"/>
  <c r="E149" i="14" l="1"/>
  <c r="N83" i="14"/>
  <c r="M150" i="14"/>
  <c r="Q150" i="14" s="1"/>
  <c r="Q48" i="14"/>
  <c r="N150" i="14"/>
  <c r="M83" i="14"/>
  <c r="Q83" i="14" s="1"/>
  <c r="G149" i="14"/>
  <c r="K149" i="14"/>
  <c r="N149" i="14" l="1"/>
  <c r="G58" i="7"/>
  <c r="M108" i="7" l="1"/>
  <c r="E58" i="7"/>
  <c r="P58" i="7" s="1"/>
  <c r="F61" i="7"/>
  <c r="H61" i="7"/>
  <c r="L61" i="7"/>
  <c r="M61" i="7"/>
  <c r="N61" i="7"/>
  <c r="O60" i="7"/>
  <c r="S60" i="7" s="1"/>
  <c r="Q62" i="7" l="1"/>
  <c r="L62" i="7"/>
  <c r="L108" i="7" s="1"/>
  <c r="K62" i="7"/>
  <c r="J62" i="7"/>
  <c r="J108" i="7" s="1"/>
  <c r="I108" i="7"/>
  <c r="H62" i="7"/>
  <c r="H108" i="7" s="1"/>
  <c r="G62" i="7"/>
  <c r="G108" i="7" s="1"/>
  <c r="F62" i="7"/>
  <c r="F108" i="7" s="1"/>
  <c r="E62" i="7"/>
  <c r="E108" i="7" s="1"/>
  <c r="O59" i="7"/>
  <c r="S59" i="7" s="1"/>
  <c r="O58" i="7"/>
  <c r="S58" i="7" s="1"/>
  <c r="O57" i="7"/>
  <c r="S57" i="7" s="1"/>
  <c r="S56" i="7"/>
  <c r="M40" i="13"/>
  <c r="M38" i="13"/>
  <c r="M37" i="13"/>
  <c r="M36" i="13"/>
  <c r="M35" i="13"/>
  <c r="M34" i="13"/>
  <c r="M33" i="13"/>
  <c r="M32" i="13"/>
  <c r="M30" i="13"/>
  <c r="M29" i="13"/>
  <c r="M26" i="13"/>
  <c r="M25" i="13"/>
  <c r="M24" i="13"/>
  <c r="M23" i="13"/>
  <c r="M22" i="13"/>
  <c r="M21" i="13"/>
  <c r="M18" i="13"/>
  <c r="M16" i="13"/>
  <c r="M15" i="13"/>
  <c r="L13" i="13"/>
  <c r="L42" i="13" s="1"/>
  <c r="K42" i="13" s="1"/>
  <c r="N42" i="13" s="1"/>
  <c r="J13" i="13"/>
  <c r="J42" i="13" s="1"/>
  <c r="H13" i="13"/>
  <c r="H42" i="13" s="1"/>
  <c r="F13" i="13"/>
  <c r="F42" i="13" s="1"/>
  <c r="M12" i="13"/>
  <c r="L12" i="13"/>
  <c r="J12" i="13"/>
  <c r="H12" i="13"/>
  <c r="F12" i="13"/>
  <c r="M11" i="13"/>
  <c r="M10" i="13"/>
  <c r="M9" i="13"/>
  <c r="M8" i="13"/>
  <c r="P62" i="7" l="1"/>
  <c r="L26" i="13"/>
  <c r="J26" i="13" s="1"/>
  <c r="L25" i="13"/>
  <c r="J25" i="13" s="1"/>
  <c r="M13" i="13"/>
  <c r="M39" i="13"/>
  <c r="O62" i="7"/>
  <c r="S62" i="7" s="1"/>
  <c r="L22" i="9" l="1"/>
  <c r="L24" i="9" s="1"/>
  <c r="J131" i="1"/>
  <c r="I131" i="1"/>
  <c r="H131" i="1"/>
  <c r="H133" i="1" s="1"/>
  <c r="H22" i="9" s="1"/>
  <c r="H24" i="9" s="1"/>
  <c r="G131" i="1"/>
  <c r="G133" i="1" s="1"/>
  <c r="G22" i="9" s="1"/>
  <c r="G24" i="9" s="1"/>
  <c r="F131" i="1"/>
  <c r="F133" i="1" s="1"/>
  <c r="F22" i="9" s="1"/>
  <c r="F24" i="9" s="1"/>
  <c r="E131" i="1"/>
  <c r="L130" i="1"/>
  <c r="K130" i="1"/>
  <c r="J130" i="1"/>
  <c r="H130" i="1"/>
  <c r="F130" i="1"/>
  <c r="E130" i="1"/>
  <c r="G118" i="1"/>
  <c r="G130" i="1" s="1"/>
  <c r="I133" i="1" l="1"/>
  <c r="I22" i="9" s="1"/>
  <c r="I24" i="9" s="1"/>
  <c r="J133" i="1"/>
  <c r="J22" i="9" s="1"/>
  <c r="J24" i="9" s="1"/>
  <c r="E133" i="1"/>
  <c r="E22" i="9" s="1"/>
  <c r="E24" i="9" s="1"/>
  <c r="N131" i="1"/>
  <c r="N133" i="1" s="1"/>
  <c r="N130" i="1"/>
  <c r="M130" i="1"/>
  <c r="M131" i="1"/>
  <c r="M133" i="1" s="1"/>
  <c r="L8" i="12" l="1"/>
  <c r="K8" i="12"/>
  <c r="J8" i="12"/>
  <c r="I8" i="12"/>
  <c r="H8" i="12"/>
  <c r="G8" i="12"/>
  <c r="F8" i="12"/>
  <c r="E8" i="12"/>
  <c r="M7" i="12"/>
  <c r="M8" i="12" s="1"/>
  <c r="O14" i="10"/>
  <c r="O15" i="10" s="1"/>
  <c r="M14" i="10"/>
  <c r="L14" i="10"/>
  <c r="K14" i="10"/>
  <c r="N14" i="10" s="1"/>
  <c r="J14" i="10"/>
  <c r="I14" i="10"/>
  <c r="H14" i="10"/>
  <c r="G14" i="10"/>
  <c r="F14" i="10"/>
  <c r="E14" i="10"/>
  <c r="L11" i="10"/>
  <c r="K11" i="10"/>
  <c r="N11" i="10" s="1"/>
  <c r="J11" i="10"/>
  <c r="I11" i="10"/>
  <c r="H11" i="10"/>
  <c r="G11" i="10"/>
  <c r="F11" i="10"/>
  <c r="E11" i="10"/>
  <c r="E15" i="10" s="1"/>
  <c r="M10" i="10"/>
  <c r="M9" i="10"/>
  <c r="M8" i="10"/>
  <c r="M7" i="10"/>
  <c r="N8" i="12" l="1"/>
  <c r="Q8" i="12"/>
  <c r="H15" i="10"/>
  <c r="I15" i="10"/>
  <c r="M11" i="10"/>
  <c r="M15" i="10" s="1"/>
  <c r="J15" i="10"/>
  <c r="K15" i="10"/>
  <c r="N15" i="10" s="1"/>
  <c r="F15" i="10"/>
  <c r="L15" i="10"/>
  <c r="G15" i="10"/>
  <c r="O106" i="7"/>
  <c r="S106" i="7" s="1"/>
  <c r="N106" i="7"/>
  <c r="M106" i="7"/>
  <c r="Q105" i="7"/>
  <c r="N105" i="7"/>
  <c r="M105" i="7"/>
  <c r="J105" i="7"/>
  <c r="I105" i="7"/>
  <c r="H105" i="7"/>
  <c r="F105" i="7"/>
  <c r="G104" i="7"/>
  <c r="E104" i="7"/>
  <c r="P104" i="7" s="1"/>
  <c r="K98" i="7"/>
  <c r="K96" i="7"/>
  <c r="G96" i="7"/>
  <c r="E96" i="7"/>
  <c r="K94" i="7"/>
  <c r="G94" i="7"/>
  <c r="E94" i="7"/>
  <c r="K92" i="7"/>
  <c r="K90" i="7"/>
  <c r="G90" i="7"/>
  <c r="E90" i="7"/>
  <c r="L84" i="7"/>
  <c r="K84" i="7"/>
  <c r="G84" i="7"/>
  <c r="E84" i="7"/>
  <c r="L82" i="7"/>
  <c r="K82" i="7"/>
  <c r="G82" i="7"/>
  <c r="E82" i="7"/>
  <c r="G78" i="7"/>
  <c r="E78" i="7"/>
  <c r="P78" i="7" s="1"/>
  <c r="K76" i="7"/>
  <c r="G76" i="7"/>
  <c r="E76" i="7"/>
  <c r="G72" i="7"/>
  <c r="E72" i="7"/>
  <c r="P72" i="7" s="1"/>
  <c r="K66" i="7"/>
  <c r="G66" i="7"/>
  <c r="E66" i="7"/>
  <c r="K64" i="7"/>
  <c r="E64" i="7"/>
  <c r="I55" i="7"/>
  <c r="G55" i="7"/>
  <c r="E55" i="7"/>
  <c r="I54" i="7"/>
  <c r="G54" i="7"/>
  <c r="E54" i="7"/>
  <c r="P54" i="7" s="1"/>
  <c r="K53" i="7"/>
  <c r="I53" i="7"/>
  <c r="G53" i="7"/>
  <c r="E53" i="7"/>
  <c r="K52" i="7"/>
  <c r="I52" i="7"/>
  <c r="G52" i="7"/>
  <c r="E52" i="7"/>
  <c r="K51" i="7"/>
  <c r="I51" i="7"/>
  <c r="G51" i="7"/>
  <c r="E51" i="7"/>
  <c r="K50" i="7"/>
  <c r="I50" i="7"/>
  <c r="G50" i="7"/>
  <c r="E50" i="7"/>
  <c r="G49" i="7"/>
  <c r="E49" i="7"/>
  <c r="P49" i="7" s="1"/>
  <c r="G48" i="7"/>
  <c r="E48" i="7"/>
  <c r="P48" i="7" s="1"/>
  <c r="K47" i="7"/>
  <c r="I47" i="7"/>
  <c r="G47" i="7"/>
  <c r="E47" i="7"/>
  <c r="K46" i="7"/>
  <c r="I46" i="7"/>
  <c r="G46" i="7"/>
  <c r="E46" i="7"/>
  <c r="K45" i="7"/>
  <c r="I45" i="7"/>
  <c r="G45" i="7"/>
  <c r="E45" i="7"/>
  <c r="K44" i="7"/>
  <c r="I44" i="7"/>
  <c r="G44" i="7"/>
  <c r="E44" i="7"/>
  <c r="K43" i="7"/>
  <c r="I43" i="7"/>
  <c r="G43" i="7"/>
  <c r="E43" i="7"/>
  <c r="K42" i="7"/>
  <c r="I42" i="7"/>
  <c r="G42" i="7"/>
  <c r="E42" i="7"/>
  <c r="K41" i="7"/>
  <c r="I41" i="7"/>
  <c r="G41" i="7"/>
  <c r="E41" i="7"/>
  <c r="K40" i="7"/>
  <c r="I40" i="7"/>
  <c r="G40" i="7"/>
  <c r="E40" i="7"/>
  <c r="K39" i="7"/>
  <c r="I39" i="7"/>
  <c r="G39" i="7"/>
  <c r="E39" i="7"/>
  <c r="J61" i="7"/>
  <c r="G38" i="7"/>
  <c r="E38" i="7"/>
  <c r="P38" i="7" s="1"/>
  <c r="O96" i="7" l="1"/>
  <c r="S96" i="7" s="1"/>
  <c r="P96" i="7"/>
  <c r="O82" i="7"/>
  <c r="S82" i="7" s="1"/>
  <c r="P82" i="7"/>
  <c r="O90" i="7"/>
  <c r="S90" i="7" s="1"/>
  <c r="P90" i="7"/>
  <c r="O98" i="7"/>
  <c r="S98" i="7" s="1"/>
  <c r="P98" i="7"/>
  <c r="P55" i="7"/>
  <c r="O92" i="7"/>
  <c r="S92" i="7" s="1"/>
  <c r="P92" i="7"/>
  <c r="G61" i="7"/>
  <c r="P40" i="7"/>
  <c r="P42" i="7"/>
  <c r="P44" i="7"/>
  <c r="P46" i="7"/>
  <c r="P51" i="7"/>
  <c r="P53" i="7"/>
  <c r="O64" i="7"/>
  <c r="P64" i="7"/>
  <c r="O76" i="7"/>
  <c r="S76" i="7" s="1"/>
  <c r="P76" i="7"/>
  <c r="O84" i="7"/>
  <c r="S84" i="7" s="1"/>
  <c r="P84" i="7"/>
  <c r="O94" i="7"/>
  <c r="S94" i="7" s="1"/>
  <c r="P94" i="7"/>
  <c r="P39" i="7"/>
  <c r="P41" i="7"/>
  <c r="P43" i="7"/>
  <c r="P45" i="7"/>
  <c r="P47" i="7"/>
  <c r="P50" i="7"/>
  <c r="P52" i="7"/>
  <c r="O66" i="7"/>
  <c r="S66" i="7" s="1"/>
  <c r="P66" i="7"/>
  <c r="O54" i="7"/>
  <c r="S54" i="7" s="1"/>
  <c r="K61" i="7"/>
  <c r="O45" i="7"/>
  <c r="S45" i="7" s="1"/>
  <c r="O52" i="7"/>
  <c r="S52" i="7" s="1"/>
  <c r="I61" i="7"/>
  <c r="E61" i="7"/>
  <c r="O46" i="7"/>
  <c r="S46" i="7" s="1"/>
  <c r="E105" i="7"/>
  <c r="O44" i="7"/>
  <c r="S44" i="7" s="1"/>
  <c r="O38" i="7"/>
  <c r="S38" i="7" s="1"/>
  <c r="O51" i="7"/>
  <c r="S51" i="7" s="1"/>
  <c r="O41" i="7"/>
  <c r="S41" i="7" s="1"/>
  <c r="O43" i="7"/>
  <c r="S43" i="7" s="1"/>
  <c r="O47" i="7"/>
  <c r="S47" i="7" s="1"/>
  <c r="O50" i="7"/>
  <c r="S50" i="7" s="1"/>
  <c r="O40" i="7"/>
  <c r="S40" i="7" s="1"/>
  <c r="O42" i="7"/>
  <c r="S42" i="7" s="1"/>
  <c r="L105" i="7"/>
  <c r="O53" i="7"/>
  <c r="S53" i="7" s="1"/>
  <c r="O55" i="7"/>
  <c r="S55" i="7" s="1"/>
  <c r="K105" i="7"/>
  <c r="G105" i="7"/>
  <c r="O39" i="7"/>
  <c r="S39" i="7" s="1"/>
  <c r="P61" i="7" l="1"/>
  <c r="O105" i="7"/>
  <c r="P105" i="7"/>
  <c r="S64" i="7"/>
  <c r="O61" i="7"/>
  <c r="S61" i="7" s="1"/>
  <c r="F18" i="7"/>
  <c r="H18" i="7"/>
  <c r="J18" i="7"/>
  <c r="L18" i="7"/>
  <c r="M18" i="7"/>
  <c r="N18" i="7"/>
  <c r="L14" i="9" l="1"/>
  <c r="K14" i="9"/>
  <c r="J14" i="9"/>
  <c r="I14" i="9"/>
  <c r="H14" i="9"/>
  <c r="G14" i="9"/>
  <c r="F14" i="9"/>
  <c r="E14" i="9"/>
  <c r="M13" i="9"/>
  <c r="M12" i="9"/>
  <c r="M11" i="9"/>
  <c r="L9" i="9"/>
  <c r="K9" i="9"/>
  <c r="J9" i="9"/>
  <c r="I9" i="9"/>
  <c r="H9" i="9"/>
  <c r="G9" i="9"/>
  <c r="F9" i="9"/>
  <c r="E9" i="9"/>
  <c r="M8" i="9"/>
  <c r="O37" i="7"/>
  <c r="N37" i="7"/>
  <c r="M37" i="7"/>
  <c r="L37" i="7"/>
  <c r="K37" i="7"/>
  <c r="J37" i="7"/>
  <c r="I37" i="7"/>
  <c r="H37" i="7"/>
  <c r="G37" i="7"/>
  <c r="F37" i="7"/>
  <c r="E37" i="7"/>
  <c r="K27" i="7"/>
  <c r="M26" i="7"/>
  <c r="L26" i="7"/>
  <c r="K26" i="7"/>
  <c r="J26" i="7"/>
  <c r="I26" i="7"/>
  <c r="G26" i="7"/>
  <c r="F26" i="7"/>
  <c r="E26" i="7"/>
  <c r="O25" i="7"/>
  <c r="N25" i="7"/>
  <c r="O24" i="7"/>
  <c r="N24" i="7"/>
  <c r="N26" i="7" s="1"/>
  <c r="M23" i="7"/>
  <c r="L23" i="7"/>
  <c r="K23" i="7"/>
  <c r="H23" i="7"/>
  <c r="G23" i="7"/>
  <c r="F23" i="7"/>
  <c r="E23" i="7"/>
  <c r="O20" i="7"/>
  <c r="S20" i="7" s="1"/>
  <c r="N20" i="7"/>
  <c r="O19" i="7"/>
  <c r="N19" i="7"/>
  <c r="Q8" i="7"/>
  <c r="M8" i="7"/>
  <c r="L8" i="7"/>
  <c r="K8" i="7"/>
  <c r="J8" i="7"/>
  <c r="I8" i="7"/>
  <c r="H8" i="7"/>
  <c r="G8" i="7"/>
  <c r="F8" i="7"/>
  <c r="E8" i="7"/>
  <c r="O7" i="7"/>
  <c r="N7" i="7"/>
  <c r="N8" i="7" s="1"/>
  <c r="P8" i="7" l="1"/>
  <c r="O23" i="7"/>
  <c r="S37" i="7"/>
  <c r="S19" i="7"/>
  <c r="H107" i="7"/>
  <c r="M107" i="7"/>
  <c r="O26" i="7"/>
  <c r="S26" i="7" s="1"/>
  <c r="S24" i="7"/>
  <c r="P26" i="7"/>
  <c r="E15" i="9"/>
  <c r="F15" i="9"/>
  <c r="N14" i="9"/>
  <c r="O27" i="7"/>
  <c r="O108" i="7" s="1"/>
  <c r="S25" i="7"/>
  <c r="P37" i="7"/>
  <c r="K15" i="9"/>
  <c r="N9" i="9"/>
  <c r="P27" i="7"/>
  <c r="P23" i="7"/>
  <c r="O8" i="7"/>
  <c r="S8" i="7" s="1"/>
  <c r="S7" i="7"/>
  <c r="J15" i="9"/>
  <c r="F107" i="7"/>
  <c r="L107" i="7"/>
  <c r="G15" i="9"/>
  <c r="H15" i="9"/>
  <c r="J107" i="7"/>
  <c r="N27" i="7"/>
  <c r="N108" i="7" s="1"/>
  <c r="K108" i="7"/>
  <c r="K22" i="9" s="1"/>
  <c r="K24" i="9" s="1"/>
  <c r="M14" i="9"/>
  <c r="M9" i="9"/>
  <c r="L15" i="9"/>
  <c r="I15" i="9"/>
  <c r="N23" i="7"/>
  <c r="N107" i="7" s="1"/>
  <c r="N15" i="9" l="1"/>
  <c r="S27" i="7"/>
  <c r="P108" i="7"/>
  <c r="S108" i="7"/>
  <c r="M15" i="9"/>
  <c r="O110" i="7" l="1"/>
  <c r="S110" i="7" s="1"/>
  <c r="E17" i="7"/>
  <c r="P17" i="7" s="1"/>
  <c r="K15" i="7"/>
  <c r="G15" i="7"/>
  <c r="E15" i="7"/>
  <c r="K13" i="7"/>
  <c r="I13" i="7"/>
  <c r="G13" i="7"/>
  <c r="E13" i="7"/>
  <c r="K12" i="7"/>
  <c r="G12" i="7"/>
  <c r="E12" i="7"/>
  <c r="K11" i="7"/>
  <c r="I11" i="7"/>
  <c r="G11" i="7"/>
  <c r="E11" i="7"/>
  <c r="K10" i="7"/>
  <c r="I10" i="7"/>
  <c r="G10" i="7"/>
  <c r="E10" i="7"/>
  <c r="K9" i="7"/>
  <c r="I9" i="7"/>
  <c r="G9" i="7"/>
  <c r="E9" i="7"/>
  <c r="P10" i="7" l="1"/>
  <c r="P13" i="7"/>
  <c r="S13" i="7"/>
  <c r="P11" i="7"/>
  <c r="P9" i="7"/>
  <c r="P15" i="7"/>
  <c r="S15" i="7"/>
  <c r="P12" i="7"/>
  <c r="S12" i="7"/>
  <c r="K18" i="7"/>
  <c r="O11" i="7"/>
  <c r="S11" i="7" s="1"/>
  <c r="G18" i="7"/>
  <c r="G107" i="7" s="1"/>
  <c r="I18" i="7"/>
  <c r="I107" i="7" s="1"/>
  <c r="O9" i="7"/>
  <c r="S9" i="7" s="1"/>
  <c r="E18" i="7"/>
  <c r="E107" i="7" s="1"/>
  <c r="O10" i="7"/>
  <c r="S10" i="7" s="1"/>
  <c r="K107" i="7" l="1"/>
  <c r="P107" i="7" s="1"/>
  <c r="P18" i="7"/>
  <c r="O18" i="7"/>
  <c r="O107" i="7" s="1"/>
  <c r="H116" i="1"/>
  <c r="G116" i="1"/>
  <c r="F116" i="1"/>
  <c r="E116" i="1"/>
  <c r="S18" i="7" l="1"/>
  <c r="G36" i="1"/>
  <c r="E36" i="1"/>
  <c r="N36" i="1" s="1"/>
  <c r="G42" i="1"/>
  <c r="E42" i="1"/>
  <c r="N42" i="1" s="1"/>
  <c r="G39" i="1"/>
  <c r="E39" i="1"/>
  <c r="N39" i="1" s="1"/>
  <c r="L22" i="1" l="1"/>
  <c r="K22" i="1"/>
  <c r="J22" i="1"/>
  <c r="I22" i="1"/>
  <c r="H22" i="1"/>
  <c r="G22" i="1"/>
  <c r="F22" i="1"/>
  <c r="F7" i="1"/>
  <c r="G7" i="1"/>
  <c r="H7" i="1"/>
  <c r="I7" i="1"/>
  <c r="J7" i="1"/>
  <c r="K7" i="1"/>
  <c r="M7" i="1" s="1"/>
  <c r="L7" i="1"/>
  <c r="E7" i="1"/>
  <c r="M22" i="1" l="1"/>
  <c r="N7" i="1"/>
  <c r="F74" i="1"/>
  <c r="G74" i="1"/>
  <c r="H74" i="1"/>
  <c r="I74" i="1"/>
  <c r="J74" i="1"/>
  <c r="K74" i="1"/>
  <c r="M74" i="1" s="1"/>
  <c r="L74" i="1"/>
  <c r="E74" i="1"/>
  <c r="O22" i="1"/>
  <c r="N74" i="1" l="1"/>
  <c r="L68" i="1" l="1"/>
  <c r="L45" i="1"/>
  <c r="J68" i="1"/>
  <c r="J45" i="1"/>
  <c r="J43" i="1" s="1"/>
  <c r="H68" i="1"/>
  <c r="H43" i="1" s="1"/>
  <c r="L15" i="1"/>
  <c r="L11" i="1"/>
  <c r="J15" i="1"/>
  <c r="J11" i="1"/>
  <c r="L43" i="1" l="1"/>
  <c r="J78" i="1"/>
  <c r="J132" i="1" s="1"/>
  <c r="H15" i="1"/>
  <c r="H11" i="1"/>
  <c r="E38" i="1"/>
  <c r="L78" i="1" l="1"/>
  <c r="L132" i="1" s="1"/>
  <c r="E22" i="1"/>
  <c r="N22" i="1" s="1"/>
  <c r="N38" i="1"/>
  <c r="H78" i="1"/>
  <c r="H132" i="1" s="1"/>
  <c r="F73" i="1"/>
  <c r="E73" i="1"/>
  <c r="N73" i="1" s="1"/>
  <c r="F72" i="1"/>
  <c r="E72" i="1"/>
  <c r="N72" i="1" s="1"/>
  <c r="K68" i="1"/>
  <c r="I68" i="1"/>
  <c r="G68" i="1"/>
  <c r="G43" i="1" s="1"/>
  <c r="F68" i="1"/>
  <c r="E68" i="1"/>
  <c r="F67" i="1"/>
  <c r="E67" i="1"/>
  <c r="N67" i="1" s="1"/>
  <c r="I45" i="1"/>
  <c r="M45" i="1" s="1"/>
  <c r="F45" i="1"/>
  <c r="E45" i="1"/>
  <c r="K15" i="1"/>
  <c r="I15" i="1"/>
  <c r="G15" i="1"/>
  <c r="F15" i="1"/>
  <c r="E15" i="1"/>
  <c r="K11" i="1"/>
  <c r="I11" i="1"/>
  <c r="G11" i="1"/>
  <c r="F11" i="1"/>
  <c r="E11" i="1"/>
  <c r="M68" i="1" l="1"/>
  <c r="M15" i="1"/>
  <c r="N11" i="1"/>
  <c r="M11" i="1"/>
  <c r="H19" i="9"/>
  <c r="H21" i="9" s="1"/>
  <c r="N45" i="1"/>
  <c r="N68" i="1"/>
  <c r="N15" i="1"/>
  <c r="I43" i="1"/>
  <c r="I78" i="1" s="1"/>
  <c r="I132" i="1" s="1"/>
  <c r="G78" i="1"/>
  <c r="G132" i="1" s="1"/>
  <c r="K43" i="1"/>
  <c r="E43" i="1"/>
  <c r="E78" i="1" s="1"/>
  <c r="E132" i="1" s="1"/>
  <c r="F43" i="1"/>
  <c r="F78" i="1" s="1"/>
  <c r="F132" i="1" s="1"/>
  <c r="K78" i="1" l="1"/>
  <c r="M43" i="1"/>
  <c r="F19" i="9"/>
  <c r="F21" i="9" s="1"/>
  <c r="N43" i="1"/>
  <c r="M78" i="1"/>
  <c r="M132" i="1" s="1"/>
  <c r="I17" i="13"/>
  <c r="M14" i="13"/>
  <c r="K132" i="1" l="1"/>
  <c r="N132" i="1" s="1"/>
  <c r="N78" i="1"/>
  <c r="M17" i="13"/>
  <c r="K27" i="13"/>
  <c r="N27" i="13" s="1"/>
  <c r="L27" i="13"/>
  <c r="J27" i="13"/>
  <c r="G27" i="13"/>
  <c r="I27" i="13"/>
  <c r="I41" i="13" s="1"/>
  <c r="K41" i="13" l="1"/>
  <c r="M27" i="13"/>
  <c r="K19" i="9" l="1"/>
  <c r="K21" i="9" s="1"/>
  <c r="M41" i="13"/>
  <c r="I42" i="14"/>
  <c r="I149" i="14" s="1"/>
  <c r="M26" i="14"/>
  <c r="Q26" i="14" s="1"/>
  <c r="I19" i="9" l="1"/>
  <c r="I21" i="9" s="1"/>
  <c r="M149" i="14"/>
  <c r="M42" i="14"/>
  <c r="Q42" i="14" s="1"/>
  <c r="Q149" i="14" l="1"/>
  <c r="J15" i="13" l="1"/>
  <c r="G15" i="13" s="1"/>
  <c r="E15" i="13" l="1"/>
  <c r="N15" i="13" l="1"/>
  <c r="J16" i="13"/>
  <c r="J17" i="13" s="1"/>
  <c r="J41" i="13" s="1"/>
  <c r="L17" i="13"/>
  <c r="L41" i="13" s="1"/>
  <c r="L19" i="9" s="1"/>
  <c r="L21" i="9" s="1"/>
  <c r="J19" i="9" l="1"/>
  <c r="J21" i="9" s="1"/>
  <c r="G16" i="13"/>
  <c r="G17" i="13" l="1"/>
  <c r="G41" i="13" s="1"/>
  <c r="E16" i="13"/>
  <c r="G19" i="9" l="1"/>
  <c r="G21" i="9" s="1"/>
  <c r="E17" i="13"/>
  <c r="N16" i="13"/>
  <c r="N17" i="13" l="1"/>
  <c r="E41" i="13"/>
  <c r="E19" i="9" s="1"/>
  <c r="E21" i="9" s="1"/>
  <c r="N41" i="13" l="1"/>
</calcChain>
</file>

<file path=xl/comments1.xml><?xml version="1.0" encoding="utf-8"?>
<comments xmlns="http://schemas.openxmlformats.org/spreadsheetml/2006/main">
  <authors>
    <author>Sandra Norbutaitė</author>
  </authors>
  <commentList>
    <comment ref="O10" authorId="0" shapeId="0">
      <text>
        <r>
          <rPr>
            <b/>
            <sz val="9"/>
            <color indexed="81"/>
            <rFont val="Tahoma"/>
            <family val="2"/>
            <charset val="186"/>
          </rPr>
          <t>Sandra Norbutaitė:</t>
        </r>
        <r>
          <rPr>
            <sz val="9"/>
            <color indexed="81"/>
            <rFont val="Tahoma"/>
            <family val="2"/>
            <charset val="186"/>
          </rPr>
          <t xml:space="preserve">
Keistos 1-2 priemonių sumos ir formuluotės; papildyta trečia priemone</t>
        </r>
      </text>
    </comment>
  </commentList>
</comments>
</file>

<file path=xl/sharedStrings.xml><?xml version="1.0" encoding="utf-8"?>
<sst xmlns="http://schemas.openxmlformats.org/spreadsheetml/2006/main" count="1999" uniqueCount="1281">
  <si>
    <t>tūkst. Eur</t>
  </si>
  <si>
    <t>Programa</t>
  </si>
  <si>
    <t>Prognozuojamas vidutinis gavėjų skaičiaus 2018 m. apie 7700 gavėjų /mėn. Gavėjų skaičius ir išlaidos didėja dėl nuo 2018 m. sausio 1 d. keičiamo VRP dydžio (nuo 102 Eur iki 122 Eur). 2017 m.planuojamas gavėjų skaičius -  6371 gavėjas/mėn.
Socialinių pašalpų teikimas nepasiturintiems gyventojams.</t>
  </si>
  <si>
    <t>Nuo 2016-09-30 įsigaliojus Lietuvos Respublikos paramos mirties atveju įstatymo pakeitimui laidojimo pašalpos mirusiojo, nedeklaravusio gyvenamosios vietos Lietuvos Respublikoje artimiesiems mokamos iš valstybės biudžeto (2017-06-14 Tarybos sprendimu Nr. 1-1003 pašalpos mokėjimas iš savivaldybės biudžeto lėšų tvarka panaikinta). 2017 m. III ketv. sąmata panaikinta. Nepanaudotos lėšos perskirstytos socialinėms paslaugoms.</t>
  </si>
  <si>
    <t>Socialinių išmokų kokybiškas teikimas.</t>
  </si>
  <si>
    <t>iš jų:</t>
  </si>
  <si>
    <t>Atsiskaitymams</t>
  </si>
  <si>
    <t>Atsiskaitymams su  AB Lietuvos paštu; išlaidos bankams, teismams;  už socialinės paramos apskaitos sistemos Parama priežiūrą ir modernizavimą (paslaugos teikėjas UAB Nevda).AB Lietuvos pašto išlaidos - 7,3 tūkst. Eur. UAB Nevda - 11,0 tūkst. Eur. Teismo išlaidos - 1,1 tūkst.Eur. Banko išlaidos - 1,2 tūkst. Eur. Techninio darbo projekto parengimo paslauga  - 33,0 tūkst. Eur</t>
  </si>
  <si>
    <t>Socialinių išmokų skyriuje atliekamo patalpų remonto lėšų poreikis darbų tęstinumui 2017 m</t>
  </si>
  <si>
    <t xml:space="preserve">UAB Vilniaus vystymo kompanija įsipareigojo organizuoti visus su statinio projektavimo ir statybos valdymu susijusius darbus, organizuoti viešuosius pirkimus, vykdyti techninę priežiūrą ir atlikti visus kitus būtinus veiksmus.
Socialinių išmokų skyriaus asmenų aptarnavimo centralizavimui Kauno g. 3 įgyvendinti, patalpų remontui (2017-05-25 Mero pavaduotojo pasitarimo Socialinių reikalų ir sveikatos departamento klausimais protokolas Nr. 28-283/17-(1.2.13-T1).
Einamasis remontas – 40,0 tūkst. Eur.
Kapitalinis patalpų remontas (centralizavimui įgyvendinti) – 124,0 tūkst. Eur
Kompiuterinio ir elektros tinklo remonto paslaugos (tiekėjas UAB Elektromonteris) - 0,4 tūkst. Eur. </t>
  </si>
  <si>
    <t>Sutartis dėl keltuvų pirkimo ir įrengimo dar nepasirašyta. Konkursą laimėjusi įmonė informavo, kad keltuvai bus nupirkti ir įrengti 2018 metais.</t>
  </si>
  <si>
    <t>Valgis benamiams</t>
  </si>
  <si>
    <t xml:space="preserve">Asmeninės higienos ir priežiūros paslaugos </t>
  </si>
  <si>
    <t>PSD neapdraustų asmenų gydymo išlaidos</t>
  </si>
  <si>
    <t>Vienišų ir neatpažintų laidojimo išlaidos</t>
  </si>
  <si>
    <t>Kūdikio kraitelis</t>
  </si>
  <si>
    <t>Kasmet socialinės rizikos ir socialinių įgūdžių stokojančiose šeimose vidutiniškai gimsta 75 vaikai, kurių aprūpinimui numatoma skirti po 180 Eur.</t>
  </si>
  <si>
    <t xml:space="preserve"> Dienos centro „Šviesa“ išlaikymas</t>
  </si>
  <si>
    <t>Valakampių socialinių paslaugų namų  išlaikymas</t>
  </si>
  <si>
    <t xml:space="preserve">Programa tęstinė. Lėšų poreikis padidėja: planuojama, kad  Vaikų su negalia dienos globos poskyrį lankys 26 vaikai (4 grupės po 6 vaikus) ir Vaikų su negalia globos (atokvėpio) poskyrį - 4 vaikai (1 grupė).  2017 m. lėšos buvo skirtos Vaikų su negalia dienos globos poskyriui išlaikyti 12 mėn. (2 grupės, 16 vaikų) ir Vaikų su negalia globos poskyriui - 7 mėn. (1 grupė, 4 vaikai).
Planuojama, kad  Vaikų su negalia dienos globos poskyrį lankys 26 vaikai (4 grupės po 6 vaikus) ir Vaikų su negalia globos (atokvėpio) poskyrį - 4 vaikai (1 grupė).  </t>
  </si>
  <si>
    <t>Vilniaus sutrikusio vystymosi kūdikių namų dienos socialinės globos centro išlaikymas</t>
  </si>
  <si>
    <t>Socialinių paslaugų asmenų namuose teikimas</t>
  </si>
  <si>
    <t>Vilniaus miesto krizių centro išlaikymas</t>
  </si>
  <si>
    <t xml:space="preserve">Tarybos 2016-12-07 sprendimu Nr. 1-738 ir Tarybos 2017-03-15 sprendimu Nr. 1-844  Vilniaus Minties vaikų socialinės globos namai (31 paslaugų gavėjas) reorganizuoti ir prijungti prie Vilniaus Žolyno vaikų socialinės globos namų. </t>
  </si>
  <si>
    <t>Socialinių renginių, konferencijų, seminarų, akcijų organizavimas (Departamentas), socialinių darbuotojų dienos minėjimas.
40 proc. Vilniaus socialinių paslaugų įstaigų socialinių darbuotojų ir jų padėjėjų  profesinės kvalifikacijos mokymams organizuoti;  konferencijai, skirtai socialinių darbuotojų dienai paminėti.</t>
  </si>
  <si>
    <t>Šeimos paramos centrai (NVO darbas su soc. rizikos šeimomis)</t>
  </si>
  <si>
    <t xml:space="preserve">Globėjų tarnybos </t>
  </si>
  <si>
    <t>Globėjų (įtėvių) mokymai GIMK</t>
  </si>
  <si>
    <t xml:space="preserve">Maitinimo paslaugos nepasiturintiems asmenims </t>
  </si>
  <si>
    <t>Apnakvindinimo paslaugos soc. rizikos asmenims</t>
  </si>
  <si>
    <t>Asmeninės higienos ir priežiūros paslaugos benamiams ir elgetaujantiems asmenims (dušas)</t>
  </si>
  <si>
    <t>Pagalba slaugant artimuosius namuose</t>
  </si>
  <si>
    <t>Užsieniečių socialinės integracijos rėmimas</t>
  </si>
  <si>
    <t>Vilniaus (Kirtimų) romų taboro bendruomenės integracijos į visuomenę programa</t>
  </si>
  <si>
    <t xml:space="preserve">Vaikų dienos centrų paslaugos vaikams, kuriems skirta minimali priežiūros priemonė lankyti dienos centrą ir vaikams, augantiems soc. rizikos šeimose     </t>
  </si>
  <si>
    <t>Įvyko Vaikų dienos centrų projektų finansavimo 2017 metais konkursas, planuojama skelbti papildomą konkursą dienos centrų problematiškiems paaugliams paslaugoms finansuoti.</t>
  </si>
  <si>
    <t xml:space="preserve">Apgyvendinimo paslaugos moterims ir vaikams  </t>
  </si>
  <si>
    <t>Intensyvios terapijos (korekcijos) paslaugos elgesio ir emocijų sutrikimus turintiems vaikams nuo 6 iki 12 m.</t>
  </si>
  <si>
    <t>Socialinės priežiūros paslaugos 16-21 m. amžiaus jaunuoliams, netekusiems tėvų globos (palydimoji globa)</t>
  </si>
  <si>
    <t>Prekybos žmonėmis prevencija</t>
  </si>
  <si>
    <t>Vykdant valstybinį Kovos su prekyba žmonėmis 2017-2019 m. veiksmų planą numatyta prevencinė, šviečiamoji veikla, mokymai soc. darbuotojams, VTAS specialistams.</t>
  </si>
  <si>
    <t>Dienos socialinės globos paslaugos vaikams, turintiems autizmo ir mišrų sutrikimą</t>
  </si>
  <si>
    <t>Dienos globos paslaugos asmenims su proto negalia</t>
  </si>
  <si>
    <t>Nuo 2017-05-12 paslaugos perkamos iš VšĮ Pal. J. Matulaičio soc. centro 10 asmenų. Paslaugos bus apmokamos iš sąmatos 6000670 (socialinės globos paslaugos vaikams)</t>
  </si>
  <si>
    <t>VšĮ Markučių  dienos veiklos centro finansavimas</t>
  </si>
  <si>
    <t>Vietų skaičius - 63, paslaugų gavėjų - 63. 100 proc. įstaigos veiklos intensyvumas ir užimtumas.</t>
  </si>
  <si>
    <t>Vietų skaičius 60, paslaugų gavėjų 63. 100 proc. įstaigos veiklos intensyvumas ir užimtumas.</t>
  </si>
  <si>
    <t>VšĮ Vyrų krizių ir informacijos centro finansavimas</t>
  </si>
  <si>
    <t>Smurto šeimoje prevencijai ir pagalbai.
VMS tarybos 2017 m. birželio 14 d.  
sprendimu Nr. 1-1002 patvirtinta Prevencijos ir pagalbos smurtą artimoje aplinkoje patyrusiems asmenims 2017–2021 metų programa ir Veiksmų planas. Jame numatyta skirti finansavimą visuomenės švietimui; pagalbai nukentėjusiems nuo smurto vaikams ir suaugusiems asmenims; smurtinio elgesio keitimo priemonėms; mokymams ir kvalifikacijos tobulinimo kursams įvairių sričių specialistams.</t>
  </si>
  <si>
    <t>Skiriant 20 proc. Savivaldybės biudžeto ir 80 proc. valstybės biudžeto lėšų, socialinės reabilitacijos paslaugos bus sutektos  apie 4000 įvairią negalią turinčių asmenų.</t>
  </si>
  <si>
    <t>Pagalbos pinigai globėjams (rūpintojams)</t>
  </si>
  <si>
    <t>Šeimynų finansavimas</t>
  </si>
  <si>
    <t>Vaikų soc.globa institucijose</t>
  </si>
  <si>
    <t>Socialinės paslaugos.
34 globos namuose teikiamos ilgalaikės socialinės globos paslaugos asmenims be sunkios negalios - 327 asm.</t>
  </si>
  <si>
    <t xml:space="preserve"> Lėšų už teikiamas paslaugas surinkimas ir panaudojimas (Dienos centras „Šviesa“)</t>
  </si>
  <si>
    <t>Lėšų už teikiamas paslaugas surinkimas ir panaudojimas (Vilniaus m. vaikų ir jaunimo pensiono išlaikymas)</t>
  </si>
  <si>
    <t xml:space="preserve"> Lėšų už teikiamas paslaugas surinkimas ir panaudojimas (Valakampių socialinių paslaugų namų  išlaikymas)</t>
  </si>
  <si>
    <t>Pirminis finansavimo poreikis projektui 2018 m. iš savivaldybės biudžeto lėšų buvo numatytas 393,7 tūkst. Eur. Savivaldybės dalį pavyko sumažinti, suderinus  su VRM ir SRDM projekto intensyvumą. Savivaldybės lėšų poreikis (15 %) visam projektui - 295 373,07 Eur, likus tai pačiai projekto vertei- 1 969 153,82 Eur.
Savivaldybės dalį pavyko sumažinti 633 101, 70 Eur su VRM ir SRDM suderinus projekto intensyvumą.</t>
  </si>
  <si>
    <t>iš jų</t>
  </si>
  <si>
    <t>biudžeto lėšos</t>
  </si>
  <si>
    <t>2017  m. patvirtintas planas</t>
  </si>
  <si>
    <t>2017 m. patikslintas planas*</t>
  </si>
  <si>
    <t>2018 m. biudžeto poreikis</t>
  </si>
  <si>
    <t xml:space="preserve"> biudžeto lėšos</t>
  </si>
  <si>
    <t>2018 m. biudžeto projektas</t>
  </si>
  <si>
    <t>02010101</t>
  </si>
  <si>
    <t xml:space="preserve">02010102 </t>
  </si>
  <si>
    <t>02020101</t>
  </si>
  <si>
    <t>02020102</t>
  </si>
  <si>
    <t xml:space="preserve">02020103 </t>
  </si>
  <si>
    <t xml:space="preserve">02020107  </t>
  </si>
  <si>
    <t xml:space="preserve">02020201 </t>
  </si>
  <si>
    <t xml:space="preserve">02020202 </t>
  </si>
  <si>
    <t xml:space="preserve">02020301 </t>
  </si>
  <si>
    <t xml:space="preserve"> Vilniaus m. vaikų ir jaunimo pensiono išlaikymas</t>
  </si>
  <si>
    <t xml:space="preserve"> Fabijoniškių socialinių paslaugų namų išlaikymas</t>
  </si>
  <si>
    <t xml:space="preserve">
Vilniaus miesto nakvynės namų išlaikymas</t>
  </si>
  <si>
    <t>Uždavinys/priemonė</t>
  </si>
  <si>
    <t>Nr.</t>
  </si>
  <si>
    <t>Socialinės apsaugos plėtojimas, skurdo bei socialinės atskirties mažinimas</t>
  </si>
  <si>
    <t>02</t>
  </si>
  <si>
    <t>pavadinimas</t>
  </si>
  <si>
    <t xml:space="preserve">02020302 </t>
  </si>
  <si>
    <t xml:space="preserve">
Vilniaus Žolyno vaikų socialinės globos namų išlaikymas</t>
  </si>
  <si>
    <t xml:space="preserve">'02020303 </t>
  </si>
  <si>
    <t xml:space="preserve">
Vilniaus Minties vaikų socialinės globos namų išlaikymas</t>
  </si>
  <si>
    <t xml:space="preserve">'02020304 </t>
  </si>
  <si>
    <t xml:space="preserve">
Vilniaus Antakalnio vaikų socialinės globos namų išlaikymas</t>
  </si>
  <si>
    <t xml:space="preserve">02020305 </t>
  </si>
  <si>
    <t xml:space="preserve">02020306 </t>
  </si>
  <si>
    <t xml:space="preserve">
Socialinės paramos centro išlaikymas</t>
  </si>
  <si>
    <t xml:space="preserve">02020401 </t>
  </si>
  <si>
    <t xml:space="preserve">02030102 </t>
  </si>
  <si>
    <t>02030110</t>
  </si>
  <si>
    <t>Lėšų už teikiamas paslaugas surinkimas ir panaudojimas (Fabijoniškių socialinių paslaugų namų išlaikymas)</t>
  </si>
  <si>
    <t xml:space="preserve">02020501 </t>
  </si>
  <si>
    <t>Lėšų už teikiamas paslaugas surinkimas ir panaudojimas (Vilniaus miesto krizių centro išlaikymas)</t>
  </si>
  <si>
    <t>Lėšų už teikiamas paslaugas surinkimas ir panaudojimas (Vilniaus miesto nakvynės namų išlaikymas)</t>
  </si>
  <si>
    <t>Lėšų už teikiamas paslaugas surinkimas ir panaudojimas (Socialinės paramos centro išlaikymas)</t>
  </si>
  <si>
    <t>Mokėti socialines išmokas ir kompensacijas, iš jų:</t>
  </si>
  <si>
    <t>Socialinės pašalpos socialiai pažeidžiamiems asmenims</t>
  </si>
  <si>
    <t>Laidojimo pašalpos mirusiojo, nedeklaravusio gyvenamosios vietos Lietuvos Respublikoje, artimiesiems</t>
  </si>
  <si>
    <t>Socialinės paramos teikimas pašalpų forma, siekiant padengti žmonių išlaidas už būsto šildymą, karštą ir geriamąjį vandenį, kreditą bei palūkanas</t>
  </si>
  <si>
    <t>Vienkartinės pašalpos</t>
  </si>
  <si>
    <t>02030101</t>
  </si>
  <si>
    <t>Socialinių projektų finansavimas, organizacijų rėmimas ir socialinių paslaugų pirkimas, iš jų:</t>
  </si>
  <si>
    <t>Socialinių renginių, konferencijų, seminarų, akcijų organizavimas</t>
  </si>
  <si>
    <t>NVO socialinių projektų finansavimas, iš jų:</t>
  </si>
  <si>
    <t>Smurto šeimoje prevencija ir pagalba</t>
  </si>
  <si>
    <t>Socialinės reabilitacijos paslaugos neįgaliems žmonėms bendruomenėje</t>
  </si>
  <si>
    <t>Socialinės globos paslaugos senyvo amžiaus ir neįgaliems  bei  perkamos paslaugos</t>
  </si>
  <si>
    <t>Vaikų globos sistemos pertvarka</t>
  </si>
  <si>
    <t>Socialinių paslaugų įstaigų rekonstrukcija, renovacija bei materialinės bazės atnaujinimas, iš jų:</t>
  </si>
  <si>
    <t>Intensyvios terapijos (korekcijos) centro emocijų ir elgesio sutrikimų turintiems vaikams įkūrimas (Svajonių g. 56)</t>
  </si>
  <si>
    <t>Nakvynės namų A. Kojelavičiaus g. 50 rekonstrukcija</t>
  </si>
  <si>
    <t xml:space="preserve">Labdaros valgyklos Gardino g. 2 rekonstrukcija </t>
  </si>
  <si>
    <t xml:space="preserve"> Teikti vienkartinę paramą socialiai remtiniems asmenims, iš jų:</t>
  </si>
  <si>
    <t>02010103</t>
  </si>
  <si>
    <t>Socialinės globos paslaugos vaikams, iš jų:</t>
  </si>
  <si>
    <t>Archyve dirbančių darbuotojų darbo sąlygų gerinimui (keltuvo įrengimas)</t>
  </si>
  <si>
    <t>Poreikis DUF ir socialinio draudimo įmokoms didėja  173,0 tūkst. Eur pagal 2017-01-17 LR Valstybės ir savivaldybių įstaigų darbuotojų darbo apmokėjimo įstatymą Nr.XIII-198 ir vykdant Mero pavaduotojo pasitarimo Socialinių reikalų ir sveikatos departamento klausimais protokolinį pavedimą (2017-10- protokolas Nr. 28-439/17(1.2.13-T1)). Daugiau lėšų 2018 metams reikės, nes įstaigos socialiniai darbuotojai jauno amžiaus, didesnė dalis jų studijuoja, tad baigus studijas bei pristačius diplomus, reikės perskaičiuot šių darbuotojų darbo užmokestį. Taip pat, didės, kai kurių darbuotojų darbo stažas, todėl reikės skaičiuoti darbo užmokestį pagal kitas lenteles (pagal darbo stažą). Be to darbuotojai bus įvertinti iškėlus metinius uždavinius. Jei daug darbuotojų bus įvertinti gerai arba l. gerai, - reikės papildomų lėšų kintamajai daliai mokėti. 2018 metais neplanuojamos lėšos darbo užmokesčiui iš tikslinės dotacijos lėšų , 2017 metams šioje sąmatoje yra patvirtinta darbo užmokesčiui 10,0 tūkst. Eurų.
41 paslaugų gavėjas.  2018 m. projekte planuojama: DUF ir socialinio draudimo įmokos - 667,3 tūkst. Eur, prekės ir paslaugos - 82,3 tūkst. Eur, 1,9 tūkst. Eur darbdavio socialinė parama pinigais.</t>
  </si>
  <si>
    <t>Poreikis DUF ir socialinio draudimo įmokoms didėja 166,6  tūkst. Eur pagal 2017-01-17 LR Valstybės ir savivaldybių įstaigų darbuotojų darbo apmokėjimo įstatymą Nr.XIII-198 ir vykdant Mero pavaduotojo pasitarimo Socialinių reikalų ir sveikatos departamento klausimais protokolinį pavedimą (2017-10- protokolas Nr. 28-439/17(1.2.13-T1)). Ilgalaikio materialiojo turto einamajam remontui 2018 m. planuojama asignavimų 58,0 tūkst. Eur daugiau. Planuojamas pastato (Vytenio g.) I ir III aukštų bei  stogo remontas
Vietų skaičius - 103; paslaugų gavėjų - 527 (130 laikino apnakvindinimo Paramos moterims ir šeimai tarnyboje; 179 apgyvendinimo; 199 - trumpalaikės globos vaikams; 19 - laikino apnakvindinimo krizinėse situacijose atsidūrusioms moterims ir vaikams). 100 proc. vietų užimtumas ir įstaigos veiklos intensyvumas.  2018 m. projekte planuojama: DUF ir socialinio draudimo įmokos - 699,0 tūkst. Eur, prekės ir paslaugos - 166,0 tūkst. Eur, darbdavio socialinė parama pinigais - 1,9 tūkst. Eur.</t>
  </si>
  <si>
    <t>Poreikis DUF ir socialinio draudimo įmokoms didėja  187,9 tūkst. Eur pagal 2017-01-17 LR Valstybės ir savivaldybių įstaigų darbuotojų darbo apmokėjimo įstatymą Nr.XIII-198 ir vykdant Mero pavaduotojo pasitarimo Socialinių reikalų ir sveikatos departamento klausimais protokolinį pavedimą (2017-10- protokolas Nr. 28-439/17(1.2.13-T1)).
Vietų skaičius - 74; paslaugų gavėjų  95 (34 dienos socialinės globos; 16 trumpalaikės globos; 45 apgyvendinimo savarankiško gyvenimo namuose). 100 proc. vietų užimtumas ir įstaigos veiklos intensyvumas. Finansavimas: DUF ir socialinio draudimo įmokos - 502,4 tūkst. Eur, prekės ir paslaugos - 22,2 tūkst. Eur., darbdavio socialinė parama pinigais 0,6 tūkst. Eur.</t>
  </si>
  <si>
    <t>Poreikis DUF ir socialinio draudimo įmokoms didėja  212,4 tūkst. Eur pagal 2017-01-17 LR Valstybės ir savivaldybių įstaigų darbuotojų darbo apmokėjimo įstatymą Nr.XIII-198 ir vykdant Mero pavaduotojo pasitarimo Socialinių reikalų ir sveikatos departamento klausimais protokolinį pavedimą (2017-10- protokolas Nr. 28-439/17(1.2.13-T1))
Vietų skaičius - 97; paslaugų gavėjų - 135 (39 ilgalaikės socialinės globos; 42 trumpalaikės globos; 44 apgyv. savarankiško gyvenimo namuose; 10 grupinio gyvenimo namuose). 100 proc. vietų užimtumas ir įstaigos veiklos intensyvumas.  2018 m. projekte planuojama: DUF ir socialinio draudimo įmokos - 760,0 tūkst. Eur.</t>
  </si>
  <si>
    <t>Poreikis DUF ir socialinio draudimo įmokoms didėja  157,4 tūkst. Eur pagal 2017-01-17 LR Valstybės ir savivaldybių įstaigų darbuotojų darbo apmokėjimo įstatymą Nr.XIII-198 ir vykdant Mero pavaduotojo pasitarimo Socialinių reikalų ir sveikatos departamento klausimais protokolinį pavedimą (2017-10- protokolas Nr. 28-439/17(1.2.13-T1)).
Vietų skaičius - 76; paslaugų gavėjai: 75 ilgalaikės socialinės globos paslaugos; 10 trumpalaikės globos; 3 dienos globos. 100 proc. vietų užimtumas ir įstaigos veiklos intensyvumas.  2018 m. projekte planuojama:: DUF ir, socialinio draudimo įmokos - 745,3 tūkst. Eur.</t>
  </si>
  <si>
    <t>Poreikis DUF ir socialinio draudimo įmokoms didėja  211,1 tūkst. Eur pagal 2017-01-17 LR Valstybės ir savivaldybių įstaigų darbuotojų darbo apmokėjimo įstatymą Nr.XIII-198 ir vykdant Mero pavaduotojo pasitarimo Socialinių reikalų ir sveikatos departamento klausimais protokolinį pavedimą (2017-10- protokolas Nr. 28-439/17(1.2.13-T1)). Didėja išlaidos mitybai 3,0 tūkst. Eur, nes padidėjo lankytojų skaičius ir didėja maisto produktų kainos. Didėja transporto išlaikymo išlaidos 1,2 tūkst.Eur dėl padidėjusio lankytojų skaičiaus, padaugėjus nuvažiuojamų km , pabrangusio kuro ir dažno automobilių remonto.
Vietų skaičius - 72; paslaugų gavėjų  - 103 (87 dienos socialinės globos, 16 trumpalaikės globos).  100 proc. vietų užimtumas ir įstaigos veiklos intensyvumas. 2018 m. projekte planuojama: DUF ir socialinio draudimo įmokos - 693,7 tūkst. Eur, prekės ir paslaugos - 47,0 tūkst. Eur, socialinės išmokos - 3,2 tūkst. Eur.</t>
  </si>
  <si>
    <t>Poreikis DUF ir soc. draudimo įmokoms didėja  702,1 tūkst. Eur pagal 2017-01-17 LR Valstybės ir savivaldybių įstaigų darbuotojų darbo apmokėjimo įstatymą Nr.XIII-198 ir vykdant Mero pavaduotojo pasitarimo Socialinių reikalų ir sveikatos departamento klausimais protokolinį pavedimą (2017-10- protokolas Nr. 28-439/17(1.2.13-T1)). Vadovaujantis šiuo įstatymu, atsižvelgiant į darbuotojų išsilavinimą ir stažą, atsiranda galimybė objektyviau skirti pagrindinės darbo užmokesčio dalies koeficientą. Dėl teigiamų pokyčių išbrauktų iš socialinės rizikos šeimų sąrašo skaičius - 10 proc. didesnis negu 2017 m. Dėl intensyvesnio darbo su socialinės rizikos šeimomis paimtų iš pavojingų sąlygų vaikų bei įrašytų į socialinės rizikos šeimų sąrašą skaičius didės 10 proc. Vietų skaičius apgyvendinimo savarankiško gyvenimo namuose - 28; paslaugų gavėjų - 33. Specialiųjų poreikių lygio nustatymas - 1400 asm.; neįgaliojo pažymėjimo išdavimas - 2000 asm.; socialinės globos ir socialinės priežiūros paslaugų poreikio nustatymas - 290; finansinių galimybių mokėti už socialines paslaugas vertinimas - 700; buities ir gyvenimo sąlygų patikrinimo aktų dėl globos (rūpybos) nustatymo sudarymas - 250 aktų; globos (rūpybos) kontrolės vykdymas - 800 asm. 40 proc. psichikos negalią turinčių neįgaliųjų,  kuriems teikiamos dienos centro paslaugos, įsidarbins; 20 proc. - užsiregistruos darbo biržoje; 10 proc. - dalyvaus profesinės reabilitacijos programose. Transporto paslaugų gavėjų skaičius - 336.  2018 m. projekte planuojama: DUF ir socialinio draudimo įmokos - 2304,6 tūkst. Eur, prekės ir paslaugos - 49,7 tūkst. Eur, darbdavio socialinė parama pinigais - 1,2 tūkst. Eur.</t>
  </si>
  <si>
    <t>Vykdyti kokybišką teisės aktais numatytų socialinių išmokų ir kompensacijų mokėjimą (Socialinių išmokų ir kompensacijų mokėjimo administravimas), iš jų:</t>
  </si>
  <si>
    <t>*2017-10-25 Tarybos sprendimu Nr. 1-1192</t>
  </si>
  <si>
    <t>Poreikis DUF ir socialinio draudimo įmokoms didėja 244,8 tūkst. Eur pagal 2017-01-17 LR Valstybės ir savivaldybių įstaigų darbuotojų darbo apmokėjimo įstatymą Nr.XIII-198 ir vykdant Mero pavaduotojo pasitarimo Socialinių reikalų ir sveikatos departamento klausimais protokolinį pavedimą (2017-10- protokolas Nr. 28-439/17(1.2.13-T1)) ir dėl DUF ir socialinio draudimo įmokų padidėjimo, įsteigus soc.tarnybos  papildomas pareigybes nuo 2017-07-01. Dėl "Vilniečio" kortelių papildymo metams finansavimo poreikis didėja 25,5 tūkst. Eur.
Vietų skaičius - 300; paslaugų gavėjų 5817 (210 v. - 328 asm.; 60 v. - 468 asm.; 30 v. "Sala" - 5021 asm.).  2018 m. projekte planuojama: DUF ir socialinio draudimo įmokos - 983,5 tūkst. Eur, prekės ir paslaugos - 163,5 tūkst. Eur, 3,0 tūkst. Eur - darbdavio socialinė parama pinigais.</t>
  </si>
  <si>
    <t>Poreikis DUF ir socialinio draudimo įmokoms padidėjo 586,7 tūkst. Eur, nes  nuo 2017.06.01 prie Žolyno vaikų socialinės globos namų prijungti Minties vaikų socialinės globos namai. Padidėjo darbuotojų sk.  nuo 27 pareigybių iki 63. Padidėjo globotinių sk. nuo 30 vaikų iki 60. Tuo pačiu išaugo ir išlaidos skirtos globotinų išlaikymui mitybai bei medikamentams 96,7 tūkst. Eur. Taip pat išaugo išlaidos ir darbuotojų sveikatos tikrinimui.Transporto išlaikymui reikalingos papildomos lėšos , nes padidėjo transporto ūkis: išaugo naudojamų automobilių skaičius, tam reikalingos lėšos kurui bei transporto remontui ir  draudimui 6,7 tūkst. Eur. Pagal patvirtintus maksimalius normatyvus aprangai ir patalynei bei spaudiniams  padidėjus globotinių skaičiui, išaugo ir poreikis išlaidoms 6,2 tūkst. Eur. Kitoms prekėms padidėjusi išlaidų suma bus skirta dar 2 šeimynų įsikūrimui. Bus perkami baldai, buitinė technika,santechnikos įranga, įvairios namų apyvokos bei ūkinės  prekės reikalingos įrengti būstus, reikalinga papildomai 38,9 tūkst. Eur. Padidėjo šeimynų skaičius nuo 3 iki 7. Šeimynos gyvena atskiruose butuose. Reikia papildomai finansavimo už komunalines paslaugas apmokėti 50,3 tūkst. Eur.
100 proc. Žolyno vaikų socialinės globos namų vaikų gyvena bendruomenėje. Finansavimas: DUF socialinio draudimo įmokos -  846,6 tūkst. Eur, prekės ir paslaugos - 173,8 tūkst. Eur.</t>
  </si>
  <si>
    <t>Socialinių paslaugų biudžetinių įstaigų išlaikymas, iš jų:</t>
  </si>
  <si>
    <t>03</t>
  </si>
  <si>
    <t xml:space="preserve"> Sveikatos apsauga</t>
  </si>
  <si>
    <t>03010101</t>
  </si>
  <si>
    <t>Sveikos gyvensenos politikos formavimas. Sveikatos apsaugos, užkrečiamų ir neinfekcinių ligų profilaktikos ir kontrolės, priklausomybės ligų ir psichikos sveikatos prevencijos programų įgyvendinimas</t>
  </si>
  <si>
    <t>03010301</t>
  </si>
  <si>
    <t>Lėšų už teikiamas paslaugas surinkimas ir panaudojimas</t>
  </si>
  <si>
    <t>03010403</t>
  </si>
  <si>
    <t>Vilniaus miesto savivaldybės visuomenės sveikatos biuro išlaikymas</t>
  </si>
  <si>
    <t>03010501</t>
  </si>
  <si>
    <t>Sveikatos priežiūros įstaigų reorganizavimas, rekonstravimas, renovavimas ir materialinės bazės atnaujinimas</t>
  </si>
  <si>
    <t>iš jų skoloms mokėti:</t>
  </si>
  <si>
    <t>VšĮ Vilniaus miesto klinikinės ligoninės Operacinių, reanimacijos ir hemodializės bloko Antakalnio g. 57, Vilniuje, įrengimas</t>
  </si>
  <si>
    <t>Svarstyti klausimą padidinti asignavimus.</t>
  </si>
  <si>
    <t>Šeimos gydytojų kabinetų įkūrimas atitolusiose nuo poliklinikų teritorijojese</t>
  </si>
  <si>
    <t>Socialinių reikalų ir sveikatos departamento viešųjų įstaigų reorganizacija, restruktūrizacija, renovacija ir medicininės įrangos įsigijimas</t>
  </si>
  <si>
    <t>iš jų skoloms dengti:</t>
  </si>
  <si>
    <t>'3010501095</t>
  </si>
  <si>
    <t>VŠĮ Vilniaus miesto klinikinės ligoninės Operacinių, reanimacijos ir hemodializės bloko Antakalnio g. 57, Vilniuje įrengimas</t>
  </si>
  <si>
    <t>Projektas VšĮ Lazdynų poliklinikos pastatų Erfurto g. 15, Vilniuje, išorinių atitvarų renovacija</t>
  </si>
  <si>
    <t>Viešosios įstaigos Vilniaus miesto klinikinės ligoninės Centrinės sterilizacinės Antakalnio g. 57, Vilniuje, rekonstrukcija</t>
  </si>
  <si>
    <t>Projektas baigtas.</t>
  </si>
  <si>
    <t>Nauja priemonė</t>
  </si>
  <si>
    <t xml:space="preserve"> VšĮ VMKL Antakalnio klinikos (Antakalnio g. 124) renovacija</t>
  </si>
  <si>
    <t>Investicijų programos nauja priemonė. Siekiama suremontuoti patalpas (7258,9 kv.m.), pakeisti vandentiekį ir nuotekų vamzdyną, ventiliacijos sistemą, elektros instaliaciją, dalį langų ir stogą. Atnaujinti medicinos įrangą.</t>
  </si>
  <si>
    <t xml:space="preserve"> VšĮ Mykolo Marcinkevičiaus ligoninės vandentiekio ir ūkio buities nuotekynės sistemos rekonstrukcija (remontas) </t>
  </si>
  <si>
    <t xml:space="preserve"> VšĮ Naujininkų poliklinikos pastato stogo ir sienų renovacija</t>
  </si>
  <si>
    <t>Apšiltinti ir naujai nutinkuoti bei nudažyti pastato išorės sienas, pakeisti stogo dangą.</t>
  </si>
  <si>
    <t xml:space="preserve"> VšĮ Grigiškių sveikatos priežiūros centro ūkio paskirties pastato pritaikymas administracinėms reikmėms.</t>
  </si>
  <si>
    <t xml:space="preserve"> VšĮ Grigiškių sveikatos priežiūros centro ūkio paskirties pastato pritaikymas administracinėms reikmėms. Po ūkinio pastato rekonstrukcijos, pastate įsikurtų administracija, buhalterija, kasa, įstaigos bendras skyrius, būtų įrengtas garažas, posėdžių salė, kitos ūkinės patalpos.  Bendras plotas sudarytų 330 kvad. m. Likusias laisvas patalpas ambulatorijos pastate būtų pritaikytos asmens sveikatos paslaugoms teikti. Pagerėtų teikiamų paslaugų kokybė,  padidėtų palaikomojo gydymo ir slaugos lovų skaičius. 2016 metais  parengtas  ūkinio pastato rekonstrukcijos projektas (priešprojektiniai pasiūlymai).</t>
  </si>
  <si>
    <t xml:space="preserve"> VšĮ Lazdynų poliklinikos veiklos koncentravimas, modernizuojant asmens sveikatos priežiūros paslaugų prieinamumą</t>
  </si>
  <si>
    <t>Projekto tikslas koncentruoti VšĮ Lazdynų poliklinikos veiklą viename pastate ir didinti veiklos efektyvumą pagal valstybės strateginius dokumentus ir pacientų bei darbuotojų poreikius, kad užtikrinti vaikų ir senyvo amžiaus pacientų bei darbuotojų saugumą bei sveikatingumo rodiklius, optimizuoti paslaugų prieinamumą ir jų teikimo kokybę.</t>
  </si>
  <si>
    <t xml:space="preserve"> VšĮ Šeškinės poliklinikos sterilizacinės patalpų įrengimas ir sterilizacijos ir dezinfekcijos įrangos įsigijimas</t>
  </si>
  <si>
    <t>Atnaujinti įstaigos infrastruktūra – atlikti centrinės sterilizacinės patalpų (100 kv. m.) kapitalinį remontą ir įsigyti šiuolaikišką medicininių priemonių plovimo, dezinfekcijos ir sterilizacijos įrangą (vienas komplektas), kad išvengti kryžminės taršos,  sukurti infrastruktūrą, kuri užtikrins saugių ir kokybiškų medicinos paslaugų teikimą, padidins teikiamų paslaugų saugą, kokybę ir prieinamumą, pagerins įstaigos darbuotojų darbo sąlygas.</t>
  </si>
  <si>
    <t xml:space="preserve"> VšĮ Karoliniškių poliklinikos Pilaitės šeimos medicinos centro plėtra</t>
  </si>
  <si>
    <t xml:space="preserve"> Pagal parengtą techninį projektą pastatas turėjo būti „L“ formos, tačiau statybų metu pastatas buvo padalintas į dvi dalis ir įgyvendintas tik vienos dalies patalpų, skirtų VšĮ Karoliniškių poliklinikos Pilaitės šeimos gydytojų skyriaus įrengimui (616 kv.m.). Pilaitės mikrorajonas vienas iš dinamiškiausiai augančių mikrorajonų Vilniaus mieste. Siekiant užtikrinti kuo platesnį kokybiškų paslaugų spektrą bei pagerinti paslaugų efektyvumą ir prieinamumą būtina pastatyti Pilaitės šeimos medicinos skyriaus priestatą  ir jį įrengti (darbo vietų įrengimas ir naujos medicinos technikos įsigijimas).</t>
  </si>
  <si>
    <t xml:space="preserve"> VšĮ Vilkpėdės ligoninės priestato statyba ir sujungimas su "C" korpusu</t>
  </si>
  <si>
    <t>Įgyvendinus projektą įrengti slaugos ir palaikomojo gydymo palatų zoną (iki 64 lovų), patalpų bloką su laiptine, liftu, slaugytojų postais, personalo sanitarines patalpos, dušus, virtuvėles ir kt. (nauja statyba 1683,82 kv.m.). Yra parengtas projektas, gautas statybos leidimas.</t>
  </si>
  <si>
    <t xml:space="preserve"> VšĮ Vilniaus miesto klinikinės ligoninės Invazinės radiologijos ir endoprotezavimo skyriaus remontas.</t>
  </si>
  <si>
    <t xml:space="preserve"> VšĮ Vilkpėdės ligoninės A korpuso energetinio efektyvumo didinimas</t>
  </si>
  <si>
    <t>VšĮ Vilniaus miesto klinikinės ligoninei skaitmeninio rentgeno aparato įsigijimas</t>
  </si>
  <si>
    <t>Vadovaujantis LR SAM 2017-07-20 įsakymu Nr. V-889 „Dėl Lietuvos Respublikos sveikatos apsaugos ministro 2015 m. liepos 24 d. įsakymo Nr. V-881 „Dėl radiologijos ambulatorinių asmens sveikatos priežiūros paslaugų teikimo reikalavimų aprašo patvirtinimo“ pakeitimo“ nuostatomis, stacionarines asmens sveikatos priežiūros paslaugas teikiančios asmens sveikatos priežiūros įstaigos turės užtikrinti nurodytus radiologijos asmens sveikatos priežiūros paslaugų teikimo reikalavimus ir turėti stacionarią skaitmeninę rentgeno diagnostikos įrangą kiekvienu veiklos adresu.
Siekiant, kad VšĮ VMKL Antakalnio klinika atitiktų LR SAM įsakyme patvirtintus reikalavimus bei atsižvelgiant į tai, kad šiuo metu VšĮ VMKL Antakalnio klinikoje rentgeno diagnostiniai tyrimai atliekami naudojant 2002 metais pagamintą stacionarų rentgeno diagnostikos aparatą Mercury-332, kuris techniškai bei morališkai pasenęs ir neatitinka tyrimų kokybės ir saugumo šiuolaikinių rekomendacijų, reikalinga jį pakeisti nauju.</t>
  </si>
  <si>
    <t>VšĮ Vilniaus miesto klinikinės ligoninės  personalo ir lankytojų drabužinių patalpų remonto darbai bei persirengimo spintelių įsigijimas</t>
  </si>
  <si>
    <t>03010502</t>
  </si>
  <si>
    <t>Sveikatos priežiūros  įstaigų veiklų ir inovacijų, socialinių ir ugdymo paskatų bei projektų finansavimas</t>
  </si>
  <si>
    <t>03010504</t>
  </si>
  <si>
    <t>Greitosios medicinos pagalbos užtikrinimas kultūriniuose renginiuose Vilniaus mieste</t>
  </si>
  <si>
    <t>Užtikrintos GMPS paslaugos savivaldybės rengiamuose renginiuose.</t>
  </si>
  <si>
    <t>03010505</t>
  </si>
  <si>
    <t>Pasaulio sveikatos dienos renginių organizavimas ir rėmimas</t>
  </si>
  <si>
    <t>03010601</t>
  </si>
  <si>
    <t>Vilniaus sutrikusio vystymosi kūdikių namų išlaikymas</t>
  </si>
  <si>
    <t>BĮ  Vilniaus  sutrikusio  vystymosi  kūdikių  namai organizuoja  ir  teikia  kūdikiams nuo gimimo ir vaikams  iki  4  metų  amžiaus  bei vaikams  su  negalia  iki  7  metų amžiaus antrines ambulatorines asmens  sveikatos  priežiūros, vaikų raidos sutrikimų ankstyvosios reabilitacijos, socialinės globos ir ugdymo paslaugas. Vilniaus regione sutrikusio vystymosi kūdikiams, vaikams bus užtikrinta medicininė slauga ir asmens sveikatos priežiūra. Mažės vaikų neįgalumas ir raidos sutrikimai, gerės jų sveikata, lavės intelektas, tobulės vaikų įgūdžiai. Kūdikių ir vaikų, Vilniaus sutrikusio vystymosi  kūdikių namuose, dienų skaičius - 18250 dienų praleistų kūdikių namuose. 2018 m. priemonė iš savivaldybės biudžeto lėšų bus finansuojama iš 02 programos.</t>
  </si>
  <si>
    <t>Iš viso 03 programai</t>
  </si>
  <si>
    <t>iš jų skoloms dengti</t>
  </si>
  <si>
    <t>Iš viso 02 programai:</t>
  </si>
  <si>
    <t>Iš jų</t>
  </si>
  <si>
    <t>Skirtumas
+/-
(11-5)</t>
  </si>
  <si>
    <t>Skirtumas
+/-
(11-7)</t>
  </si>
  <si>
    <t>KPI (pagr. veiklos rodikliai), nurodant išmatuojamus tikslus, kurie bus pasiekti panaudojus 2018 m. projekte numatytas lėšas</t>
  </si>
  <si>
    <t>16</t>
  </si>
  <si>
    <t xml:space="preserve"> Savivaldybės veiklos pagrindinių funkcijų vykdymo strategijos formavimas ir įgyvendinimas</t>
  </si>
  <si>
    <t>Iš viso 16 programai</t>
  </si>
  <si>
    <t>Iš viso 11 programai</t>
  </si>
  <si>
    <t>04</t>
  </si>
  <si>
    <t>Vaikų ir jaunimo socializacija</t>
  </si>
  <si>
    <t>Jaunimo, su jaunimu dirbančių orgranizacijų programų ir renginių, skirtų jaunimui, finansavimas</t>
  </si>
  <si>
    <t>Vilniaus miesto jaunimo reikalų tarybos ir jos renginių, Lietuvos moksleivių parlamento veiklos finansavimas</t>
  </si>
  <si>
    <t>Vilniaus miesto jaunimo reikalų tarybos ir jos renginių, Lietuvos moksleivių parlamento veiklos finansavimas.</t>
  </si>
  <si>
    <t>Jaunimo atvirų centrų steigimo ir veiklos finansavimas</t>
  </si>
  <si>
    <t>Neformalaus ugdymo įstaigų veiklos finansavimas ir plėtra</t>
  </si>
  <si>
    <t>Moksleivių pilietiškumo ir savivaldos ugdymas</t>
  </si>
  <si>
    <t>Lėšos būtų skirtos Moksleivių politinio ugdymo programai Vilniaus m.  Įgyvendinti. Nepanaudotas 2017 m. lėšas esant galimybei prašoma perkelti į 2018 m.</t>
  </si>
  <si>
    <t>Mokamų paslaugų teikimas ir lėšų panaudojimas, tėvų mokesčio surinkimas jaunimo politiką įgyvendinančiose ir neformaliojo švietimo įstaigose</t>
  </si>
  <si>
    <t>Tyrimų, galimybių studijų, analizių, strategijų rengimo finansavimas</t>
  </si>
  <si>
    <t>Lėšų likučiai iš biudžetinių įstaigų pajamų įmokų už paslaugas</t>
  </si>
  <si>
    <t>Lėšų likučiai iš biudžetinių įstaigų pajamų įmokų už turto nuomą</t>
  </si>
  <si>
    <t>Iš viso 04 programai:</t>
  </si>
  <si>
    <t>Administracijos, Tarybos ir seniūnijų darbo organizavimas</t>
  </si>
  <si>
    <t>Savivaldybės turto ir finansų valdymas, darbo rinkos politikos priemonių įgyvendinimas</t>
  </si>
  <si>
    <t xml:space="preserve">Energetinių ir komunalinių objektų statybos, rekonstrukcijos, remonto ir priežiūros darbų organizavimas </t>
  </si>
  <si>
    <t xml:space="preserve">Kultūros, švietimo ir sporto sistemos valdymas, plėtros krypčių formavimas </t>
  </si>
  <si>
    <t>Savivaldybės veiklos pagrindinių funkcijų vykdymo strategijos formavimas ir įgyvendinimas</t>
  </si>
  <si>
    <t>Subalansuotos miesto plėtros politikos formavimas ir įgyvendinimo organizavimas</t>
  </si>
  <si>
    <t>Sveikatos, socialinės apsaugos ir vaikų teisių apsaugos sistemos valdymas, kontrolė ir plėtra</t>
  </si>
  <si>
    <t>LR Civiliniu kodeksu priskirtas civilinės būklės aktų registravimas</t>
  </si>
  <si>
    <t>Socialinių išmokų, pašalpų ir kompensacijų administravimas</t>
  </si>
  <si>
    <t>LR Valstybinės kalbos komisijos statuso įstatyme numatyta valstybinės kalbos vartojimo ir taisyklingumo kontrolė</t>
  </si>
  <si>
    <t>LR Archyvų įstatyme savivaldybėms priskirtų archyvinių dokumentų tvarkymas</t>
  </si>
  <si>
    <t>Žemės ūkio klausimų koordinavimas</t>
  </si>
  <si>
    <t>Valstybės garantuojamos pirminės teisinės pagalbos teikimas</t>
  </si>
  <si>
    <t>Surengti užsienio šalių svečių protokolinius priėmimus, organizuoti renginius</t>
  </si>
  <si>
    <t>Dalyvauti tarptautinių organizacijų ir LSA veikloje</t>
  </si>
  <si>
    <t>Visuomenės informavimas apie Savivaldybės veiklą, informacijos monitoringas</t>
  </si>
  <si>
    <t>Teismų išlaidų apmokėjimas</t>
  </si>
  <si>
    <t>Seniūnijų veikla</t>
  </si>
  <si>
    <t>Antakalnio bendruomenės kultūrinės veiklos plėtra</t>
  </si>
  <si>
    <t>Antakalnio seniūnijos teritorijos priežiūra ir atnaujinimas</t>
  </si>
  <si>
    <t>Fabijoniškių bendruomenės kultūrinės veiklos plėtra</t>
  </si>
  <si>
    <t>Fabijoniškių seniūnijos teritorijos priežiūra ir atnaujinimas</t>
  </si>
  <si>
    <t>Grigiškių bendruomenės kultūrinės veiklos plėtra</t>
  </si>
  <si>
    <t>Grigiškių seniūnijos teritorijos priežiūra ir atnaujinimas</t>
  </si>
  <si>
    <t>Justiniškių bendruomenės kultūrinės veiklos plėtra</t>
  </si>
  <si>
    <t>Justiniškių seniūnijos teritorijos priežiūra ir atnaujinimas</t>
  </si>
  <si>
    <t>Karoliniškių bendruomenės kultūrinės veiklos plėtra</t>
  </si>
  <si>
    <t>Karoliniškių seniūnijos teritorijos priežiūra ir atnaujinimas</t>
  </si>
  <si>
    <t>Lazdynų bendruomenės kultūrinės veiklos plėtra</t>
  </si>
  <si>
    <t>Lazdynų seniūnijos teritorijos priežiūra ir atnaujinimas</t>
  </si>
  <si>
    <t>Naujamiesčio bendruomenės kultūrinės veiklos plėtra</t>
  </si>
  <si>
    <t xml:space="preserve"> Naujamiesčio seniūnijos teritorijos priežiūra ir atnaujinimas</t>
  </si>
  <si>
    <t>Naujininkų bendruomenės kultūrinės veiklos plėtra</t>
  </si>
  <si>
    <t>Naujininkų seniūnijos teritorijos priežiūra ir atnaujinimas</t>
  </si>
  <si>
    <t>Naujosios Vilnios bendruomenės kultūrinės veiklos plėtra</t>
  </si>
  <si>
    <t>Naujosios Vilnios seniūnijos teritorijos priežiūra ir atnaujinimas</t>
  </si>
  <si>
    <t>Panerių bendruomenės kultūrinės veiklos plėtra</t>
  </si>
  <si>
    <t>Panerių seniūnijos teritorijos priežiūra ir atnaujinimas</t>
  </si>
  <si>
    <t>Pašilaičių bendruomenės kultūrinės veiklos plėtra</t>
  </si>
  <si>
    <t>Pašilaičių seniūnijos teritorijos priežiūra ir atnaujinimas</t>
  </si>
  <si>
    <t>Pilaitės bendruomenės kultūrinės veiklos plėtra</t>
  </si>
  <si>
    <t>Pilaitės seniūnijos teritorijos priežiūra ir atnaujinimas</t>
  </si>
  <si>
    <t>Rasų bendruomenės kultūrinės veiklos plėtra</t>
  </si>
  <si>
    <t>Rasų seniūnijos teritorijos priežiūra ir atnaujinimas</t>
  </si>
  <si>
    <t>Senamiesčio bendruomenės kultūrinės veiklos plėtra</t>
  </si>
  <si>
    <t>Senamiesčio seniūnijos teritorijos priežiūra ir atnaujinimas</t>
  </si>
  <si>
    <t>Šeškinės bendruomenės kultūrinės veiklos plėtra</t>
  </si>
  <si>
    <t>Šeškinės seniūnijos teritorijos priežiūra ir atnaujinimas</t>
  </si>
  <si>
    <t>Šnipiškių bendruomenės kultūrinės veiklos plėtra</t>
  </si>
  <si>
    <t>Šnipiškių seniūnijos teritorijos priežiūra ir atnaujinimas</t>
  </si>
  <si>
    <t>Verkių bendruomenės kultūrinės veiklos plėtra</t>
  </si>
  <si>
    <t>Verkių seniūnijos teritorijos priežiūra ir atnaujinimas</t>
  </si>
  <si>
    <t>Vilkpėdės bendruomenės kultūrinės veiklos plėtra</t>
  </si>
  <si>
    <t>Vilkpėdės seniūnijos teritorijos priežiūra ir atnaujinimas</t>
  </si>
  <si>
    <t>Viršuliškių bendruomenės kultūrinės veiklos plėtra</t>
  </si>
  <si>
    <t>Viršuliškių seniūnijos teritorijos priežiūra ir atnaujinimas</t>
  </si>
  <si>
    <t>Žirmūnų bendruomenės kultūrinės veiklos plėtra</t>
  </si>
  <si>
    <t>Žirmūnų seniūnijos teritorijos priežiūra ir atnaujinimas</t>
  </si>
  <si>
    <t>Žvėryno bendruomenės kultūrinės veiklos plėtra</t>
  </si>
  <si>
    <t>Žvėryno seniūnijos teritorijos priežiūra ir atnaujinimas</t>
  </si>
  <si>
    <t>Iš viso 17 programai</t>
  </si>
  <si>
    <t>Iš viso Savivaldybės administracija:</t>
  </si>
  <si>
    <t>Administracijos direktoriaus rezervas</t>
  </si>
  <si>
    <t>Nepaskirstytos paramos lėšos infrastruktūros plėtrai</t>
  </si>
  <si>
    <t>Išmokėti kompensaciją vežėjams</t>
  </si>
  <si>
    <t>Kompensuoti nuostolius dėl keleivių vežimo vietinio reguliaraus susisiekimo maršrutais</t>
  </si>
  <si>
    <t>Iš viso 02 programai</t>
  </si>
  <si>
    <t xml:space="preserve">Treniruoklių, įrengtų viešose erdvėse  remontas </t>
  </si>
  <si>
    <t>Triukšmo valdymo funkcijos įgyvendinimas</t>
  </si>
  <si>
    <t>05</t>
  </si>
  <si>
    <t>Būsto plėtra</t>
  </si>
  <si>
    <t>Gyvenamųjų namų bendrijų rėmimo fondo veikla</t>
  </si>
  <si>
    <t>Gyvenamųjų namų renovacija</t>
  </si>
  <si>
    <t>Iš viso 05 programai</t>
  </si>
  <si>
    <t>06</t>
  </si>
  <si>
    <t xml:space="preserve"> Kūno kultūros ir sporto plėtojimas</t>
  </si>
  <si>
    <t>Nacionalinio stadiono su sporto kompleksu Vilniuje, Ukmergės gatvėje, projektavimas ir statyba</t>
  </si>
  <si>
    <t>Nacionalinio stadiono statybos aikštelės apsaugai. Asignavimai 2018 m. mažėja, nes 2017 m. buvo apmokėta 28,5 tūkst. Eur. įsiskolinimas už 2016 metus.</t>
  </si>
  <si>
    <t>Iš viso 06 programai</t>
  </si>
  <si>
    <t>Senamiesčio atgaivinimas</t>
  </si>
  <si>
    <t>Pastatų, esančių senamiestyje ir jo apsaugos zonose, fasadų elementų galimos avarinės būklės likvidavimas</t>
  </si>
  <si>
    <t>Dekoratyvinis pastatų apšvietimas</t>
  </si>
  <si>
    <t>Senamiesčio gatvių rekonstrukcija ir susisiekimo infrastruktūros objektų projektavimas</t>
  </si>
  <si>
    <t>Iš viso 10 programai</t>
  </si>
  <si>
    <t xml:space="preserve"> Aplinkos ir kraštovaizdžio apsauga</t>
  </si>
  <si>
    <t>Aplinkos stebėsenos (monitoringo) programos rengimas ir  įgyvendinimas</t>
  </si>
  <si>
    <t>Bešeimininkių padangų tvarkymas</t>
  </si>
  <si>
    <t>Ekologinio švietimo programos rengimas ir įgyvendinimas</t>
  </si>
  <si>
    <t>Ekstremalių situacijų ir cheminių medžiagų nukenksminimo paslaugos</t>
  </si>
  <si>
    <t>Medžioklės plotų nustatymo ir apsaugos priemonių įgyvendinimas</t>
  </si>
  <si>
    <t>Oro taršos kietosiomis dalelėmis (KD 10) mažinimas (gatvių plovimas)</t>
  </si>
  <si>
    <t>Paviršinių ir požeminių vandenų apsaugos ir tvarkymo priemonių įgyvendinimas</t>
  </si>
  <si>
    <t>Paviršinių nuotekų tvarkymo programos įgyvendinimas</t>
  </si>
  <si>
    <t>Savavališkų sąvartynų seniūnijų teritorijose likvidavimas</t>
  </si>
  <si>
    <t>Savivaldybei pavaldžių įstaigų aplinkosauginis ugdymas</t>
  </si>
  <si>
    <t>Sniego, smėlio ir grunto laikinų sąvartynų įrengimas, jų eksploatavimas ir priežiūra</t>
  </si>
  <si>
    <t>Užterštų teritorijų sutvarkymas</t>
  </si>
  <si>
    <t>Vilniaus miesto atliekų tvarkymo sistemos  įdiegimas</t>
  </si>
  <si>
    <t>Mišrių komunalinių atliekų ir antrinių žaliavų surinkimo požeminių konteinerinių aikštelių infrastruktūros įrengimas Vilniaus mieste</t>
  </si>
  <si>
    <t>Vilniaus miesto oro taršos mažinimo programos parengimas ir įgyvendinimas</t>
  </si>
  <si>
    <t>Vilniaus miesto želdynų planavimas, schemų rengimas bei tvarkymas</t>
  </si>
  <si>
    <t>Vilniaus regiono komunalinių atliekų tvarkymo sistemos plėtra</t>
  </si>
  <si>
    <t>Želdynų ir želdinių apsauga, tvarkymas, stebėsena, kūrimas, veisimas ir kt.</t>
  </si>
  <si>
    <t>Biologinės įvairovės išsaugojimo priemonių įgyvendinimas</t>
  </si>
  <si>
    <t xml:space="preserve"> Miesto infrastruktūros objektų priežiūra ir modernizavimas</t>
  </si>
  <si>
    <t>Tęstinė priemonė. Iš skirtų lėšų Vilniaus mieste bus eksploatuojamas 261 gatvės statinys, iš jų:  30 transporto tiltų, 18 pėsčiųjų tiltų, 42 transporto viadukai, 12 pėsčiųjų viadukų, 5 viadukai per geležinkelį, 5 estakados, 16 požeminių pėsčiųjų perėjų, 122 vandens pralaidos po gatve, 3 transporto tuneliai.</t>
  </si>
  <si>
    <t xml:space="preserve">Tęstinė priemonė. Miesto kapinių plotas 257,5 ha (48 kapinės) . Iš skirtų lėšų bus atliekamos paslaugos: administratorių darbas, atliekų rūšiavimas, konteinerių aikštelių priežiūra, takų ir automobilių stovėjimo aikštelių priežiūra, šiukšlių rinkimas, šienavimas, lapų grėbimas ir išvežimas, nekanalizuotų tualetų priežiūra, naujų laidojimo vietų paruošimas, tvorų, vandens sistemų remontas, medžių kirtimas ir genėjimas, biotualetų pastatymas švenčių metu ir kt. darbai. </t>
  </si>
  <si>
    <t>Tęstinė priemonė. Už skirtas lėšas bus atliekama  272 šviesoforų postų ir   apie 25 tūkst. kelio ženklų priežiūra, į eismo valdymo sistemą SITTRAFIC jungiamos dar nepajungtos  sankryžos, atliekama kelio ženklų, šviečiančių kryptinių nuorodų, eismo saugumo priemonių įrengimas ir priežiūra, vykdomas  gatvių ženklinimas,važiuojamosios dalies ženklinimas ir fizinis A juostų atskyrimas borteliais, esamų sankryžų rekonstrukcijas, pakeičiant valdiklius ir jas pajungiant į Eismo valdymo sistemą geresniam transporto srautų reguliavimui ir valdymui, papildomų sekcijų įrengimas kairiesiems posūkiams dėl avaringumo mažinimo.</t>
  </si>
  <si>
    <t>Nekilnojamojo turto inventorizacija, registracija ir įvertinimas</t>
  </si>
  <si>
    <t>Atstatomieji darbai ir avarijų likvidavimas elektros, šilumos, vandentiekio ir nuotekų namų vidaus tinkluose</t>
  </si>
  <si>
    <t>Vaikų žaidimo aikštelių įrengimas ir esančių atnaujinimas</t>
  </si>
  <si>
    <t xml:space="preserve">Tęstinė priemonė.
Planuojama parengti techninį projektą beglobių gyvūnų naujos prieglaudos statybai.
Lėšos naudojamos benamių gyvūnų sanitarinės tarnybos išlaikymui (gaudymas, karantinas, laikina globa, eutanazija). </t>
  </si>
  <si>
    <t>Statinių, kurių savininkai nenustatyti, avarinės būklės likvidavimas</t>
  </si>
  <si>
    <t>Tęstinė priemonė. 
Lėšos bus naudojamos bešeimininkių sandėliukų ir kitų statinių avarinės būklės likvidavimui.</t>
  </si>
  <si>
    <t>Delspinigiai ir palūkanos už pavėluotus mokėjimus</t>
  </si>
  <si>
    <t xml:space="preserve">Tęstinė priemonė. 
Už laiku neapmokėtas sąskaitas faktūras rangovas priskaičiuoja delspinigius. </t>
  </si>
  <si>
    <t>Pastatų konstrukcijų ir inžinerinių tinklų priežiūra</t>
  </si>
  <si>
    <t>Tęstinė priemonė. 
Grafičių valymas ir bešeimininkių inžinerinių tinklų remontas.</t>
  </si>
  <si>
    <t>Vilniaus miesto savivaldybės atsinaujinančių išteklių energijos naudojimo plėtros veiksmų planas 2012-2020 m.</t>
  </si>
  <si>
    <t xml:space="preserve">Tęstinė priemonė. Vilniaus miesto savivaldybės atsinaujinančių išteklių energijos  (AIE) naudojimo plėtros veiksmų planas 2012-2020 m. parengtas įgyvendinant Lietuvos Respublikos atsinaujinančių išteklių energetikos įstatymo nuostatas. AIE planas yra suderintas su Energetikos ministerija ir patvirtintas 2015-03-04 Tarybos sprendimu.  </t>
  </si>
  <si>
    <t>Tvarios energijos veiksmų plano rengimas įgyvendinti Merų paktą</t>
  </si>
  <si>
    <t>Energetinės paslaugos ikimokyklinio ugdymo įstaigose (darželiuose) ir švietimo įstaigose (mokyklose)</t>
  </si>
  <si>
    <t>Tęstinė priemonė. Atliekama 241 švietimo įstaigos inžinerinių sistemų techninė priežiūra bei eksploatavimas pagal galiojančių teisės aktų reikalavimus bei su inžinerinių sistemų avarijų šalinimu  susiję veiksmai, taip pat  šilumos ir elektros energijos suvartojimo pastatuose monitoringas, įskaitant kas mėnesinį informacijos apie šilumos ir elektros energijos suvartojimą  teikimas Savivaldybei. Kadangi 2018 m.  baigia galioti 2015- 01 -06 sutartis, paskelbtas naujas pirkimas.</t>
  </si>
  <si>
    <t>Kaimynijų programa</t>
  </si>
  <si>
    <t>Nauja priemonė. 
Asignavimai planuojami skirti 2017-07-26 Tarybos sprendimu Nr. 1-1058  patvirtintam  Kaimynijų atnaujinimo programos įgyvendinimui.</t>
  </si>
  <si>
    <t>Inžinerinių tinklų (vandentiekio, nuotekų ir elektros) prie gyvenamųjų namų atnaujinimas</t>
  </si>
  <si>
    <t xml:space="preserve">Tęstinė priemonė. LR geriamojo vandens tiekimo ir nuotekų tvarkymo įstatymo  2 straipsnio 4 dalis numato geriamojo vandens tiekėjų ir nuotekų tvarkytojų teisę ir pareigą: „Geriamojo vandens tiekimo ir nuotekų tvarkymo infrastruktūros naudojimo ir priežiūros taisyklėse ir kituose teisės aktuose nustatyta tvarka naudoti ir prižiūrėti nuosavybės teise ar kitaip teisėtai valdomą ir (arba) naudojamą geriamojo vandens tiekimo ir nuotekų tvarkymo infrastruktūrą, bešeimininkę infrastruktūrą, kitą valdomą turtą, reikalingą geriamojo vandens tiekimui ir nuotekų tvarkymui“. </t>
  </si>
  <si>
    <t>Iš viso 14 programai</t>
  </si>
  <si>
    <t>Projektams, finansuojamiems iš ES fondų, techninės dokumentacijos rengimui</t>
  </si>
  <si>
    <t>Nemenčinės plento rekonstrukcija nuo Kairėnų gatvės iki miesto ribos</t>
  </si>
  <si>
    <t xml:space="preserve">Nauja priemonė. Planuojama vykdyti gatvės kapitalinį remontą. Šiuo metu baigiamas rengti techninis projektas, gruodžio mėn. bus gautas statybos leidimas. 2018 metais planuojamas darbų pirkimas ir rangos darbai. Rangos darbus planuojama vykdyti per du metus. SMD kaina yra apie 23 mln. Eurų, planuojama kad didžioji projekto vykdymo dalis bus finansuojama iš Kelių priežiūros ir plėtros programos lėšų. </t>
  </si>
  <si>
    <t>Automatizuotos  šviesoforų reguliavimo ir valdymo sistemos įdiegimas</t>
  </si>
  <si>
    <t>Tęstinė priemonė. Lėšos bus naudojamos mokėjimams už Automatizuotos  šviesoforų reguliavimo ir valdymo sistemos įdiegimo ir priežiūros darbus.</t>
  </si>
  <si>
    <t>Vilniaus miesto susisiekimo infrastruktūros vystymas (priežiūra, remontas, rekonstrukcija)</t>
  </si>
  <si>
    <t>Savičiaus-Bokšo-Išganytojo g. rekonstrukcija</t>
  </si>
  <si>
    <t>Vilniaus g. kapitalinis remontas</t>
  </si>
  <si>
    <t>Susisiekimo infrastruktūros projektavimas</t>
  </si>
  <si>
    <t>Tęstinė priemonė. Lėšos bus naudojamos susisiekimo infrastruktūros (gatvių, šaligatvių, lietaus apšvietimo tinklo) techninių projektų užsakymui.</t>
  </si>
  <si>
    <t>Santaros gatvės statyba</t>
  </si>
  <si>
    <t>Tęstinė priemonė. Lėšos bus naudojamos apmokėti už Santaros gatvės įrengimo  darbus, dalis lėšų prašoma iš Kelių priežiūros ir plėtros programos.</t>
  </si>
  <si>
    <t>Baseino infrastruktūros prie A.Kulviečio mokyklos sutvarkymas</t>
  </si>
  <si>
    <t>Tęstinė priemonė. Lėšos bus naudojamos susisiekimo infrastruktūros prie statomo baseino prie A. Kulviečio mokyklos sutvarkymui.</t>
  </si>
  <si>
    <t>Neries krantinės sutvarkymas</t>
  </si>
  <si>
    <t>Paminklo dr. Jonui Basanavičiui pastatymas ir aikštės prie Lietuvos nacionalinės filharmonijos sutvarkymas</t>
  </si>
  <si>
    <t>Tęstinė priemonė. Planuojama pastatyti paminklą dr.  J. Basanavičiui ir sutvarkyti aikštę prie Lietuvos nacionalinės filharmonijos.</t>
  </si>
  <si>
    <t>Vilniaus miesto kapinių statinių remontas ir plėtimas</t>
  </si>
  <si>
    <t>Vilniaus senųjų žydų kapinių Olandų gatvėje sutvarkymas</t>
  </si>
  <si>
    <t>Lukiškių aikštės sutvarkymo darbai su techninio darbo projekto parengimu ir projekto vykdymo priežiūra (I etapas)</t>
  </si>
  <si>
    <t>Ekologiško viešojo transporto plėtojimas; ekologiškų transporto priemonių įsigijimas</t>
  </si>
  <si>
    <t>AB Vilniaus šilumos tinklai įstatinio kapitalo didinimui</t>
  </si>
  <si>
    <t>Priemonė nebus vykdoma.</t>
  </si>
  <si>
    <t>Valstybinio Sapiegų parko tvarkymas ir pritaikymas lankymui ir tausojančiam naudojimui</t>
  </si>
  <si>
    <t>Žirmūnų rekreacinių dviračių trasų, jų jungčių, saugos ir kitos infrastruktūros įrengimas palei Žalgirio, Minties, Rinktinės gatves</t>
  </si>
  <si>
    <t>Aukštaičių gatvės įrengimas ir įvažiavimo į Drujos g. ir Paupio g. rekonstravimas</t>
  </si>
  <si>
    <t>Centrinės gatvės bulvaro su rekreacine įranga įrengimas Paplaujos rajone</t>
  </si>
  <si>
    <t>Dviračių turizmo trasų ir maršrutų (jungčių su Trakų ir Vilniaus rajonų savivaldybėmis) ženklinimas (įgyvendinama su Vilniaus, Trakų, Širvintų rajonų savivaldybėmis)</t>
  </si>
  <si>
    <t>Tęstinė priemonė. ES finansavimas gautas. Projektas bus įgyvendinamas su Trakų ir Vilniaus raj. savivaldybėmis. Dviračių trasa suplanuota  Vilniaus miesto dviračių takų specialiajame plane.  Numatomi rangos darbai  2018-2019 m.</t>
  </si>
  <si>
    <t>Vilniaus miesto savivaldybės elektromobilių įkrovos aikštelių plėtra</t>
  </si>
  <si>
    <t>Tęstinė priemonė. Parengtos konkurso sąlygos krovos įrenginių pastatymui. Paraiškos pateikimas atidėtas iki 2018 m. balandžio 1 d., nes Lietuvos automobilių kelių direkcija vykdys centralizuotą įrangos pirkimą.</t>
  </si>
  <si>
    <t>Gamtinės Neries senvagės kraštovaizdžio arealų būklės atkūrimas (tarp Linkmenų ir Geležinio Vilko gatvių)</t>
  </si>
  <si>
    <t>Tęstinė priemonė. ES finansavimas gautas.  Techninis projektas parengtas, ruošiamasi  atlikti viešųjų pirkimų procedūras rangos darbams atlikti. Darbus planuojama pradėti 2018 metų III ketvirtyje.</t>
  </si>
  <si>
    <t>Geležinio Vilko lietaus nuotekynės kolektoriaus rekonstrukcija su kaupyklų-valyklų ir taršos monitoringo mazgų įrengimu</t>
  </si>
  <si>
    <t>Tęstinė priemonė. Vyksta viešųjų pirkimų procedūros rangovui parinkti.  Numatomi rangos darbai nuo 2018 iki 2019 m, projektas finansuojamas ES lėšomis.</t>
  </si>
  <si>
    <t xml:space="preserve"> Giedraičių ir kitų Šnipiškių gatvių tarp Lvovo ir Žalgirio gatvių rekonstravimas, įrengiant  modernias  eismo saugos priemones</t>
  </si>
  <si>
    <t xml:space="preserve"> Karoliniškių lietaus nuotekų valymo įrenginių rekonstrukcija</t>
  </si>
  <si>
    <t>Tęstinė priemonė. 2017-08-28 pasirašyta rangos darbų sutartis. Vyksta projektavimo darbai. Iki 2018 metų pradžios rangovas planuoja ekspertizės atlikimui pateikti parengtą techninį projektą ir iki 2018-04-01  gauti statybos leidimą. Sutarties įgyvendinimo trukmė  planuojama iki 2019-11-17. Projektas įgyvendinamas ES  lėšomis.</t>
  </si>
  <si>
    <t>Kernavės g. nuo Žalgirio g. iki Lvovo g. rekonstrukcija, įrengiant modernias eismo saugos priemones</t>
  </si>
  <si>
    <t>Kompleksinis gyvenamojo rajono kvartalo Žirmūnų, Minties, Tuskulėnų gatvių trikampyje, toliau – „Žirmūnų trikampis“ bendrai naudojamų teritorijų ir viešosios infrastruktūros atnaujinimas</t>
  </si>
  <si>
    <t xml:space="preserve">Tęstinė priemonė. 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</si>
  <si>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 xml:space="preserve"> Kultūrinį-istorinį reformacijos paveldą reprezentuojančio Reformatų sodo atkūrimas ir sutvarkymas</t>
  </si>
  <si>
    <t>Tęstinė priemonė. ES finansavimas gautas.  Parengus techninį projektą, bus vykdomos viešųjų pirkimų procedūros rangos darbams atlikti. Darbus planuojama pradėti 2018 metų III ketvirtyje.</t>
  </si>
  <si>
    <t>Misionierių sodų atkūrimas</t>
  </si>
  <si>
    <t>Tęstinė priemonė. ES finansavimas gautas.  Parengus techninį projektą bus vykdomos viešųjų pirkimų procedūros rangos darbams atlikti. Darbus planuojama pradėti 2018 metų III ketvirtyje.</t>
  </si>
  <si>
    <t>Naujamiesčio dviračių trasų, jų jungčių, saugos ir kitos infrastruktūros įrengimas palei J. Tumo-Vaižganto, V. Kudirkos, M. Valančiaus, V. Mykolaičio-Putino, Švitrigailos, Geležinkelio, Pylimo, Drujos gatves</t>
  </si>
  <si>
    <t>Neries krantinių modernizavimas, sukuriant inovatyvias erdves kūrybai, sąlygas aktyviam poilsiui, sveikatingumo renginiams Šiaurinėje teritorijoje</t>
  </si>
  <si>
    <t xml:space="preserve"> Neries krantinių rekonstrukcija ir rekreacinės laivybos prieplaukų įrengimas Šiaurinėje teritorijoje</t>
  </si>
  <si>
    <t xml:space="preserve">Tęstinė priemonė. 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</si>
  <si>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 xml:space="preserve"> Neries senvagės rekreacinės infrastruktūros įrengimas su aktyvaus poilsio ir pėsčiųjų bei dviračių trasomis</t>
  </si>
  <si>
    <t>Neries slėnio rekreacinės paskirties takų ir  jų jungčių, saugos ir kitos infrastruktūros įrengimas</t>
  </si>
  <si>
    <t>Rajoninių viešųjų erdvių su minimalia rekreacine infrastruktūra formavimas „Žirmūnų trikampyje“</t>
  </si>
  <si>
    <t>Vilniaus miesto oro kokybės gerinimas (Specialiosios gatvių dangų valymo technikos ir priemonių įsigijimas, siekiant mažinti oro taršą nuo gatvių; oro taršos modeliavimo įrangos atnaujinimas ir palaikymas; oro kokybės valdymo priemonių planavimas)</t>
  </si>
  <si>
    <t>T. Narbuto–Saltoniškių gatvių lietaus nuotekynės rekonstrukcija su valyklos ir taršos monitoringo mazgo įrengimu</t>
  </si>
  <si>
    <t>Lietaus nuotekynės įrengimas Šeškinės komplekso prieigose</t>
  </si>
  <si>
    <t>Valstybinio Trakų Vokės parko tvarkymas ir pritaikymas lankymui ir tausojančiam naudojimui</t>
  </si>
  <si>
    <t>Viešųjų erdvių tvarkymas Pietinėje tikslinėje teritorijoje prie rekonstruojamų Aukštaičių, Paupio ir Drujos gatvių</t>
  </si>
  <si>
    <t>Tęstinė priemonė. ES lėšų finansavimas gautas, pradėtos viešojo pirkimo rangos darbams atlikti procedūros. Įgyvendinus projektą bus rekonstruota/ atnaujinta  0,451 km gatvių, bendras naujai nutiestų kelių ilgis – 1,227 km. Numatomi rangos darbai  planuojami baigti  iki 2019 m. sausio mėn. Projektas finansuojamas ES lėšomis.</t>
  </si>
  <si>
    <t>Vilniaus istorinių  Rasų kapinių, koplyčių, tvorų, atskirų paminklų tvarkyba</t>
  </si>
  <si>
    <t>Vilniaus miesto darnaus judumo plano rengimas</t>
  </si>
  <si>
    <t>Tęstinė priemonė. Esamos judumo situacijos Vilniaus miesto savivaldybės teritorijoje analizė, judumo veiksmų plano iki 2020 metų parengimas,  visuomenės supažindinimas su  judumo savivaldybės teritorijoje alternatyvomis iki 2030 metų.  Pilnai parengtą ir suderintą judumo planą,  gavus Darnaus judumo mieste plano komisijos darnaus judumo mieste planų techninėms užduotims ir planams derinti protokoliniu sprendimu suderintą teigiamą išvadą, teikti tvirtinti Vilniaus miesto savivaldybės Tarybai.</t>
  </si>
  <si>
    <t>Vilniaus miesto lietaus nuotekynės tinklų inventorizavimas, duomenų skaitmenizavimas ir registravimas</t>
  </si>
  <si>
    <t>Vilnios pakrančių tvarkymas Pietinėje tikslinėje teritorijoje, įrengiant reikiamą rekreacinę infrastruktūrą, dviračių, pėsčiųjų takus, pėsčiųjų tiltą</t>
  </si>
  <si>
    <t>Žirmūnų dviračių  trasų, jų jungčių, saugos ir kitos infrastruktūros įrengimas palei Ozo, P. Lukšio, Apkasų, Ulonų ir Žirmūnų gatves (4,8 km)</t>
  </si>
  <si>
    <t>Žvėryno dviračių trasų, jų jungčių, saugos ir kitos infrastruktūros įrengimas palei A. Mickevičiaus, Birutės, Lenktąją, Latgalių, Paribio, Pieninės, Saltoniškių, Liepyno ir T. Narbuto gatves (5,1 km)</t>
  </si>
  <si>
    <t>Lazdynų sveikatinimo centro prieigų aplinkos sutvarkymas</t>
  </si>
  <si>
    <t>Japoniško sodo įkūrimas teritorijoje prie Lvovo ir Geležinio Vilko g.</t>
  </si>
  <si>
    <t>Dviračių tako T. Narbuto gatvėje nuo Pilaitės per. Iki Konstitucijos pr. statyba</t>
  </si>
  <si>
    <t>Dviračių tako nuo Ukmergės g. iki Konstitucijos pr. statyba</t>
  </si>
  <si>
    <t>Viešųjų erdvių tvarkymas Šiaurinėje tikslinėje teritorijoje tarp Giedraičių g. ir Kintų g., ir prie Giedraičų g.</t>
  </si>
  <si>
    <t xml:space="preserve">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</si>
  <si>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Naujamiesčio viešųjų erdvių tvarkymas (Vingrių šaltinio skveras ir Amatų g.)</t>
  </si>
  <si>
    <t xml:space="preserve"> Vyksta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</si>
  <si>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Miesto infrastruktūros objektų plėtra</t>
  </si>
  <si>
    <t>Šiaurinės gatvės statyba</t>
  </si>
  <si>
    <t>Vingio parko estrados renovacija</t>
  </si>
  <si>
    <t xml:space="preserve">Nauja priemonė. </t>
  </si>
  <si>
    <t>Pilaitės prospekto statyba</t>
  </si>
  <si>
    <t>Antžeminių automobilių stovėjimo aikštelių įrengimas ir išplėtimas</t>
  </si>
  <si>
    <t>Susisiekimo optimizavimas pagal darnaus judumo principus Šeškinės daugiafunkcio komplekso prieigose, įrengiant tam tinkamą infrastruktūrą  su inžinerinėmis komunikacijomis</t>
  </si>
  <si>
    <t>Iš viso 15 programai</t>
  </si>
  <si>
    <t>Iš viso Miesto ūkio ir transporto departamentas</t>
  </si>
  <si>
    <t>01</t>
  </si>
  <si>
    <t>Vaikų, jaunimo ir  suaugusiųjų ugdymas</t>
  </si>
  <si>
    <t>Balsių pagrindinės mokyklos, Bubilo g. 8, statybos sąnaudų dengimas</t>
  </si>
  <si>
    <t>Statybos sąnaudų dengimas UAB „Balsių mokyklos SPV“ pagal 2010-07-13 Vilniaus miesto Balsių mokyklos statybos, ūkio priežiūros ir administravimo sutartį Nr.14-199 (tik už kapitalo dalį).</t>
  </si>
  <si>
    <t>Iš viso 01 programai</t>
  </si>
  <si>
    <t>08</t>
  </si>
  <si>
    <t>Sąlygų verslo plėtrai sudarymas ir investicijoms patrauklios aplinkos formavimas</t>
  </si>
  <si>
    <t>Patrauklaus investuotojams miesto įvaizdžio sudarymas (dotacija VšĮ ,,Go Vilnius“)</t>
  </si>
  <si>
    <t>Vilniaus kino biuro veiklos palaikymas</t>
  </si>
  <si>
    <t>Paramos priemonių smulkiajam ir vidutiniam verslui įgyvendinimas</t>
  </si>
  <si>
    <t>Iš viso 08 programai</t>
  </si>
  <si>
    <t>Sereikiškių parko rekonstrukcija</t>
  </si>
  <si>
    <t>Priemonė baigta.</t>
  </si>
  <si>
    <t>Turizmo plėtra</t>
  </si>
  <si>
    <t xml:space="preserve"> Dalyvauti tarptautinėse turizmo parodose, verslo misijose</t>
  </si>
  <si>
    <t>Lėšos reikalingos aktyviai dalyvauti turizmo parodose, turizmo galimybių ir kituose renginiuose kartu Valstybiniu turizmo departamentu, skatinančiuose vietinį turizmą. Parodų ir kitų turizmo renginių Vilniuje, Kaune, Klaipėdoje ir kituose Lietuvos miestuose skaičius -10 .</t>
  </si>
  <si>
    <t>Atstovauti Vilnių tarptautinėse organizacijose</t>
  </si>
  <si>
    <t xml:space="preserve"> Lėšos reikalingos narystės mokesčiui tarptautinėje European Cities Marketing organizacijoje ir atstovavimui joje (komandiruotėms, dalyvavimui bendruose projektuose ir kt.). Tarptautinių organizacijų, kuriose atstovautas Vilnius skaičius -1, dalyvauta renginių skaičius -3, dalyvauta nemažiau kaip 1 bendrame projekte.</t>
  </si>
  <si>
    <t>Vykdyti Vilniaus turizmo galimybių pristatymą vietos ir užsienio žiniasklaidos ir turizmo sektoriaus atstovams</t>
  </si>
  <si>
    <t>Lėšos reikalingos  Vilniaus turizmo galimybių, vykdomų projektų, maršrutų pristatymui Lietuvos  žiniasklaidos  atstovams. Žiniasklaidos, turizmo sektoriaus atstovų, kuriems pristatytos Vilniaus turizmo galimybės skaičius - 40. </t>
  </si>
  <si>
    <t>Vykdyti Vilniaus miesto elektroninę rinkodarą</t>
  </si>
  <si>
    <t>Rengti, leisti ir platinti informacinę, vaizdinę ir reklaminę medžiagą apie Vilniaus turizmo išteklius</t>
  </si>
  <si>
    <t>Lėšos reikalingos vietiniam turizmui plėtoti skirtos informacinės ir vaizdinės medžiagos, reklaminių suvenyrų parengimui ir leidybai. Bendras išleistas informacinės, vaizdinės ir reklaminės medžiagos skaičius - 40 000.</t>
  </si>
  <si>
    <t>Vykdyti turizmo rinkų tyrimus ir analizes</t>
  </si>
  <si>
    <t>Rengti Vilniaus miesto vietinio turizmo statistinių duomenų analizes ir  apžvalgas. Analizuoti užsienio miestų patirtį vietinio turizmo plėtojimo srityje, parengti pasiūlymus dėl vietinio turizmo Vilniaus mieste plėtojimo. Parengti ne mažiau kaip dvi Vilniaus miesto vietinio turizmo statistinių duomenų analizes bei apžvalgas. Atliktų apklausų, tyrimų skaičius - 2.</t>
  </si>
  <si>
    <t>Plėtoti turizmo informacinę infrastruktūrą</t>
  </si>
  <si>
    <t>Administruoti ES lėšomis dalinai finansuojamo projekto „Dviračių turizmo trasų ir maršrutų (jungčių su Trakų ir Vilniaus rajonų savivaldybėmis) ženklinimas“  įgyvendinimą. Vykdomų ES dalinai finansuojamo turizmo trasų, maršrutų ženklinimo projektų skaičius -1. 
Turizmo smulkiosios infrastruktūros projektų (miesto informaciniai žemėlapiai, nuorodos) skaičius -1.</t>
  </si>
  <si>
    <t>Gerinti turizmo sektoriaus paslaugų kokybę ir darbuotojų gebėjimus</t>
  </si>
  <si>
    <t>Lėšos reikalingos svetingumo konkurso, svetingumo mokymų, skirtų turizmo paslaugų sferos darbuotojų aptarnavimo kokybės gerinimui, organizavimui. Mokymų, seminarų turizmo paslaugų sferos darbuotojams skaičius – 2. 
Organizuotas svetingumo konkursas - 1. </t>
  </si>
  <si>
    <t>Kurti naujus turizmo produktus, skirtus vietiniam turizmui plėtoti</t>
  </si>
  <si>
    <t>Iš viso 12 programai:</t>
  </si>
  <si>
    <t xml:space="preserve"> pavadinimas</t>
  </si>
  <si>
    <t>Miesto investicinių objektų parengimo programa (žemės ir kito nekilnojamojo turto perėmimas Savivaldybės reikmėms)</t>
  </si>
  <si>
    <t>Miesto investicinių objektų parengimo programa (žemės ir kito nekilnojamojo turto perėmimas Vakarinio aplinkkelio III etapo įgyvendinimui)</t>
  </si>
  <si>
    <t xml:space="preserve">Teismo, šildymo, leidybos, programinės įrangos priežiūros, reitingavimo ir kitos išlaidos </t>
  </si>
  <si>
    <t xml:space="preserve"> Turto išpirkimas Savivaldybės investiciniams projektams įgyvendinti, Savivaldybės turtui deramai valdyti ir Savivaldybės funkcijoms deramai įgyvendinti</t>
  </si>
  <si>
    <t>Laisvų patalpų išlaikymo, šildymo, patalpų remonto, apsaugos, bešeimininkio turto įteisinimo ir jo priežiūros ir kitos eksploatavimo išlaidos</t>
  </si>
  <si>
    <t>Iš viso Turto departamentas</t>
  </si>
  <si>
    <t>Iš jų skoloms dengti:</t>
  </si>
  <si>
    <t>Socialinio būsto statyba ir pirkimas, gerbūvio darbai</t>
  </si>
  <si>
    <t>Butų su bendrąja daline nuosavybe pirkimas, 17 turtinių vienetų esantį 504,97 kv. m plotą.</t>
  </si>
  <si>
    <t>Socialinio būsto plėtra (pagal ES regioninę priemonę Nr. 08.1.2-CPVA-R-408)</t>
  </si>
  <si>
    <t>Savivaldybės socialinio būsto statyba ir pirkimas, aplinkotvarkos darbai</t>
  </si>
  <si>
    <t>Savivaldybės socialinio būsto paprastasis remontas</t>
  </si>
  <si>
    <t>Gyvenamųjų namų butų inventorizacija ir turto vertinimas</t>
  </si>
  <si>
    <t>105 vienetai.</t>
  </si>
  <si>
    <t>Butų šildymo ir kitų paslaugų išlaidoms apmokėti, kai savivaldybės butai neišnuomoti</t>
  </si>
  <si>
    <t>Socialinio būsto nuomos mokesčio kompensavimas</t>
  </si>
  <si>
    <t>Iš viso Socialinių reikalų ir sveikatos departamentas</t>
  </si>
  <si>
    <t>Lėšos reikalingos  įrengtų treniruoklių priežiūrai ir remontui.    Treniruoklius įrenginėja  seniūnijos iš jiems skirtų asignavimų. Šiuo metu įrengti  209 treniruokliai.</t>
  </si>
  <si>
    <t>Savivaldybės pagal savo kompetenciją įgyvendina valstybinį triukšmo valdymą pagal Triukšmo valdymo įstatymą. Darbai vykdomi remiantis Europos Parlamento ir Komisijos direktyva 2002/49/EB dėl aplinkos triukšmo įvertinimo ir valdymo, Vilniaus miesto savivaldybės 2014 – 2018 m. triukšmo prevencijos veiksmų planu. Triukšmo stebėsena ir analizė: mieste, tyliosiose zonose. Autotransporto srautų stebėsena ir analizė, jų pritaikymas akustiniam modeliavimui. Triukšmo (nuo įvairių šaltinių: autotransporto, stacionarių triukšmo šaltinių (pramonės, energetikos) ir kt.) poveikio analizė ir  vertinimas, triukšmo sklaidos ribojimo priemonių rekomendavimas. Lokaliose vietose  ir pagal gyventojų skundus triukšmo lygių  analizė. Ataskaitų rengimas ir informacijos viešinimas.</t>
  </si>
  <si>
    <t>Miesto plėtros departamento pateiktas sąrašas pastatų dekoratyviniam apšvietimui: Švč. Trejybės bažnyčia – Dominikonų g. 12.;  Šv. Ignoto bažnyčia – Šv. Ignoto g. 6; 3. Marijos Ramintojos bažnyčios bokštas – Savičiaus g. 15; 4. Pastatai Vilniaus g. 19, 21, 23, 26, 27;  5. Pastatas Arklių g. 20; 6. Pastatas Gedimino pr. 15; 7. Pastatas Gedimino pr. 24; 8. Pastatas Gedimino pr. 5.</t>
  </si>
  <si>
    <t>Asignavimai planuojami Gėlių g-vės remontui.</t>
  </si>
  <si>
    <t>Priemonė vykdoma vadovaujantis Lietuvos Respublikos aplinkos monitoringo įstatymu. Pagal monitoringo programą kaupiama aplinkos būklės stebėsenos informacija duomenų bazėje apie Vilniaus miesto savivaldybės aplinkos būklę.</t>
  </si>
  <si>
    <t>Gyvsidabrio ar gyvsidabrio turinčių prietaisų surinkimas iš Vilniaus miesto gyventojų bei jo  utilizavimas.</t>
  </si>
  <si>
    <t>Atvežto grunto lyginimas buldozeriu, sąvartyno teritorijos priežiūra ir tvarkymas, šiukšlių surinkimas pagal   2011-12-29 sutartį Nr. A72-2189(3.1.36-UK) su UAB „Grinda“ .</t>
  </si>
  <si>
    <t xml:space="preserve">Savavališkų sąvartynų likvidavimas Vilniaus miesto savivaldybės bendro naudojimo teritorijoje. Per metus išvežama apie 3500 m3 bešeimininkių atliekų. </t>
  </si>
  <si>
    <t xml:space="preserve">Atliekų tvarkymo įstatymu savivaldybei yra pavesta organizuoti bešeimininkių atliekų tvarkymą. </t>
  </si>
  <si>
    <t>Priemonė vykdoma vadovaujantis Lietuvos Respublikos aplinkos oro apsaugos įstatymą. Siekiama tobulinti ir plėtoti aplinkos oro kokybės valdymo sistemą parengiant aplinkos oro kokybės valdymo priemones, mažinančias aplinkos oro taršą.</t>
  </si>
  <si>
    <t>Vasaros laikotarpiu  nuo gatvių ašinių linijų vakuuminiu būdu nusiurbiamas jau išdžiūvęs smėlis. Taip mažinama oro tarša nuo kietųjų dalelių.</t>
  </si>
  <si>
    <t>Avarinių lietaus nuotekų tinklų remontas, naftos gaudyklių daviklių įrengimas ir pajungimas į valdymo sistemą.</t>
  </si>
  <si>
    <t>Dalies skolos grąžinimui.</t>
  </si>
  <si>
    <t>Lėšos naudojamos atlikti teritorijų ekogeologinius tyrimus (požeminio, paviršinio vandens, dirvožemio ir grunto užterštumo).</t>
  </si>
  <si>
    <t>Įrengiami vandentiekio ir nuotekų tinklai.</t>
  </si>
  <si>
    <t>Vilniaus universiteto botanikos sodo želdynų tvarkymas ir ribų estetinio vaizdo gerinimas, Pavilnių ir Verkių regioninių parkų teritorijų tvarkymo darbai rekreacinės paskirties objektų priežiūra.</t>
  </si>
  <si>
    <t xml:space="preserve">LR Medžioklės įstatymu Savivaldybei pavestų su medžioklės organizavimu susijusių funkcijų įgyvendinimui. </t>
  </si>
  <si>
    <t>Vadovaujantis Vilniaus miesto savivaldybės administracijos direktoriaus 2016 m. rugpjūčio 9 d. įsakymu Nr. 30-1825, įgyvendinami Visuomenės aplinkosauginio švietimo projektai.</t>
  </si>
  <si>
    <t>Lėšos bus naudojamos biologinės įvairovės išsaugojimo priemonių įgyvendinimui. Asignavimai skiriami Pavilnių regioniniam parkui.</t>
  </si>
  <si>
    <t>Nusikaltimų ir kitų teisės pažeidimų prevencinių priemonių įgyvendinimas</t>
  </si>
  <si>
    <t>Vaizdo kamerų transliuojamo vaizdo stebėjimo užtikrinimas</t>
  </si>
  <si>
    <t>Lėšos planuojamos sąskaitoms apmokėti pagal pasirašytą sutartį  su UAB „Eurointegracijos projektai“ (Nr.  A64-43/17(3.10.22-TD2) už Vaizdo kamerų transliuojamo vaizdo stebėjimo Vilniaus apskrities vyriausiajame policijos komisariate paslaugų teikimą).</t>
  </si>
  <si>
    <t>Dalyvavimas užtikrinant viešąją tvarką ir gyventojų rimtį</t>
  </si>
  <si>
    <t xml:space="preserve">Tęstinė programa. Saugaus miesto departamentas numato parengti programą, pagal kurią būtų galima konkurso būdu finansuoti nevyriausybinių organizacijų ir bendruomenių projektus (saugios aplinkos kūrimo, teisės pažeidimų prevencijos, viešosios tvarkos palaikymo srityse, smurto artimoje aplinkoje prevencinių priemonių įgyvendinimui). Programoje turėtų būti nustatyta projektų pateikimo, atrankos, finansavimo ir atsiskaitymo už projektų įgyvendinimą tvarka. </t>
  </si>
  <si>
    <t>LR Civilinės saugos įstatymu priskirtas civilinės saugos organizavimas bei dalyvavimas rengiantis mobilizacijai</t>
  </si>
  <si>
    <t>Aplinkos ir kraštovaizdžio apsauga</t>
  </si>
  <si>
    <t>Ekstremaliųjų situacijų pasekmių likvidavimas</t>
  </si>
  <si>
    <t>Lėšas planuojama naudoti Savivaldybės teritorijoje rastų neaiškios kilmės medžiagų ar ekologinių nelaimių bei gamybinių ir transporto avarijų metu išsipylusių pavojingų cheminių medžiagų ar teršalų (pavojingų atliekų) surinkimui, paėmimui, išvežimui, identifikavimui, laikinam saugojimui ir/ar utilizavimui. Kiekvienais metais tokios paslaugos reikia kiekvieną mėnesį nuo 2 iki 5 kartų.vyriausiajame policijos komisariate paslaugų teikimą).</t>
  </si>
  <si>
    <t>Ekstremaliųjų situacijų ir cheminių medžiagų nukenksminimo paslaugas</t>
  </si>
  <si>
    <t xml:space="preserve">Aplinkosauginėms priemonėms numatytoms Vilniaus miesto savivaldybės aplinkos apsaugos rėmimo specialiojoje programoje, finansuoti pagal Saugaus miesto departamento veiklos sritis. aplinkos kūrimo, teisės pažeidimų prevencijos, viešosios tvarkos palaikymo srityse, smurto artimoje aplinkoje prevencinių priemonių įgyvendinimui). Programoje turėtų būti nustatyta projektų pateikimo, atrankos, finansavimo ir atsiskaitymo už projektų įgyvendinimą tvarka. </t>
  </si>
  <si>
    <t>Iš viso Saugaus miesto departamentas</t>
  </si>
  <si>
    <t>07</t>
  </si>
  <si>
    <t>Atvirų duomenų sklaidos plėtra</t>
  </si>
  <si>
    <t>Open data programos vystymas (e. duomenų bankas).</t>
  </si>
  <si>
    <t>Paslaugų ir asmenų aptarnavimo kokybės gerinimas</t>
  </si>
  <si>
    <t>Atvirų kūrybinių dirbtuvių ir piliečių mokslo iniciatyvų skatinimas</t>
  </si>
  <si>
    <t xml:space="preserve">Konkursą organizuoja Savivaldybės administracijos E. miesto departamentas. Konkurso tikslas – remti Vilniaus miestui reikšmingas atviras technines kūrybines dirbtuves, siekiant suburti  žmones, turinčius nestandartinių idėjų, mėgstančius kurti, konstruoti, modeliuoti, projektuoti ir gaminti įvairius gaminius, produktus, modelius, maketus  ar prototipus. Konkurso uždaviniai: skatinti pažangių technologijų ir inovacijų plėtrą;skatinti  verslumą ir kūrybiškumą; stiprinti Vilniaus miesto atvirų techninių kūrybinių dirbtuvių plėtrą. </t>
  </si>
  <si>
    <t>Programinės įrangos, skirtos vietinės rinkliavos (už atliekų tvarkymą ir surinkimą) apskaitai ir administravimui, įsigijimas</t>
  </si>
  <si>
    <t>Programinės įrangos, skirtos vietinės rinkliavos (už atliekų tvarkymą ir surinkimą) apskaitai ir administravimui, įsigijimas (SB).</t>
  </si>
  <si>
    <t>Informacinės visuomenės plėtra</t>
  </si>
  <si>
    <t xml:space="preserve">Kompiuterių ir duomenų apdorojimo tarnybų paslaugos </t>
  </si>
  <si>
    <t>Lėšos, kurios būtinos tik VMSA vidinės infrastruktūros palaikymui ir priežiūrai.</t>
  </si>
  <si>
    <t>Vilniaus miesto kartografinių duomenų bazių  kūrimas ir palaikymas</t>
  </si>
  <si>
    <t>Vilniaus teritorijų planavimo ir statybų duomenų banko kūrimas ir palaikymas GIS pagrindu</t>
  </si>
  <si>
    <t>Geografinių informacinių sistemų palaikymas ir plėtra</t>
  </si>
  <si>
    <t>Vilniaus planui mokejimai pagal MPD užsakymus.</t>
  </si>
  <si>
    <t>Elektroninio bilieto viešajame transporte ir keleivių informavimo sistemos sukūrimas</t>
  </si>
  <si>
    <t xml:space="preserve"> Elektroninio švietimo sistemos diegimas</t>
  </si>
  <si>
    <t>E. švietimas. Darželių IS palaikymo ir programavimo paslaugos. 2018 m. lėšos planuojamos panaudoti tolimesniam darželių sistemos, priėmimo  mokyklas sistemos, naujai įdiegtos neformalaus ugdymo sistemos palaikymui ir naujiems funkcionalumams bei plėtrai.</t>
  </si>
  <si>
    <t xml:space="preserve"> Finansų valdymo ir apskaitos sistemos palaikymui</t>
  </si>
  <si>
    <t>Plėsti bei tobulinti Finansų valdymo ir apskaitos sistemą, įdiegtos Vilniaus miesto savivaldybėje ir jos pavaldžiose įstaigose, funkcionalumus. 2018 m. lėšos planuojamos panaudoti FVAS ir PASKATA  sistemų palaikymui. Numatoma plėtra pavaldžiose įstaigose.</t>
  </si>
  <si>
    <t>Iš viso E. miesto departamentas</t>
  </si>
  <si>
    <t>Savivaldybės kontrolieriaus funkcijų vykdymas</t>
  </si>
  <si>
    <t>Kontrolės ir audito tarnybos išlaikymas (17 etatų)
Vilniaus miesto savivaldybės kontrolės ir audito tarnyba yra subjektas, prižiūrintis, ar teisėtai, efektyviai, ekonomiškai ir rezultatyviai valdomas ir naudojamas savivaldybės turtas bei patikėjimo teise valdomas valstybės turtas, kaip vykdomas savivaldybės biudžetas ir naudojami kiti piniginiai ištekliai.</t>
  </si>
  <si>
    <t>Iš viso Kontrolės ir audito tarnyba</t>
  </si>
  <si>
    <t>2017 m. patvirtintas planas</t>
  </si>
  <si>
    <t>Vilniaus miesto kartografinių duomenų bazių kūrimas ir palaikymas</t>
  </si>
  <si>
    <t>Iš viso    07   programai:</t>
  </si>
  <si>
    <t>Atitinkamos kvalifikacijos darbo jėgos samda, aprūpinimas šiuolaikinėmis darbo priemonėmis ir sąlygų darbui sudarymas</t>
  </si>
  <si>
    <t>Agentūra vykdo šias pagrindines veiklas: kultūros paveldo tvarkybą, stebėseną (rengia objektų apžiūros aktus ir fotofiksacijas), edukacinę veiklą, tarptautinę veiklą, koordinuoja Vilniaus miesto savivaldybės Dailiųjų amatų ir etnografinių verslų ir mugių programą, regioninį bendradarbiavimą (ES mastu). Agentūroje dirba aukštos kvalifikacijos savo srities specialistai ir siekiant juos išsaugoti, būtina kelti atlyginimus atsižvelgiant į bendrą ekonominę situaciją šalyje.</t>
  </si>
  <si>
    <t xml:space="preserve">Iš dalies subsidijuojami Vilniaus senamiesčio pastatų išorės (fasadų, stogų) remonto bei aplinkos tvarkymo, išlikusių pastatų ar jų aplinkos autentikos, architektūros bei dailės vertybių išsaugojimas bei eksploatavimas vykdymui  - minimalus lėšų poreikis pagal gautas gyventojų </t>
  </si>
  <si>
    <t>Vilniaus senamiesčio atnaujinimo agentūros informacinio centro veiklos ir tarptautinio bendradarbiavimo projektai</t>
  </si>
  <si>
    <t>Miestovaizdžio projektų rengimas ir įgyvendinimas</t>
  </si>
  <si>
    <t>Vilniaus miesto pėsčiųjų ir dviračių judėjimo gamtiniais ir pažintiniais takais shemos integravimas į tinklalapį - 4,0 tūkst. Eur. miesto įvaizdžio projektų rengimui.</t>
  </si>
  <si>
    <t>Atitinkamos kvalifikacijos darbo jėgos samda, aprūpinimas būtinomis darbo priemonėmis ir sąlygų darbui sudarymas</t>
  </si>
  <si>
    <t>Mokamų paslaugų teikimas (specialiosios lėšos) Pavilnių ir Verkių regioninuose parkuose, siekiant populiarinti parkus pritraukiant kuo daugiau lankytojų</t>
  </si>
  <si>
    <t>Ekskursijų vadovų ir lektorių paslaugos, turistinio inventoriaus nuoma, leidinių apie Pavilnių ir Verkių regioninius parkus bei suvenyrų su parkų simbolika platinimas, naudojimasis sutvarkytais objektais ir teritorijomis, regioninių parkų direkcijai priklausančių patalpų nuoma</t>
  </si>
  <si>
    <t>Pavilnių ir Verkių RP  renginių organizavimas, leidyba, visuomenės informavimas</t>
  </si>
  <si>
    <t>Aplinkosauginių renginių, kalendorinių, etnografinių švenčių organizavimas</t>
  </si>
  <si>
    <t>Regioninių parkų biologinės įvairovės ir kultūros paveldo tyrimai</t>
  </si>
  <si>
    <t>Gamtinių kompleksų moksliniai tyrimai (botaniniai, entomologiniai ir kt.)</t>
  </si>
  <si>
    <t>Pavilnių ir Verkių RP pėsčiųjų (pažintinių ir mokomųjų), dviračių takų, žirginio ir autoturizmo trasų, apžvalgos aikštelių, kultūros paveldo objektų įrengimas ir priežiūra</t>
  </si>
  <si>
    <t xml:space="preserve">Priskirtų teritorijų priežiūra ir įrengtų objektų remontas ir atnaujinimas. Šienavimas 253 ha, įrengtų objektų remontas ir atnaujinimas 18 vnt. Tvarkybos darbai prijungtuose 9 Vilniaus miesto savivaldybės pavaldumo draustiniuose.
Mažosios informacinės infrastruktūros įrengimas naujai priskirtose teritorijose (rodyklės, stendai, suoliukai, šiukšliadėžės ir kita mažoji architektūra). 
</t>
  </si>
  <si>
    <t>NATURA 2000 teritorijų gamtotvarkinių planų rengimas ir įgyvendinimas</t>
  </si>
  <si>
    <t>Natura 2000 ir miško želdinių Verkių dvaro sodybos teritorijoje tvarkymo bei priežiūros darbai</t>
  </si>
  <si>
    <t>Iš viso 11 programai:</t>
  </si>
  <si>
    <t>Urbanistinės plėtros strategijos formavimas</t>
  </si>
  <si>
    <t>Vykdyti Vilniaus miesto Bendrojo plano stebėseną duomenų bazės kaupimui ir aktualių miesto plėtros klausimų sprendimui</t>
  </si>
  <si>
    <t>Detaliųjų, specialiųjų,  žemės sklypų ribų ir kitų planų, programų, schemų rengimas</t>
  </si>
  <si>
    <t xml:space="preserve">ES programos URBACT III projektas URBAN GREEN LABS. </t>
  </si>
  <si>
    <t>Projektas pasibaigė.</t>
  </si>
  <si>
    <t xml:space="preserve"> Istoriniai, paminklosauginiai tyrimai,  Senamiesčio stebėsenos organizavimas, paminklotvarkos sąlygų rengimas</t>
  </si>
  <si>
    <t>Skverų, aikščių,  žaidimų aikštelių, viešųjų erdvių projektų rengimas, reklamos ir mažosios architektūros projektai ir sprendiniai</t>
  </si>
  <si>
    <t>Miesto renginių, konferencijų, seminarų, leidybos miestui aktualiomis temomis organizavimas,visuomenės informavimo projektų rengimas, kitų miesto įvaizdžio elementų gerinimas</t>
  </si>
  <si>
    <t>Viešųjų erdvių meninių akcentų finansavimo programa „Kuriu Vilnių“</t>
  </si>
  <si>
    <t>Architektūrinių konkursų organizavimui</t>
  </si>
  <si>
    <t>Kartografinio archyvo paslaugų teikimas, platinant topografiją</t>
  </si>
  <si>
    <t>Iš viso 13 programai vykdyti</t>
  </si>
  <si>
    <t>Iš viso Miesto plėtros departamentas</t>
  </si>
  <si>
    <t>iš jų skoloms dengti :</t>
  </si>
  <si>
    <t>Patikslintas poreikis paskolų grąžinimui, įvertinant, kad 2018 m. pirmoje pusėje paskolos SEB ir Nordea bankui paskutinė mokėtina suma – 12,6 mln. Eur (baloon) bus pakeista pratęsiant paskolos laikotarpį, sudaro 11.846,1 tūkst. Eur (iš jų 2.846,1 tūkst. Eur numatoma iš SB lėšų, 9.000,0 tūkst. Eur planuojama iš dotacijos pagal Taikos sutartį. Poreikis palūkanoms mokėti - 4.900,0 tūkst. Eur.</t>
  </si>
  <si>
    <t>Transeuropinio tinklo jungtis - Vilniaus miesto vakarinio aplinkkelio III etapas (nuo Ozo g.)(statyba)</t>
  </si>
  <si>
    <r>
      <t>Tęstinė priemonė. Lėšos numatytos kaip 15 proc. kofinansavimo dalis, įsigyjant ekologiškas viešojo transporto priemones pagal 2014–2020 metų ES fondų investicijų  veiksmų programos 4 prioriteto „Energijos efektyvumo ir atsinaujinančių išteklių energijos gamybos ir naudojimo skatinimas“ priemonę 04.5.1-TID-R-518 „Vietinio susisiekimo viešojo transporto priemonių  parko atnaujinimas“. Per projekto 2017-2019 m. įgyvendinimo laikotarpį numatoma gauti 13.455,0 tūkst. Eur ES lėšų, VMS lėšų dalis 2.374,3 tūkst. Eur.</t>
    </r>
    <r>
      <rPr>
        <sz val="9"/>
        <color rgb="FFFF0000"/>
        <rFont val="Times New Roman"/>
        <family val="1"/>
        <charset val="186"/>
      </rPr>
      <t xml:space="preserve"> </t>
    </r>
  </si>
  <si>
    <t>ES paramos valdymas ir vertinimas</t>
  </si>
  <si>
    <t>2017 m. patvirtintas biudžetas</t>
  </si>
  <si>
    <t>2017 m. patikslintas biudžetas*</t>
  </si>
  <si>
    <t>2018 m. poreikis</t>
  </si>
  <si>
    <t>Išmokėti kompensaciją už nemokamą mokinių pavežėjimą</t>
  </si>
  <si>
    <t xml:space="preserve">Mokinių važiavimo išlaidos kompensuojamos vadovaujantis LR Transporto lengvatų įstatymo 6 str. ir Vilniaus miesto savivaldybės tarybos 2013 m. rugsėjo 25 d.  sprendimu  Nr. 1-1477 patvirtintu Mokinių važiavimo organizavimo ir išlaidų kompensavimo tvarkos aprašu.   2018 m. planuojama kompensuoti važiavimo išlaidas 220 mokinių. Vidutiniškai per metus vieno mokinio važiavimo išlaidoms kompensuoti reikia 154 Eur.   Taip pat numatomos lėšos (37,9 tūkst. Eur) mokinių pavėžėjimui iš romų taboro į ugdymo įstaigas. </t>
  </si>
  <si>
    <t>Išmokėti kompensaciją už nemokamo mokinių maitinimo gamybos išlaidas</t>
  </si>
  <si>
    <t>Specialiojo lopšelio-darželio „Čiauškutis“ dienos centro išlaikymas</t>
  </si>
  <si>
    <t>Vaikų vasaros poilsio programų finansavimas</t>
  </si>
  <si>
    <t>Ugdymo įstaigų meninių renginių, konkursų, olimpiadų ir kitų priemonių finansavimas</t>
  </si>
  <si>
    <t>Kūno kultūros ir sporto plėtojimas</t>
  </si>
  <si>
    <t>Išlaikyti sporto mokyklas ir organizuoti darbą</t>
  </si>
  <si>
    <t>Tėvų mokesčio surinkimas kūno kultūros ir sporto ugdymo įstaigose</t>
  </si>
  <si>
    <t>Papildomas lėšų gavimas nuomojant patalpas</t>
  </si>
  <si>
    <t>Dotacija VšĮ „Krepšinio rytas“</t>
  </si>
  <si>
    <t>Dotacija VšĮ „Žalgiris“</t>
  </si>
  <si>
    <t>Dotacija VšĮ Sostinės moterų krepšinio klubas</t>
  </si>
  <si>
    <t>Dotacija VšĮ Vilniaus rankinio centras</t>
  </si>
  <si>
    <t>Dotacija VšĮ Sveikas miestas</t>
  </si>
  <si>
    <t>Dotacija VšĮ Vilniaus teniso akademija</t>
  </si>
  <si>
    <t>Sporto skyriaus finansuojami renginiai</t>
  </si>
  <si>
    <t>Vilniaus mokinių sporto žaidynės</t>
  </si>
  <si>
    <t>Konkursinis sporto renginių finansavimas</t>
  </si>
  <si>
    <t>Neįgaliųjų sporto klubų finansavimas</t>
  </si>
  <si>
    <t>Sporto aikštelių prie mokyklų įrengimas</t>
  </si>
  <si>
    <t>Sporto aikštelių viešosiose erdvėse įrengimas</t>
  </si>
  <si>
    <t xml:space="preserve">Naujo 25 m. baseino Vilniuje projektavimas ir statyba </t>
  </si>
  <si>
    <t>Daugiafunkcinio Lazdynų sveikatingumo centro Vilniuje griovimas ir statyba</t>
  </si>
  <si>
    <t>Gimnastikos salės Kauno g. remontas</t>
  </si>
  <si>
    <t>Avarinės sporto objektų būklės likvidavimas</t>
  </si>
  <si>
    <t>Antrokų mokymo plaukti programa</t>
  </si>
  <si>
    <t>Dotacija VšĮ Lazdynų baseinas</t>
  </si>
  <si>
    <t>Pilaitės gimnazijos stadiono rekonstrukcija</t>
  </si>
  <si>
    <t>Žemynos progimnazės sporto salių kompleksas</t>
  </si>
  <si>
    <t>Gelbėtojų stoties prie Žaliųjų ežerų rekonstrukcija</t>
  </si>
  <si>
    <t>Iš viso 06 programai:</t>
  </si>
  <si>
    <t>09</t>
  </si>
  <si>
    <t>Kultūros veiklos plėtra ir jos vaidmens bendruomenės gyvenime stiprinimas</t>
  </si>
  <si>
    <t>Atitinkamos kvalifikacijos darbo jėgos samda, aprūpinimas būtinomis darbo priemonėmis ir sąlygų darbui sudarymas bibliotekose</t>
  </si>
  <si>
    <t>Mokamų paslaugų teikimas bibliotekose</t>
  </si>
  <si>
    <t>Atitinkamos kvalifikacijos darbo jėgos samda, aprūpinimas būtinomis darbo priemonėmis ir sąlygų darbui sudarymas muziejuose</t>
  </si>
  <si>
    <t>Mokamų paslaugų teikimas muziejuose</t>
  </si>
  <si>
    <t>Atitinkamos kvalifikacijos darbo jėgos samda, aprūpinimas būtinomis darbo priemonėmis ir sąlygų darbui sudarymas kultūros centruose BIBA</t>
  </si>
  <si>
    <t>Atitinkamos kvalifikacijos darbo jėgos samda, aprūpinimas būtinomis darbo priemonėmis ir sąlygų darbui sudarymas kultūros centruose (Nauja Vilnia)</t>
  </si>
  <si>
    <t>Atitinkamos kvalifikacijos darbo jėgos samda, aprūpinimas būtinomis darbo priemonėmis ir sąlygų darbui sudarymas kultūros centruose (Etno centras)</t>
  </si>
  <si>
    <t>Atitinkamos kvalifikacijos darbo jėgos samda, aprūpinimas būtinomis darbo priemonėmis ir sąlygų darbui sudarymas kultūros centruose (Vilniaus kultūros centras)</t>
  </si>
  <si>
    <t>Mokamų paslaugų teikimas organizuojant poilsio vakarus ir kitus renginius kultūros centruose</t>
  </si>
  <si>
    <t>Dotacija Šv. Kristoforo kameriniam orkestrui</t>
  </si>
  <si>
    <t>Dotacija VšĮ Senamiesčio teatrui</t>
  </si>
  <si>
    <t>Dotacija VšĮ Vilniaus rotušei</t>
  </si>
  <si>
    <t>Dotacija VšĮ kultūros ir švietimo centrui Vilniaus mokytojų namams</t>
  </si>
  <si>
    <t>Dotacija megėjų meno kolektyvams, stipendijos ir premijos</t>
  </si>
  <si>
    <t>Dotacija VšĮ Trakų Vokės dvaro sodyba</t>
  </si>
  <si>
    <t>Kultūrinių projektų, laimėjusių konkursus, finansavimas</t>
  </si>
  <si>
    <t>Profesionalių meno trupių konkursinis finansavimas</t>
  </si>
  <si>
    <t>Savivaldybės įstaigų vykdomų kultūrinių projektų konkursinis finansavimas</t>
  </si>
  <si>
    <t>Vilniaus atminties kultūros puosėlėjimas</t>
  </si>
  <si>
    <t>Kompensacija už savivaldybės nuomojamas patalpas</t>
  </si>
  <si>
    <t>Vilnius pasaulio knygų sostinė 2022 paruošiamieji darbai</t>
  </si>
  <si>
    <t>Elektroninių planų ir ataskaitų įstaigoms sukūrimas ir įdiegimas</t>
  </si>
  <si>
    <t>Kultūros ir meno renginiai ir projektai</t>
  </si>
  <si>
    <t>Valstybės šventės ir tradiciniai miesto renginiai</t>
  </si>
  <si>
    <t>Kalėdos Vilniuje</t>
  </si>
  <si>
    <t>Kūrybinių industrijų skatinimo programa</t>
  </si>
  <si>
    <t>Vilniaus mugių programa</t>
  </si>
  <si>
    <t>Vilniaus švenčių programa</t>
  </si>
  <si>
    <t>Tradicinės (etninės) kultūros programa</t>
  </si>
  <si>
    <t>Lietuvos Valstybės šimtmečio programai</t>
  </si>
  <si>
    <t>Tarptautinių ir vietinių projektų, seminarų  finansavimas</t>
  </si>
  <si>
    <t>Naujosios Vilnios kultūros centro pastato Vilniuje, Pergalės g. 8, rekonstravimas ir modernizavimas</t>
  </si>
  <si>
    <t>VšĮ "Menų spaustuvė" infrastruktūros pagerinimas</t>
  </si>
  <si>
    <t>Mokytojų namų kiemelio tvarkybos darbai</t>
  </si>
  <si>
    <t>Trakų Vokės dvaro sodybos Rūmų pastato restauracija, didinant kultūros, turizmo bei edukacijos paslaugų teikimo efektyvumą</t>
  </si>
  <si>
    <t>Vilniaus rotušės pastato avarinės būklės šalinimo darbai</t>
  </si>
  <si>
    <t>Energetikos ir technikos muziejaus patalpų išplėtimas</t>
  </si>
  <si>
    <t>Iš viso 09 programai:</t>
  </si>
  <si>
    <t>Vaikų, jaunimo ir suaugusiųjų ugdymas</t>
  </si>
  <si>
    <t>01010102
01020101
01030102
01030105</t>
  </si>
  <si>
    <t>Socialinio draudimo įmokos</t>
  </si>
  <si>
    <t>Mityba</t>
  </si>
  <si>
    <t>Ryšių paslaugos</t>
  </si>
  <si>
    <t xml:space="preserve">Transporto išlaikymas </t>
  </si>
  <si>
    <t>Spaudiniai</t>
  </si>
  <si>
    <t>Kitos prekės</t>
  </si>
  <si>
    <t>Ilgalaikio materialiojo turto einamasis remontas</t>
  </si>
  <si>
    <t>Apranga ir patalinė</t>
  </si>
  <si>
    <t>Medikamentai</t>
  </si>
  <si>
    <t>Kvalifikacijos kėlimas</t>
  </si>
  <si>
    <t>Komunalinės paslaugos:</t>
  </si>
  <si>
    <t>šildymas</t>
  </si>
  <si>
    <t>elektros energija</t>
  </si>
  <si>
    <t>vandentiekis ir kanalizacija</t>
  </si>
  <si>
    <t>šiukšlių išvežimas</t>
  </si>
  <si>
    <t>Socialinė parama</t>
  </si>
  <si>
    <t>Kitos išlaidos ir paslaugos</t>
  </si>
  <si>
    <t>Švietimo įstaigų ugdymo kokybės gerinimas</t>
  </si>
  <si>
    <t>Kompensacija už lankymą nevalstybinėse ikimokyklinėse įstaigose (100 Eur)</t>
  </si>
  <si>
    <t>01090206001</t>
  </si>
  <si>
    <t>Investicinė programa</t>
  </si>
  <si>
    <t>Skoloms dengti:</t>
  </si>
  <si>
    <t>Papildomas lėšų gavimas iš patalpų nuomos švietimo ugdymo įstaidose</t>
  </si>
  <si>
    <t>Tėvų mokesčio surinkimas, mokamų paslaugų teikimas švietimo ugdymo įstaigose</t>
  </si>
  <si>
    <t>Iš viso 01 programai:</t>
  </si>
  <si>
    <t>Iš viso Švietimo, kultūros ir sporto departamentas</t>
  </si>
  <si>
    <t>Tęstinė priemonė. Lėšos bus naudojamos 545 naujo tipo vaikų žaidimo aikštelių eksploatavimui. 
2018 m. planuojama skirti daugiau lėšų, nes numatoma  įrengti  dar 68 naujas vaikų žaidimo aikšteles.</t>
  </si>
  <si>
    <t>Skatinant turizmo produktų įvairovę, didinant turizmo produktų pasiūlą ir siekiant mažinti turizmo srautų sezoniškumą bei pailginti buvimo Vilniuje trukmę, kurti naujus vietinio  turizmo produktus, skirtus šeimoms, vaikams, jaunimui,  aktyviems turistams. Sukurtų naujų projektų skaičius - 3. Papildomai reikalingos lėšos Vilniaus miesto rajonus pristatančio projekto  įgyvendinimui (Užsienio ryšių ir turizmo skyriaus 2017-12-08 raštas Nr. A121-27840/17(2.1.19-AD8). Projekto metu apie kiekvieną Vilniaus rajoną (iš viso 22 ) būtų kuriama vaizdinė medžiaga, trumpi video, pabrėžiant kiekvieno Vilniaus rajono unikalumą. Rajonų pristatymui taip pat būtų kuriamas atskiras informatyvus ir vizualiai patrauklus Vilniaus miesto savivaldybės interneto svetainės www.vilnius.lt polapis, visus metus vykdoma nuolatinė komunikacija socialiniuose tinkluose (kuriamas ir administruojamas atskiras Facebook puslapis), vykdomos reklaminės kampanijos žiniasklaidoje, leidžiami leidiniai bei įgyvendinamos kitos rinkodaros priemonės.</t>
  </si>
  <si>
    <t>Dotacijoms pagal protokolinius pavedimus padidinti</t>
  </si>
  <si>
    <t>2 bibliotekos filalams renovuoti</t>
  </si>
  <si>
    <t>Vilniaus rotušės pastato renovacija</t>
  </si>
  <si>
    <t xml:space="preserve">Tęstinė priemonė. Vyksta parengiamieji darbai, siekiant gauti ES finansavimą: rengiami projektiniai pasiūlymai, investicinis  projektas, teikiamos paraiškos Centrinei projektų valdymo agentūrai, rengiamas techninis projektas. Patvirtinus finansavimą 2018 m. bus skelbiamas viešasis pirkimas rangos darbams atlikti.  </t>
  </si>
  <si>
    <t>Tęstinė priemonė. Pasirašyta rangos sutartis, vyksta darbai, kuriuos planuojama baigti 2019 m. Teikiama paraiška dėl ES investicijų gavimo, sutartį dėl finansavimo planuojama pasirašyti 2018 m. vasario mėn.</t>
  </si>
  <si>
    <t>Tęstinė priemonė. Vyksta parengiamieji darbai, siekiant gauti ES finansavimą: rengiami projektiniai pasiūlymai, investicinis  projektas, teikiamos paraiškos Transporto investicijų direkcijai, rengiamas techninis projektas. Patvirtinus finansavimą 2018 m. I ketv. bus skelbiamas viešasis pirkimas rangos darbams atlikti.</t>
  </si>
  <si>
    <t>Tęstinė priemonė. Vyksta parengiamieji darbai, siekiant gauti ES finansavimą: rengiami projektiniai pasiūlymai, investicinis  projektas, teikiamos paraiškos Transporto investicijų direkcijai, tikslinamas techninis projektas. Patvirtinus finansavimą, 2018 m.III ketv. bus skelbiamas viešasis pirkimas rangos darbams atlikti.</t>
  </si>
  <si>
    <t>Tęstinė priemonė. ES finansavimas gautas.  Parengus techninį projektą, 2018 m. I ketv. bus pradėtos viešųjų pirkimų procedūros rangos darbams atlikti. Darbus planuojama pradėti 2018 metų III ketvirtyje, baigti 2019 m. IV ketv.</t>
  </si>
  <si>
    <t>Tęstinė priemonė. ES finansavimas gautas.  Parengus techninį projektą 2018 m. I ketv.bus pradėtos  viešųjų pirkimų procedūros rangos darbams atlikti. Darbus planuojama pradėti 2018 metų III ketvirtyje.</t>
  </si>
  <si>
    <t>Tęstinė priemonė. Vyksta susisiekimo infrastruktūros projektavimo prie Lazdynų baseino parengiamieji darbai. Viešieji pirkimai planuojami 2018 m. III ketv.</t>
  </si>
  <si>
    <t>Tęstinė priemonė. Vyksta projektavimas. Pirkimus planuojama pradėti 2018 m. I ketv.Darbus planuojama pradėti 2018 m. IV ketv. ir atlikti iki 2019 metų pabaigos.</t>
  </si>
  <si>
    <t xml:space="preserve">Tęstinė priemonė. Rengiamas techninis projektas. Baigti projektavimą planuojama 2018 m. IV ketv. Patvirtinus finansavimą, bus skelbiamas viešasis pirkimas rangos darbams atlikti.  </t>
  </si>
  <si>
    <t xml:space="preserve">Vyksta parengiamieji darbai, siekiant gauti ES finansavimą: rengiami projektiniai pasiūlymai, investicinis  projektas, teikiamos paraiškos Centrinei projektų valdymo agentūrai, rengiamas techninis projektas. Patvirtinus finansavimą, 2018 M. III ketv. bus skelbiamas viešasis pirkimas rangos darbams atlikti.  </t>
  </si>
  <si>
    <t>Planuojama nupirkti 104 butus, kurie būtų išnuomoti socialiai remtiniems asmenims, įrašytiems į sąrašus socialinio būsto nuomai.</t>
  </si>
  <si>
    <t>Bibliotekos patalpų remontas ir turto įsigijimas</t>
  </si>
  <si>
    <t>-10,0 tūkst. Eur bus skiriama romų šeimoms pagal integracijos programą būsto nuomos ar išperkamosios būsto nuomos mokesčio kompensacijoms mokėti;
- 200,0 tūkst. Eur yra skiriama SĮ „Vilniaus miesto būstas“ nuomos mokesčio kompensacijoms dengti pagal 2007-01-24 Savivaldybės tarybos sprendimu Nr. 1-1515 patvirtintą socialinio būsto nuomos kompensavimo Vilniaus mieste tvarką.</t>
  </si>
  <si>
    <t>VšĮ „Rastis“ finansavimas</t>
  </si>
  <si>
    <t>VŠĮ dienos centro „Mes esame“ finansavimas</t>
  </si>
  <si>
    <t>Iš jų:
- 5,0 tūkst. Eur atšvaitams (akcijai „Apsaugok mane“);
- 28,0 tūkst. Eur nešiojami kompiuteriai ir spausdintuvai į VTS automobilius;
- 6,1 tūkst. Eur nešiojamos vaizdo kameros, skirtos nešioti pareigūnams vykdant VTS funkcijas;
- 2,0 tūkst. Eur Viešuosios tvarkos skyrius numato įsigyti 2 dviračius;
- 15,0 tūkst. Eur Planuojama įgyvendinti tikslines priemones kartu su Vilniaus apskrities VPK  bendruomenės pareigūnais ir bendruomenėmis: grafiti prevencija, akcija „Pramogauk saugiai“, patruliavimą su dviračiais. Tęsti tikslinę priemonę su bendruomenėmis informuojant apie gyvūnų augintinių ekskrementų rinkimo svarbą viešosiose vietose (akcija „Auginu atsakingai“).  Planuojamos vykdyti tęstinės priemonės švietimo įstaigose supažindinant moksleivius su elgesio viešosiose vietose reikalavimais, atsakomybe ir pasekmėmis, organizuojant žinių patikrinimo testus ir apdovanojant simbolinėmis atminimo dovanomis .  Vykdyti edukacines pamokas moksleiviams dėl saugaus elgesio su šunimis, bendradarbiaujant su Lietuvos policijos kriminalistinių tyrimų centro Kinologijos valdyba;
- 12,5 tūkst. Eur Eiliniai mokėjimai AB „Telia“ pagal 2017 m. vasario 13 d. sutartį Nr. A64-15/17(3.10.22-TD2) dėl Bernardinų sodo vaizdo stebėjimo kamerų vaizdo transliavimo ir priežiūros paslaugų  pirkimo.
- 77,0 tūkst. Eur stebėjimo kamerų vaizdo transliavimo paslaugoms;
- 6,5 tūkst. Eur administracinių nusižengimų (pažeidimų) administravimo procesų optimizavimui;
- 45,0 tūkst. Eur radijo ryšio ir vietos identifikavimo paslaugoms;
- 272,0 tūkst. Eur Planuojama įsigyti paslaugą, kai lengvajame automobilyje įrengta pažeidimų fiksavimo sistema du paslaugos teikėjo darbuotojai fiksuos Kelių eismo taisyklių pažeidimus, o trys tos pačios įmonės darbuotojai Vilniaus apskrities VPK Kelių policijos valdyboje padės apdoroti užfiksuotų pažeidimų duomenis;
- 10,0 tūkst.  Eur bešeimininkių kačių būdų (slėptuvių) įrengimui;
- 97,0 tūkst. Eur grafičių valymui ir grafičių ant statinių uždažymui.</t>
  </si>
  <si>
    <t>Iš planuojamų surinkti pajamų už suteiktas paslaugas bus apmokama VĮ "Registrų centras", UAB „Ciklonas“ už atliktas paslaugas.</t>
  </si>
  <si>
    <t xml:space="preserve">2018 m. bus rengiamas NATURA 2000 teritorijos „Kaukysos upės slėnis” gamtotvarkos planas
</t>
  </si>
  <si>
    <t xml:space="preserve">Tęstinis projektas, 2017 m. parengti gamtotvarkos planai NATURA 2000 teritorijose „Ežerėlių kompleksas”, „Žaliųjų ežerų apylinkės”, o 2018 m. bus šių gamtotvarkos planų priemonių įgyvendinimas
</t>
  </si>
  <si>
    <t>Tęstinė priemonė. Pagal 2011 m. gruodžio 29 d. Paslaugų teikimo sutartį Nr. A72-2190(3.1.36-UK), sudarytą su UAB „Grinda“  lėšos naudojamos Centrinės dispečerinės ir vidaus tinklų tarnybos išlaikymui. Ši tarnyba likviduoja arba lokalizuoja avarijas vidaus nuotekų, vandentiekio, šilumos ir elektros inžineriniuose tinkluose ir atlieka budėjimo, informacijos priėmimo ir kvalifikuotų informacinių paslaugų suteikimo funkcijas, kurių negali suteikti BPC.</t>
  </si>
  <si>
    <t xml:space="preserve"> Tęstinė priemonė. Lėšos reikalingos Vilniaus senųjų žydų kapinių Olandų gatvėje  techninio projekto įgyvendinimui, teritorijų Olandų ir Rinktinės gatvėse sutvarkymui, atvežus iš UAB „Vilniaus žaluma“ saugomus ir  atrinktus antkapinius paminklus.</t>
  </si>
  <si>
    <t>Pagal Vilniaus miesto savivaldybės tarybos 2013-12-11 spr. Nr. 1-1592 „Dėl paramos skyrimo daugiabučių gyvenamųjų namų, esančių senamiestyje ir jo apsaugos zonose, fasadų elementų galimai avarinės būklės likvidavimui tvarkos aprašo tvirtinimo“. Finansinė parama teikiama daugiabučių gyvenamųjų namų fasadų elementų – balkonų, karnizų, parapetų remonto ir architektūrinių detalių galimos avarinės ar avarinės būklės likvidavimo (remonto ar atkūrimo) darbams.</t>
  </si>
  <si>
    <t xml:space="preserve">Tęstinė priemonė. Vadovaujantis 2015 m. birželio 19 d. LR Vidaus reikalų ministro įsakymu Nr. 1V-513 „Dėl Vilniaus miesto integruotos teritorijos vystymo programos patvirtinimo“  patvirtinta Vilniaus miesto integruotų teritorijų vystymo programa ir įgyvendinant   2014–2020 metų Europos Sąjungos struktūrinių fondų investicijų veiksmų programą, vykdomi parengiamieji darbai, siekiant gauti ES finansavimą: rengiami projektiniai pasiūlymai, investicinis  projektas, teikiamos paraiškos Centrinei projektų valdymo agentūrai, rengiamas techninis projektas.   Patvirtinus finansavimą bus skelbiamas viešasis pirkimas rangos darbams atlikti.  </t>
  </si>
  <si>
    <t>Lėšų poreikis gautas po maksimalių asignavimų pateikimo.</t>
  </si>
  <si>
    <t>Investiciniai projektai.</t>
  </si>
  <si>
    <t>Tęstinė priemonė. Lėšos bus naudojamos šiems darbams: gatvių pavadinimų lentelių gamybai ir tvirtinimui; kanalizuotų tualetų eksploatacijai, paplūdimių priežiūrai, fontanų priežiūrai, peronų ir įvažų stotelėse įrengimui ir priežiūrai; suoliukų ir kitų statinių remontui gyvenamųjų namų kiemuose, miesto papuošimui švenčių proga, riboženklių „Vilnius“ remontui, nekilnojamo turto inventorizacijai, kitiems nenumatytiems darbams.
Asignavimai numatomi didesni dėl Savivaldybės ir AB ,,Vilniaus šilumos tinklai“' atstovavimo arbitražo byloje su ,,Veolia'“ ir ,,Vilniaus energija“ teisinių paslaugų pirkimo.</t>
  </si>
  <si>
    <t>Gauta  virš 400 paraiškų, o finansavimas skirtas tik 131 projektui.</t>
  </si>
  <si>
    <t>Didėja dėl pakelto DU įstaigos direktorei.</t>
  </si>
  <si>
    <t xml:space="preserve">Dėl augančių kainų komunalinėm išlaidom, prekių ir paslaugų kainų augimo, nepakankamo DU fondo pagal naują Valstybės ir savivaldybių įstaigų darbuotojų darbo apmokėjimo įstatymą.
Reikalingas remontas Naujosios Vilnios bibliotekoje, nes VIP lėšomis remontuojamas Naujosios Vilnios kultūros centro pastatas, kuriame yra biblioteka.
</t>
  </si>
  <si>
    <t>Gelbėtojų stoties ir Vilniaus miesto sporto centro irklavimo bazės įkūrimo projektas, naujo pastato (gelbėjimo stoties ir valčių elingo) statyba.</t>
  </si>
  <si>
    <t>Naujas trijų universalios paskirties salių komplekso statybos projektas, kurio įgyvendimui bus naudojamos VMS lėšos.</t>
  </si>
  <si>
    <t>Všį Lazdynų baseino veiklai užtikrinti (nepakanka lėšų darbuotojų darbo užmokesčiui).</t>
  </si>
  <si>
    <t>Vyriausybė jau 2 metus vykdo vaikų plaukimo programą, prie kurios įgyvendinimo nutarė prisidėti ir Vilniaus miesto savivaldybė.</t>
  </si>
  <si>
    <t xml:space="preserve"> Naujų sporto objektų (Lazdynų daugiafunkcio centro, 25 m baseino Fabijoniškėse) statybos projektavimo ir rangos darbai.</t>
  </si>
  <si>
    <t>Didėja Savivaldybės dalis nuo Neįgaliųjų departamento skiriamos sumos.</t>
  </si>
  <si>
    <t>Sporto projektų konkursinės paramos programos tęstinumas.</t>
  </si>
  <si>
    <t>Didėja, nes numatomaVelomaratonui organizuoti.</t>
  </si>
  <si>
    <t>Numatoma sporto festivaliui organizuoti Litexpo rūmuose ir Kalėdinei čiuožyklai organizuoti.</t>
  </si>
  <si>
    <t>Šią priemonę dėl mažos darbų apimties asignavimų valdytojas siūlo prijungti prie priemonės 14010109 ,,Kiti darbai komunalinių paslaugų srityje“.</t>
  </si>
  <si>
    <t>Investicijų projektui ,,Komunalinių atliekų konteinerių aikštelių įrengimas ir komunalinių atliekų konteinerių aikštelėms įsigijimas Vilniaus mieste“ vykdyti (vadovaujantis LR Aplinkos ministro 2017 m. rugpjūčio 8 d. įsakymu Nr. D1-659 „Dėl finansavimo skyrimo projektams, pateiktiems pagal 2014-2020 metų Europos Sąjungos fondų investicijų veiksmų programos 5 prioriteto „Aplinkosauga, gamtos išteklių darnus naudojimas ir prisitaikymas prie klimato kaitos“ 05.2.1-APVA-R-008 priemonę „Komunalinių atliekų tvarkymo infrastruktūros plėtra“).</t>
  </si>
  <si>
    <t xml:space="preserve">Investicijų projektui ,,Vilniaus regiono komunalinių atliekų tvarkymo sistemos plėtra“, kadangi Vilniaus regiono savivaldybės atitinkamais sprendimais įsipareigojo kofinansuoti projektą per 10 metų proporcingai didinant bendrovės įstatinį kapitalą, paskirstant Savivaldybių kofinansuojamą dalį  pagal  UAB VAATC turimų akcijų proporciją. </t>
  </si>
  <si>
    <t>Mokinių vasaros stovykloms organizuoti.</t>
  </si>
  <si>
    <t>Lėšos reikalingos Europos Sąjungos lėšomis dalinai finansuojamų projektų „Vilniaus miesto ir regiono prioritetinių turizmo traukos vietovių e. rinkodara“ ir „Pietryčių Lietuvos krašto e.rinkodara“ bendrafinansavimui. Įgyvendintų ES lėšomis dalinai finansuojamų projektų skaičius - 2.</t>
  </si>
  <si>
    <t>Bendrijų steigimosi  skatinimo  proceso išlaidoms apmokėti  ( IĮ „Ego sum“);  Registrų centro, notarų  paslaugoms apmokėti;  Vilniaus miesto daugiabučių namų Interaktyvaus žemėlapio tobulinimui.</t>
  </si>
  <si>
    <t>75 proc. Savivaldybės vaikų socialinės globos namų vaikų gyvens bendruomenėje. Asignavimai numatomi pastatų ir patalpų įrengimui, išformuojant vaikų globos namus „Gilė“.</t>
  </si>
  <si>
    <t xml:space="preserve">Vilniaus planui mokėjimai pagal MPD užsakymus. Pateiktas poreikis pagal 2017 m. darbų apimtį. </t>
  </si>
  <si>
    <t>Vilniaus planui mokėjimai pagal MPD užsakymus. Pateiktas poreikis pagal 2017 m. darbų apimtį.</t>
  </si>
  <si>
    <t>Vykdant šią priemonę, pagal Vilniaus miesto bendrojo plano temas rengiami specialieji, detalieji, žemės sklypų ribų planai, schemos, projektiniai pasiūlymai, specialiųjų architektūrinių sąlygų ir techninių specifikacijų parengimas ir kt., iš jų:
1. Trijų pilotinių kaimynijų sutvarkymo projektiniai pasiūlymai, rengiant sklypo plano dalį, jos vizualizaciją, siūlomų tvarkyti objektų specifikacijas ir atliekant viešinimo procedūras;
2. Teritorijų kaimynijų ir kvartalų schemos ribų keitimas, tikslinimas, stebėsena (monitoringas);
3. Jamonto parko projektiniai pasiūlymai;
4. Lūžių parko sutvarkymo projektiniai pasiūlymai;
5. Medžiaga išorinės vaizdinės reklamos inžinerinių įrenginių ir statinių įrengimo ir eksploatavimo konkursams - 2 schemos su reikalavimais, ~ 100 teritorijų  architektūrinės spec. sąlygos (besibaigiančių sutarčių vietose naujų  konkursų skelbimui);
6. Reklamos įrenginių esamos būklės fiksavimas, stebėsena, naujų vietų poreikio analizė ir rekomendacijos („monitoringas“), plėtros ir dizaino tipų sklaidos schemų ir medžiagos konkursams parengimas;
7. 16-os anksčiau parengtų sklaidos (ar plėtros) schemų keitimas - papildymas, koregavimas pagal naująjį BP ir 10-ių trūkstamų schemų parengimas;
8. 20 lauko kavinių teritorijų architektūrinių specialiųjų sąlygų parengimas įvairiose teritorijose;
9. Reikalavimai išorinės vaizdinės reklamos (IVR) pateikimo priemonėms (BP reklamos sluoksnio papildymas - vietoje esamp IVR spec. plano);
10. Specialiųjų planų parengimas - 3 vnt.
Bei kitų detaliųjų, specialiųjų, žemės sklypų ribų ir kitų planų, programų, schemų rengimui pagal Mero, Mero pavaduotojo ir Administracijos direktoriaus protokolinius pavedimus, kurių vidutiniškai bus apie 60.</t>
  </si>
  <si>
    <t xml:space="preserve">Gavėjų skaičius ir  išlaidos didėja dėl nuo 2017 m. birželio 1 d. nustatyto kompensavimo dydžio 10 proc. (buvo 20 proc.), nuo 2018 m. sausio 1 d. keičiamo VRP dydžio (nuo 102 Eur iki 122 Eur). 2018 m. prognozuojamas vidutinis gavėjų skaičiaus - 23360 gavėjų per mėn. Planuojamas 2017 m. gavėjų skaičius  per mėn. - 1168.
Kompensavimas nepasiturintiems gyventojams - 3.434,0 tūkst. Eur., iš jų: kompensacijoms už išlaidas būsto šildymui - 2.700,0 tūkst. Eur., kompensacijoms už išlaidas karštam vandeniui - 300,0 tūkst. Eur, kompensacijoms už išlaidas geriamam vandeniui - 34,0 tūkst. Eur., kompensacijoms kreditui daugiabučiam namui atnaujinti (modernizuoti) ir palūkanoms apmokėti - 400,0 tūkst. Eur.  </t>
  </si>
  <si>
    <t>Poreikis DUF ir socialinio draudimo įmokoms didėja  215,9 tūkst. Eur pagal 2017-01-17 LR Valstybės ir savivaldybių įstaigų darbuotojų darbo apmokėjimo įstatymą Nr.XIII-198 ir vykdantMero pavaduotojo pasitarimo Socialinių reikalų ir sveikatos departamento klausimais protokolinį pavedimą (2017-10- protokolas Nr. 28-439/17(1.2.13-T1)). Didėja poreikis darbo užmokesčiui, nes nuo 2017-02-01 įsigaliojo nauji biudžetinių įstaigų darbuotojų koeficientai. Nuo 2018 metų bus reikalingos papildomos lėšos kintamąjai daliai mokėti, tuo tarpu valstybės biudžeto dotacija mokama, atsižvelgiant į turimų vaikų skaičių, kuriems valstybės globa skirta iki 2007 m., mažės, nes vaikai išleidžiami į savarankišką gyvenimą. Dėl šios priežasties iš valstybės biudžeto 2018 m. bus skirta mažiau lėšų nei 2017 metais.
28 paslaugų gavėjai.  2018 m. projekte planuojama: DU ir socialinio draudimo įmokos - 524,0 tūkst. Eur, prekės ir paslaugos - 61,2 tūkst. Eur.</t>
  </si>
  <si>
    <t>Tęstinė priemonė. Vilniaus miesto apšvietimo sistemą sudaro:  709 maitinimo punktai,  244 skirstomosios spintos,  60,6 km orinių, 1321,7 km kabelinių ir 336,0 km orinių kabelinių linijų, 50374 šviesos taškai,  iš jų 3356 vnt. su LED šviesos šaltiniu. Per 2017 m. šviesos taškų su LED šviesos šaltiniu padaugėjo beveik 2 kartus. 2018 m. bus pradėtas įgyvendinti Vilniaus m. gatvių apšvietimo sistemos modernizavimo projektas, kurio bendra vertė – 21,64 mln Eur. Per 2018 metus planuojama pakeisti beveik 11.000 šviestuvų į šviestuvus su LED šviesos šaltiniu, 26,5 km apšvietimo elektros tiekimo linijų su priklausiniais, pradėti diegti vieningą valdymo ir kontrolės sistemą. Lėšos bus naudojamos gatvių apšvietimo tinklų priežiūrai, remontui ir atstatymui, naujo gatvių apšvietimo tinklo įrengimui, apmokėti  išlaidas už sunaudotą  elektros energiją  gatvėms apšviesti.</t>
  </si>
  <si>
    <t>Tęstinė priemonė. 2016-10-16 sprendimas Nr.1-1495 „Dėl Vilniaus miesto Tvarios energijos veiksmų plano tvirtinimo“. VMSA yra įsipareigojusi parengti tvarios energijos veiksmų planą, siekdama sumažinti šiltnamio efektą sukeliančių dujų išmetimus iki 2020 metų ne mažiau kaip 20 proc. lyginant su baziniais 2003 metais ir 40 proc. iki 2030 metų. Teikti ataskaitas (atlikti monitoringą) kaip tas planas yra vykdomas.</t>
  </si>
  <si>
    <t>Tęstinė priemonė. Numatoma pirkti 7 gatvių šlavimo ir 3 daugiafunkcines hidrodinamines mašinas.  Projektas finansuojamas ES investicijomis, finansavimas gautas. Vyksta viešieji pirkimai. Sutartis planuojama sudaryti 2018 m. I ketv.</t>
  </si>
  <si>
    <t>Jaunimo, su jaunimu dirbančių orgranizacijų programų ir renginių, skirtų jaunimui, finansavimas.  VšĮ Vilniaus neformaliojo ugdymo ir savanorystės finansavimas ir šio centro Tarybos sprendimu  patvirtintų naujų funkcijų finansavimas.</t>
  </si>
  <si>
    <t>Priemonės lėšomis finansuojama atvirų jaunimo centrų, dienos centrų veiklai (darbuotojų išlaikymas, komunalinės išlaidos). Papildomos lėšos būtų skiriamos dėl pasikeitusio darbo apmokėjimo tvarkos ir papildomiems jaunimo darbuotojų etatams steigti (20,1 tūkst. Eur). Esant galimybei prašoma skirti lėšas atviro ir mobilaus darbo su jaunimu paslaugoms pirkti (3 jaunimo darbuotojų paslaugos). Papildomos darbo su jaunimu paslaugos būtų teikiamos Grigiškių, Naujosios Vilnios bei Vilkpėdės seniūnijos ir Vilniaus romų tabore (kirtimuose).</t>
  </si>
  <si>
    <t>Naujas projektas, kurio įgyvendinimui bus naudotos valstybės biudžeto (0,6 mln. eurų) ir VMS lėšos.</t>
  </si>
  <si>
    <t>„Skalvijos“ kino centro perimtų patalpų remontas ir išlaikymas</t>
  </si>
  <si>
    <t>Tarptautinis renginys „What's Next?“</t>
  </si>
  <si>
    <t>Tarptautinis renginys „Loftas Fest“</t>
  </si>
  <si>
    <t>Dotacija VšĮ „Sakralus menas“</t>
  </si>
  <si>
    <t>Dotacija VšĮ „Žydų kultūros ir informacijos centras“</t>
  </si>
  <si>
    <t>Dotacija VšĮ „Rytų Azijos menų centras“</t>
  </si>
  <si>
    <t>Dotacija VšĮ „Jono Meko vizualinių menų centras“</t>
  </si>
  <si>
    <t>Dotacija VšĮ „Lietuvos energetikos muziejus“</t>
  </si>
  <si>
    <t>Dotacija VšĮ „Oskaro Koršunovo teatras“</t>
  </si>
  <si>
    <t>Dotacija VšĮ „Vilniaus vaikų ir jaunimo meno galerija“</t>
  </si>
  <si>
    <t>Dotacija VšĮ „Vilniaus festivaliai“</t>
  </si>
  <si>
    <t>Dotacija VšĮ „Užupio meno inkubatorius“</t>
  </si>
  <si>
    <t>Dotacija VšĮ „Menų spaustuvė“</t>
  </si>
  <si>
    <t>Dotacija VšĮ „Skalvijos“ kino centrui</t>
  </si>
  <si>
    <t>Dotacija kameriniam chorui „Jauna muzika“</t>
  </si>
  <si>
    <t>Tęstiniai darbai, iš jų: teritorijų priežiūra ir įrengtų objektų remontas ir atnaujinimas, biologinės įvairovės ir kultūros paveldo objektų tyrimai, gamtotvarka (Natura 2000), viešinimas, šienavimas 253 ha, įrengtų objektų remontas ir atnaujinimas 18 vnt., BAST teritorijos „Kaukysos upės slėnis” ornitologiniai tyrimai ir gamtotvarkos plano parengimas, invazinių rūšių populiacijų registravimo IT programa ir populiacijos gausumo reguliavimo darbai, Verkių dvaro sodybos paviljono kultūros vertingųjų savybių tyrimai, edukaciniai renginiai gamtos ir kultūros paveldo objektams pažinti 8 vnt., gamtotvarkos priemonių įgyvendinimas pagal 2017 m. parengtus gamtotvarkos planus BAST teritorijose „Ežerėlių kompleksas”, „Žaliųjų ežerų apylinkės”. Nauji darbai: tvarkybos darbai prijungtuose 9 Vilniaus miesto savivaldybės pavaldumo draustiniuose, mažosios informacinės infrastruktūros įrengimas naujai priskirtose teritorijose (rodyklės, stendai, suoliukai, šiukšliadėžės ir kita mažoji architektūra), teritorijų pritaikymas visuomenės poreikiams, edukacijai ir aplinkosauginiam švietimui (teritorijų šienavimas, šiukšlių rinkimas, menkaverčių medžių ir krūmų šalinimas ir kita reikalinga priežiūra), dviejų draustinių (Cedrono aukštupio kraštovaizdžio draustinis ir Valakupių klonio geomorfologinis draustinis) gamtinių kompleksų moksliniai tyrimai, jų išskirtinių vertybių būklės tikslinimas. Pažymėtina, kad 2017 m. bėgyje prijungus prie regioninių parkų 9 draustinius (direkcijos administruojama teritorija padidėja 1738,57 ha, kas sudaro 26,5 proc. esamos teritorijos) padidėjo darbuotojų darbo krūvis, pasikeitė funkcijos bei kitos iki tol neaptartos darbo sąlygos. Taip pat pasibaigus Viešųjų darbų programai, numatomos papildomos pareigybės nekvalifikuotiems lauko darbams. Dėl išvardintų esminių priežasčių biudžeto lėšų poreikis palyginus su 2017 m. patvirtintu planu didėja 137,1 tūkst. Eur, iš jų 107,1 tūkst. Eur  darbo užmokesčiui ir socialinio draudimo įmokoms.</t>
  </si>
  <si>
    <t>Skoloms mokėti</t>
  </si>
  <si>
    <t>VšĮ Antakalnio poliklinikos projektas „Panoraminio lifto įrengimas VšĮ Antakalnio poliklinikoje</t>
  </si>
  <si>
    <t>Panoraminio lifto įrengimas ir korpuso kuriame bus liftas pritaikymas priešgaisriniams reikalavimams: liftas bus įrengtas poliklinikos 10 aukštų pastate. Dėl didėjančių pacientų  srauto, tame tarpe vyresnio amžiaus, išryškėjo liftų trūkumas. Esami liftai yra seni, nusidėvėję, dažnai genda, didelės remonto išlaidos. Todėl parengtas naujo lifto (įvardintas panoraminiu) projektas. Liftas  būtų įrengtas prie pastato šono, esamoje nišoje. Dėl lifto įrengimo būtų  atliekami tam tikri gaisrinio sektoriaus vidiniai pertvarkymai. Suprojektuotas panoraminis liftas negali atlikti priešgaisrinio lifto funkcijos, todėl vietoje vieno iš senų liftų numatomas naujas gaisrininkų liftas.</t>
  </si>
  <si>
    <t>350 objektų turto vertinimas (~ 18,0 tūkst. Eur);
2.000 pažymų išdavimas ir nuosavybės registravimas VĮ Registrų centre ir kt. (~ 28,0 tūks. Eur);
540 objektų elektroninio aukciono platformos mokestis VĮ Registrų centrui (~ 30,0 tūkst. Eur);
30 objektų kadastriniai matavimai (~ 5,0 tūkst. Eur);
2 objektų projektinės dokumentacijos parengimas (~ 18,0 tūkst. Eur);
20 objektų energetinio naudingumo sertifikavimas (~ 2,0 tūkst. Eur);
1.150 skelbimų spaudoje ir reklaminių plakatų (~ 15,0 tūkst. Eur);
1.500.000 kv. m. ploto nekilnojamojo turto valdymas (konsultacijos, paslaugos, susijusios su negyvenamojo nekilnojamojo turto analize, tyrimais, ekspertize, techniniu tikrinimu ~ 20,0 tūkst. Eur).</t>
  </si>
  <si>
    <t>2018 metais iš UAB „Start Vilnius“ bus išpirkta dalis turto.</t>
  </si>
  <si>
    <t>40.000 kv. m. ploto patalpų išlaikymo išlaidos, kaupiamosios išlaidos ir kitos nenumatytos eksploatavimo išlaidos (~ 120 tūkst. Eur);
10.000 kv. m. ploto pastatų ir patalpų remontas, pastatų apsauga ir priežiūra (~ 50,0 tūkst. Eur);
350 objektų bešeimininkio turto įteisinimo bei priežiūros išlaidos (~ 20,0 tūkst. Eur).</t>
  </si>
  <si>
    <t>„Paslaugų ir asmenų aptarnavimo kokybės gerinimas savivaldybėse“ Nr. 10.1.3-ESFA-R-920.</t>
  </si>
  <si>
    <t xml:space="preserve"> Parengtų mažosios architektūros projektų skaičius - 16 vnt., iš jų: 10-ties miesto viešųjų erdvių tvarkymo projektiniams pasiūlymams parengti ir kitų miesto viešųjų erdvių projektiniams pasiūlymams parengti. </t>
  </si>
  <si>
    <t>Renginiams, konferencijoms, seminarams miestui aktualiomis temomis organizavimas.</t>
  </si>
  <si>
    <t>Tęstinė priemonė. Viešųjų erdvių meninių akcentų finansavimo programa „Kuriu Vilnių“.</t>
  </si>
  <si>
    <t>Nauja priemonė. Architektūrinių konkursų organizavimui (nauja priemonė).</t>
  </si>
  <si>
    <t>Poreikis DUF ir socialinio draudimo įmokoms didėja   459,3 tūkst. Eur pagal 2017-01-17 LR Valstybės ir savivaldybių įstaigų darbuotojų darbo apmokėjimo įstatymą Nr.XIII-198. Darbo užmokesčio fondas padidėjo dėl 38 etatų integralios pagalbos darbuotojų, pasibaigus ES programai „Integralios pagalbos teikimas namuose“ nuo spalio 01 d. prijungimo prie 6000460 sąmatos ir bus finansuojama savivaldybės lėšomis. Pasibaigus ES finansuojamam projektui „Integralios pagalbos teikimas namuose“, 3 mėn. iki metų galo automobiliai bus išlaikomi iš savivaldybės biudžeto lėšų ( kuras, draudimas, priežiūra), finansavimo poreikis transporto išlaikymui yra 5,0 tūkst. Eur. Kvalifikacijos kėlimui finansavimo poreikis 3,6 tūkst. Eur. Apie 60 darbuotojų, teikiančių paslaugas namuose,  planuojama leisti į seminarus : „Asmeninė motyvacija“, „Emocijų ir streso valdymas“, „Konfliktų sprendimas“ 1424 asmenims suteiktos pagalbos į namus paslaugos; 164 - dienos globos namuose  paslaugos. 100 proc.  įstaigos veiklos intensyvumas.  2018 m. projekte planuojama: DUF ir socialinio draudimo įmokos - 1899,9 tūkst. Eur, prekės ir paslaugos - 65,0 tūkst. Eur, darbdavio socialinė parama pinigais - 1,2 tūkst. Eur.</t>
  </si>
  <si>
    <t>Paslaugos bus teikiamos 6 vaikams iš globos namų patalpose Svajonių g. 56 (1 paros įkainis už vaiką 67,32 Eur).Paslaugos bus apmokamos iš sąmatos 6000670 (socialinės globos paslaugos vaikams).</t>
  </si>
  <si>
    <t>125 paslaugų gavėjai (smurtaujantys vyrai ir jų šeimų nariai).</t>
  </si>
  <si>
    <t>40 psichosocialinės reabilitacijos paslaugų gavėjų.</t>
  </si>
  <si>
    <t>Planuojama teikti daugiau mokamų paslaugų, lėšos naudojamos Vilniaus miesto visuomenės sveikatos biuro išlaikymui.</t>
  </si>
  <si>
    <t>Mokinių sveikatos priežiūros įgyvendinimas - 7000 renginių, 130000 paslaugų gavėjų.  Visuomenės sveikatos stiprinimas ir stebėsena - 2000 renginių, 55000 paslaugų gavėjų.  
Įstaigoje dirba 9 administracijos darbuotojai ( direktorius - 1 etatas, direktoriaus pavaduotojas - 1,5 etato, kiti specialistai - 7,5 etato), kurie negali būti finansuojami valstybės dotacijos lėšomis, nes  LR Sveikatos apsaugos ministerija 333,2 tūkst. Eur sumažino  asignavimus 2018 metams savivaldybėms deleguotai funkcijai „Visuomenės sveikatos stiprinimas ir stebėsena“  vykdyti, iš kurios nuo 2014 m.  dalinai ir buvo finansuojamos biuro administracijos išlaikymo išlaidos (darbo užmokestis ir socialinio draudimo įmokos didėja  149,9 tūkst. Eur).</t>
  </si>
  <si>
    <t>Tęstinė priemonė.  Bus pabaigti VšĮ Lazdynų poliklinikos šilumos ūkio modernizavimo bei vėdinimo sistemos įrengimo darbai  - 94,0 tūkst. Eur (projekto įgyvendinimo pradžia 2015 metai).</t>
  </si>
  <si>
    <t>Pakeisti pastatų 1D3/p ir 2D3/p vidaus vandentiekio ir magistralinių vamzdynų avarinės būklės sistemą.</t>
  </si>
  <si>
    <t>Planuojama suremontuoti (bendrastatybiniai darbai, gaisrinė signalizacija, elektros instaliacijos ir santechnikos darbai) Invazinės radiologijos ir endoprotezavimo skyriaus 1023 kv.m ploto patalpas.</t>
  </si>
  <si>
    <t xml:space="preserve">2 metiniai renginiai sveikatos priežiūros įstaigų darbuotojams pagerbti:
1. „Auksinė medikų širdis“ apdovanojimų renginys (6 tūkst. Eur).
2. Metų padėkos vakaro organizavimas medicinos darbuotojams (15 tūkst. Eur). </t>
  </si>
  <si>
    <t>Efektyviai valdomas turtas, 2016-12-31 neišnuomotų butų vidurkis (nuo bendro butų skaičiaus) 4,47 %, 2017 m. planuojamas ne didesnis nei 2,5 %.</t>
  </si>
  <si>
    <t>2018 m. planuojama neįgaliųjų poreikiams pritaikyti 70 būstų (42,9 proc. daugiau nei 2016 m.), vykdyti 170 keltuvų neįgaliesiems techninę priežiūrą (apie 30 proc. daugiau nei 2017 m.).</t>
  </si>
  <si>
    <t>Atvirkštinio PVM mokėjimas.</t>
  </si>
  <si>
    <t>Giedraičių, Kernavės gatvių, Šiaurinės gatvės, Žirnių g. ir Liepkalnio g. sankryžos rekonstrukcijos, Narbuto g. dviračių tako įrengimo ir kitų projektų techninės dokumentacijos parengimui/ tikslinimui  paraiškoms ES paramai gauti.</t>
  </si>
  <si>
    <t>Tęstinė priemonė. Lėšos bus naudojamos iš Kelių priežiūros ir plėtros programos lėšų vykdomų gatvių ir kelių priežiūros ir  rekonstrukcijos, eismo saugumo priemonių įrengimo ir kitų objektų netinkamoms išlaidoms finansuoti.</t>
  </si>
  <si>
    <t>Lėšos bus naudojamos miesto kapinių  tvorų, vartų, administracinių pastatų, vandens sistemų remontui.</t>
  </si>
  <si>
    <t>Tęstinė priemonė. Vyksta viešųjų pirkimų procedūros rangovui parinkti.  Numatomi rangos darbai nuo 2018 iki 2019 m. gruodžio mėn, projektas finansuojamas ES lėšomis.</t>
  </si>
  <si>
    <t>Tęstinė priemonė. Vyksta viešųjų pirkimų procedūros rangovui parinkti.  Numatomi rangos darbai nuo 2018 m. iki 2019 m. Projektas finansuojamas ES lėšomis.</t>
  </si>
  <si>
    <t>Tęstinė priemonė.  Projektas pradėtas vykdyti 2017 metų rugsėjo mėnesį, vyksta rangos darbai, finansuojamas ES lėšomis, planuojama įgyvendinti iki 2019 metų pabaigos.</t>
  </si>
  <si>
    <t>Lėšos skirtos neformaliojo ugdymo įstaigų pedagogų, administracinio personalo atlyginimų mokėjimui. Taip pat, bus apmokamos komunalinės išlaidos, neformaliojo ugdymo veiklų priemonės bei susijusios su neformaliojo ugdymo veiklomis paslaugos. Lėšos bus skiriamos Vilniaus moksleivių sveikatos centro renovacijai (200 tūkst. Eur), ES projekto kofinansavimui (5 tūkst. Eur), darbo užmokesčiui (38,7 tūkst. Eur) , dėl pasikeitusio darbo apmokėjimo tvarkos ir pedagoginių valandų įstaigoms didinimo bei socialinio draudimo įmokoms mokėti (11,4 tūkst. Eur), o likusios lėšos  kitų įstaigų infrastruktūrai gerinti bei komunaliniams mokesčiams padengti. Esant galimybei prašoma papildomai skirti 17 tūkst. Eur kitų įstaigų patalpų remontui.</t>
  </si>
  <si>
    <t>Lėšų, gautų teikiant mokamas neformaliojo ugdymo paslaugas ir edukacinius užsiėmimus panaudojimas:  tiesiogiai su neformaliojo ugdymo veikla susijusioms priemonėms ir inventoriui įsigyti, vaikų ir jaunimo užimtumo veikloms ir išvykoms organizuoti (282,9 tūkst.), personalo kvalifikacijai kelti bei papildomų pedagoginių etatų darbo užmokesčiui mokėti (100 tūkst.)Vilniaus moksleivių sveikatos centro  lėšos, gaunamos nuomojant patalpas laisvu nuo ugdymo veiklų metu, skiriamos infrastruktūros išlaikymui bei jos gerinimui, veiklai reikalingų priemonių įsigijimui.</t>
  </si>
  <si>
    <t>Skirti atvirų jaunimo centrų ir neformaliojo švietimo įstaigų galimybių Vilniaus m. tyrimo reprezentatyviems duomenims surinkti.</t>
  </si>
  <si>
    <t>Tęstinė priemonė. VšĮ Go Vilnius išlaikymas bei  papildomas lėšų poreikis naujų projektų įgyvendinimui:
-Vilniaus m. įvaizdinė kompanija vienoje iš strateginių rinkų, rinkodaros kompanija internetiniuose kelionių portaluose, reklamos kompanija avialinijų portaluose; 
-2 nauji konferencinio turizmo leidiniai ir Vilniaus m. pristatymas specializuotoje užsienio spaudoje; 
-Turisto kortelės „Vilnius City Card“ skaitmenizavimas, jos versijos mobiliam telefonui sukūrimas; 
-„Workation in Vilnius“ projektas: kviesime prioritetinių sektorių įmones atsiųsti darbuotojus mėnesiui „išbandyti“ Vilnių; 
-Vilniaus pristatymas specializuotame verslo renginyje bei kultūrinio gyvenimo pristatymas užsienyje renginiuose; 
-Kartu su didžiaisiais darbdaviais vykdyti Headhunting kampanijas prioritetinėse rinkose-renginiai (ko finansavimas su darbdaviais); 
-Tikslingi žurnalistų, rašančių verslo skatinimo ir talentų temomis, vizitų į Vilnių organizavimas; 
-Pasiruošimas MIPIM 2019.</t>
  </si>
  <si>
    <t>Lėšos  VšĮ „Vilnijos verslo inkubatorius“ likvidatoriui apmokėti.</t>
  </si>
  <si>
    <t>Iš jų:
- 28,2 tūkst. Eur – dėl 5 projektų dokumentų rengimo užsakymas SĮ „Vilniaus planas“;
- 28,7 tūkst. Eur  – Integruotų teritorijų vystymo programos atvaizdavimo užsakymas SĮ „VP“;
- 12,6 tūkst. Eur – Integruotų teritorijų vystymo programos atvaizdavimo palaikymas SĮ „VP“;
- 7,5 tūkst. Eur  – Lazdynų baseino administravimas (2017 m. planuoja tik 25 proc. visos administravimo sumos (30,0 tūkst. Eur);
- 243,0 tūkst. Eur – Daugiafunkciam sveikatinimo, ugdymo, kultūros ir užimtumo kompleksui derybų pirkimui ir didžiajam konsultantų pirkimui.</t>
  </si>
  <si>
    <t>Dėl augančio sportuojančių vaikų skaičiaus Vilniaus miesto savivaldybės biudžetinėse sporto mokykloje daugėja trenerių, jų darbo užmokesčiui reikalingas DU fondas irgi auga. BĮ Vilniaus krepšinio mokykla pasirašė bendradarbiavimo sutartį su Šarūno Marčiulionio krepšinio akademija (kuri baigė savo veiklą), todėl Vilniaus krepšinio mokykloje atsirado 11 naujų komandų, 200 mokinių ir pradėjo dirbti 4 treneriai. Taip pat yra reikalingi BĮ Vilniaus sporto mokykloje ,,Tauras“ įsteigti papildomi 2 trenerių etatai naujai olimpinei sporto šakai beisbolui vysti. Padaugėjus mokinių skaičiui Vilniaus futbolo mokykloje ir Vilniaus miesto sporto centre reikalingos lėšos papildomiems 2 trenerių etatams.</t>
  </si>
  <si>
    <t>Dviračių takų su rekreacine infrastruktūra įrengimas Algirdo, V.Mykolaičio-Putino, Geležinkelio, Dariaus ir Girėno gatvėse,  Pietinėje ITV teritorijoje</t>
  </si>
  <si>
    <t>Buvusios elektros matavimo technikos gamyklos AB „Skaiteks“ užterštos teritorijos sutvarkymas</t>
  </si>
  <si>
    <t>„Būsto pritaikymas neįgaliems žmonėms“ programos įgyvendinimas (liftų įrengimas)</t>
  </si>
  <si>
    <t xml:space="preserve">
Vilniaus vaikų socialinės globos namų „Gilė“ išlaikymas</t>
  </si>
  <si>
    <t>Darbo užmokestis</t>
  </si>
  <si>
    <t>Vilniaus m. švietimo įstaigoms išlaikyti, iš jų:</t>
  </si>
  <si>
    <t>Švietimo, kultūros ir sporto departamento 2018 m. biudžeto projekto lyginamoji lentelė (be dotacijų)</t>
  </si>
  <si>
    <t xml:space="preserve"> Mažėja socialiai remtinų mokinių skaičius, kuriems yra skiriamas nemokamas maitinimas. Mokinių nemokamo maitinimo patiekalų gamybos išlaidų dydis - 13 proc. nuo maisto produktams įsigyti skirtų lėšų (2014-07-15 AD įsakymas Nr. 30-1914). </t>
  </si>
  <si>
    <t>Darbuotojų darbo apmokėjimo sąlygų ir dydžių pasikeitimas pagal LR valstybės ir savivaldybių įstaigų darbuotojų įstatymą Nr. XIII -198 darbuotojai.</t>
  </si>
  <si>
    <t>Daugiafunkcinio Lazdynų sveikatingumo centro Vilniuje techninio projekto parengimas</t>
  </si>
  <si>
    <t xml:space="preserve"> Turto departamento 2018 m. biudžeto projekto lyginamoji lentelė (be dotacijų)</t>
  </si>
  <si>
    <t>Teismo sprendimais priteistų kompensacijų mokėjimui už visuomenės poreikiams paimtus žemės sklypus ir kitą NT, patekusius į Vilniaus vakarinio aplinkelio III etapo statybą (tebesitęsia teismo procesai).</t>
  </si>
  <si>
    <t>Kontrolės ir audito tarnybos 2018 m. biudžeto projekto lyginamoji lentelė (be dotacijų)</t>
  </si>
  <si>
    <t>E. miesto departamento departamento 2018 m. biudžeto projekto lyginamoji lentelė (be dotacijų)</t>
  </si>
  <si>
    <t>Saugaus miesto departamento departamento 2018 m. biudžeto projekto lyginamoji lentelė (be dotacijų)</t>
  </si>
  <si>
    <t>Miesto plėtros departamento departamento 2018 m. biudžeto projekto lyginamoji lentelė (be dotacijų)</t>
  </si>
  <si>
    <t xml:space="preserve"> Socialinių reikalų ir sveikatos departamento 2018 m. biudžeto projekto lyginamoji lentelė (be dotacijų)</t>
  </si>
  <si>
    <t>Miesto ūkio ir transporto departamento 2018 m. biudžeto projekto lyginamoji lentelė (be dotacijų)</t>
  </si>
  <si>
    <t>Savivaldybės administracijos 2018 m. biudžeto projekto lyginamoji lentelė (be dotacijų)</t>
  </si>
  <si>
    <t>Palyginimas su poreikiu
(11-9)</t>
  </si>
  <si>
    <t>Bendrojo plano keitimui
(iš viso  Bendrojo plano keitimui - 332,3 tūkst. Eur, iš jų:
2016 m. - 60,0 tūkst. Eur,
2017 m. -167,3 tūkst. Eur,
2018 m. - 105,0 tūkst. Eur, iš jų 25 proc. sumoje įtraukta ir reklamos dalis (29, 4 tūkst. Eur).
Pažymėtina, kad 105,0 tūkst. Eur  lėšų poreikį kaip ir 2017 m. numatoma finansuoti iš pajamų gautų  už parduotus valstybinės žemės sklypus.</t>
  </si>
  <si>
    <t>Nekilnojamojo kultūros paveldo apskaitos dokumentų rengimas - 10 vnt.;
Nekilnojamojo kultūros paveldo fotogrametriniai apmatavimai - 20 vnt.;
Nekilnojamojo kultūros paveldo tyrimai - 30 vnt.;
Senųjų Žydų kapinių Olandų gatvėje sutvarkymo projektiniai pasiūlymai - 1 vnt.</t>
  </si>
  <si>
    <t>1. Vilniaus miesto savivaldybės 2016 - 2019 metų psichikos sveikatos ir savižudybių prevencijos strategijos priemonių įgyvendinimo siekiamas rodiklis - mažinti savižudybių skaičių, tenkantį 1000000 gyventojų (14,5 atvejų/1000000 gyventojų);
2. Psichikos sveikatos prevencija, psichikos sveikatos priemonių strategijos priemonių plano įgyvendinimas - 301,2 tūkst. Eur;
3. Savižudybių prevencijos programos apimtyje užtikrinti psichologo paslaugas Centro poliklinikos Budinčiojo gydytojo tarnyboje visiems besikreipiantiems pacientams- 100,0 tūkst. Eur;
4. Priklausomybės ligų prevencija - 260 (iš jų 30 naujų) asmenų per metus dalyvaujančių pakaitinio gydymo metadonu programoje BĮ Vilniaus proklausomybės ligų centre ir 7 Vilniaus miesto savivaldybės poliklinikose-100,0 tūkst. Eur;
5. Vilniaus miesto savivaldybės pavaldžių sveikatos priežiūros įstaigų sveikatos programų įgyvendinimas (4-5 programos) - 109,2 tūkst. Eur;
6. Projekto „Jaunimui palankių sveikatos priežiūros paslaugų teikimo modelio įgyvendinimas Vilniaus miesto savivaldybėje“, finansuojamo Europos ekonominės erdvės ir Norvegijos finansinių  mechanizmų lėšomis, kofinansavimas (projekto NOR-LT11-SAM-01-k-03-010 kofinansavimas (projektinis įsipareigojimas) - 100,0 tūkst. Eur;
7. Užtikrinama benamių sveikatos priežiūros ir švarinimo paslauga visiems besikreipiantiems benamiams (vidutiniškai per metus apie 1500 paslaugų)   -84,0 tūkst. Eur;
8. NVO ir kitose savivaldybei nepavaldžiose įstaigose parengtų ir atrinktų visuomenės sveikatos priemonių finansavimas - 302,0 tūkst. Eur.</t>
  </si>
  <si>
    <t xml:space="preserve"> Ekstrakorporinės litotripsijos  aparato įsigito Tarybos sprendimu 2017 m.  išperkamosios nuomos būdu priemonė įkelta į investicijų programą.</t>
  </si>
  <si>
    <t>Ligoninės A korpuso energetiniam efektyvumui  padidinti būtina atlikti  pastato renovavimo darbus, iš jų:
1. Apšiltinti 3328m2 stogo perdangų;
2. Pakeisti 749 m2 langų ploto;
3. Pakeisti 50 m2 lauko durų ploto;
4. Apšiltini ir įrengti hidroizoliaciją 858 m2 sienų besiribojančių su gruntu; 
Padidinus energetinį efektyvumą per metus bus sutaupyta 200MWh energijos;</t>
  </si>
  <si>
    <t xml:space="preserve">Pateikta paraiška dėl 2-jų soc. būsto daugiabučių 4286 kv. m. bendro ploto Meškonių g. statybos Centrinei projektų valdymo agentūrai, vyksta  paraiškos vertinimas.
Lėšos 2018 m. planuojamos techninio projekto rengimui. Pritarus paraiškai, statybos darbai numatomi vykdyti 2019 m. </t>
  </si>
  <si>
    <t>Tęstinė priemonė.  Lėšos bus naudojamos LR Transporto lengvatų įstatymu ir Savivaldybės tarybos sprendimu nustatytų lengvatų už keleivių vežimą kompensavimui ir 2017 m. skoloms apmokėti.</t>
  </si>
  <si>
    <t xml:space="preserve">30,8 tūkst. Eur Tarptautiniams mokesčiams;
116,9 tūkst. Eur LSA. </t>
  </si>
  <si>
    <t>Palyginimas su patvirtintu 2017 planu
(11-5)</t>
  </si>
  <si>
    <t>VšĮ ,,Atnaujinkime miestą“ išlaikymas</t>
  </si>
  <si>
    <t>VšĮ ,,Atnaujinkime miestą 2017-12-12 raštu Nr. 02-2147 pateikė 2018 m. lėšų poreikį, reikalingą energetinio efektyvumo didinimo daugiabučiuose namuose  bei kaimynijų atnaujinimo programų administravimui (12 etatų, vidutinis DU 1560 Eur).</t>
  </si>
  <si>
    <t>Kultūros ir sporto festivalis</t>
  </si>
  <si>
    <t>Lėšos surenkamos už treniruotes sporto būreliuose, bus naudojamos įstaigų veiklai</t>
  </si>
  <si>
    <t>Lėšos bus naudojamos įstaigų veiklai</t>
  </si>
  <si>
    <t xml:space="preserve">Iš jų:
- 50,0 tūkst. Eur planuojamas informacinių technologijų pagrindu parengtos ekstremaliųjų situacijų ir jų padarinių likvidavimo organizavimo programos įsigijimas
- 78,0 tūkst. Ekstremaliųjų situacijų operacijų centro darbo vietos įrengimas                                                                                                         - 180,0 tūkst. gyventojų perspėjimo ir informavimo sistemos plėtra (29 sirenų įsigijimas)     </t>
  </si>
  <si>
    <t>Pagal šiais metais 50% ir 100 % lengvatą maitinimui gaunančių vaikų skaičių. Apytiksliai lengvatą gauna 5500 vaikų. Nuolat kintantis skaičius.</t>
  </si>
  <si>
    <t>Ryšio paslaugų lėšos skiriamos telefono ir interneto ryšių paslaugoms apmokėti. Telefono ryšio paslaugoms apmokėti skiriama 200 Eur per metus Savivaldybės biudžetinei švietimo įstaigai, vienai formalųjį švietimą papildančiai ugdymo įstaigai papildomai skiriama 300 Eur interneto paslaugoms apmokėti. Vilniaus miesto psichologinei pedagoginei tarnybai ryšių paslaugoms per metus skiriama – 600 Eur, Savivaldybės biudžetinei įstaigai „Biudžetinių įstaigų buhalterinė apskaita“ – 6000 Eur telefono ir interneto ryšių paslaugoms apmokėti.</t>
  </si>
  <si>
    <t>Lėšos transporto išlaikymo paslaugoms skirstomos pagal poreikį – tik tuo atveju, jeigu Savivaldybės biudžetinė įstaiga turi transporto priemonę, valdomą patikėjimo, nuosavybės ar kita teise (geltoni autobusiukai). Patikslinome poreikį nes nuo rugsėjo 1d. papildomą transportą gavo Vilniaus Šilo specialioji mokykla ir Grigiškių pradinė.</t>
  </si>
  <si>
    <t xml:space="preserve">Spaudiniams vienai Savivaldybės biudžetinei įstaigai skiriama iki 400 Eur per metus. </t>
  </si>
  <si>
    <t>A15-567/17(2.1.4E-KS) - prekėms įsigyti vienam vaikui  per metus skiriama iki 90,24 Eur. (89305 vaikai).</t>
  </si>
  <si>
    <t>Po 1 eur - 1 kv. m pastato ploto tech. priežiūrai + 4.000,0 tūkst. eur centralizuotiems avariniams darbams atlikti.</t>
  </si>
  <si>
    <t>Medikamentams pirkti lėšos skiriamos vadovaujantis Lietuvos Respublikos sveikatos apsaugos ministro 2003 m. liepos 11 d. įsakymu Nr. V-450 „Dėl sveikatos priežiūros ir farmacijos specialistų kompetencijos teikiant pirmąją medicinos pagalbą, pirmosios medicinos pagalbos vaistinėlių ir pirmosios pagalbos rinkinių“ patvirtintu Įmonės pirmosios pagalbos rinkinio aprašymu, 2011 m. rugpjūčio 10 d. įsakymu Nr. V-773 „Dėl Lietuvos higienos normos 21:2011 „Mokykla, vykdanti bendrojo ugdymo programas. Bendrieji sveikatos saugos reikalavimai“ patvirtinimo“, atsižvelgiant į sporto salių, mokyklos dirbtuvių ir  sveikatos kabinetų skaičių, skiriama 15 Eur per metus vienam pirmosios pagalbos rinkiniui ar jo papildymui pirkti (bendrojo lavinimo įstaigoms finansavimas skiriamas 2-iem pirmosios pagalbos rinkiniams įsigyti ar papildyti), vadovaujantis Lietuvos Respublikos sveikatos apsaugos ministro 2010 m. balandžio 22 d. įsakymu Nr. V-313 „Dėl Lietuvos higienos normos HN 75:2016 „Ikimokyklinio ir priešmokyklinio ugdymo programų vykdymo bendrieji sveikatos saugos reikalavimai“ patvirtinimo“ skiriamos lėšos, atsižvelgiant į grupių skaičių, 15 Eur per metus vienai grupei (taip pat papildomai yra skiriamas finansavimas vienam pirmosios pagalbos rinkiniui įsigyti ar papildyti, kuris bus laikomas slaugytojos kabinete)  ir vadovaujantis Lietuvos Respublikos sveikatos apsaugos ministro 2012 m. birželio 25 d. įsakymu Nr. V-599 „Dėl Lietuvos higienos normos HN 20:2012 „Neformaliojo vaikų švietimo programų vykdymo bendrieji sveikatos saugos reikalavimai“ patvirtinimo“ formalųjį švietimą papildančioms ugdymo įstaigoms skiriama 15 Eur vienam pirmosios pagalbos rinkiniui ar jo papildymui pirkti (formalųjį švietimą papildančioms ugdymo įstaigoms finansavimas skiriamas 2-iem pirmosios pagalbos rinkiniams įsigyti ar papildyti) per metus.</t>
  </si>
  <si>
    <t>1. Kvalifikacijos kėlimui skiriama iki 1000 Eur per metus šių mokymų (kursų) išlaidoms dengti:
1.1 raštvedybos (raštinės vedėjo) – kartą per dvejus metus;
1.2 pirmosios pagalbos (visi darbuotojai);
1.3 darbo saugos ir sveikatos  (visi darbuotojai);
1.4 civilinės saugos (visi darbuotojai);
1.5 priešgaisrinės saugos (visi darbuotojai);
1.6 buhalterinės apskaitos (įstaigoms turinčioms decentralizuotą buhalteriją);
1.7 viešųjų pirkimų;                                                                                                                                                                                              1.8. ikimokyklinio ugdymo pedagogų padėjėjų (tikslinama);                                                                                                     1.9. Dietolų bei virėjų kursai (tikslinama);                                                                                                                                         1.10. Microsoft office kursai (tikslinama).</t>
  </si>
  <si>
    <t>Pagal 2016-2017 m. sąskaitas faktūras. (8 mėn.)</t>
  </si>
  <si>
    <t>Pagal 2016-2017 m. sąskaitas faktūras. (11 mėn.)</t>
  </si>
  <si>
    <t>Lėšos skirstomos pagal poreikį (neįgaliųjų vaikų pavežėjimas ir maitinimas).</t>
  </si>
  <si>
    <t>1. Kitų ugdymo procesui būtinų paslaugų lėšos skiriamos pagal vaikų skaičių Savivaldybės biudžetinėje įstaigoje. Per metus vienam vaikui (viso 89305) skiriama iki 18 Eur. Lėšos gali būti naudojamos:
1.1 skalbimui;
1.2 gesintuvų patikrai ir pildymui;
1.3 varžų matavimui;
1.4 rekuperatorių priežiūrai;
1.5 pastato techninės būklės įvertinimui;
1.6 dezinfekcijai;
1.7 deratizacijai;
1.8 informacinių kompiuterinių technologijų įrangos remontui;
1.9 kopijavimo aparatų, spausdintuvų techninei priežiūrai;
1.10 kompiuterinių programų priežiūrai ir atnaujinimui;
1.11 signalizacijos ir apsaugos paslaugoms apmokėti;
1.12 maistinių atliekų tvarkymui;
1.13 mikrobiologiniams tyrimams (vandens);
1.14 smėlio tikrinimui;
1.15 smėlio atvežimui;
1.16 maisto (patiekalo) tikrinimui;
1.17 Savivaldybės biudžetinės įstaigos darbuotojų, vaikų civilinės atsakomybės draudimui;
1.18 Savivaldybės biudžetinės įstaigos pastatų ir turto draudimui;
1.19 kilimėlių valymui, nuomai;
1.20 pašto paslaugoms;
1.21 viešojo transporto elektroninio 9 mėnesių (270 dienų) tik darbo dienoms skirto bilieto įsigijimui.
1.22 kitoms, reikalingoms ugdymo procesui gerinti, paslaugoms apmokėti.</t>
  </si>
  <si>
    <t>Skola Balsių SPV (išlaikymo kaštai, kiekvienais metais indeksuojami). Indeksuojamas skaičius.</t>
  </si>
  <si>
    <t>Surenkamos lėšos už bilietus į renginius bus naudojamos įstaigų veiklai organizuoti.</t>
  </si>
  <si>
    <t>Lėšos naudojamos nugalėtojams, kurie yra išrenkami kas 3 metus skelbiant konkursą Vilniaus miesto trupės vardui gauti.</t>
  </si>
  <si>
    <t>Lėšos naudojamos Savivaldybės įstaigų vykdomų kultūrinių projektų konkursiniam finansavimui.</t>
  </si>
  <si>
    <t>Lėšos bus naudojamos:
Vilniečio paso projekto įgyvendinimui; Vilniaus miesto istorijos ir kultūros pažinimo programai studentams; Vilniaus atminties kultūrai skirtų žiniasklaidos projektų inicijavimui ir rėmimui; Viniaus muziejų atvėrimas visuomenei; inicijuojami ir įgyvendinami įvairaus pobūdžio projektai, aktualizuojantys ir tęsiantys daugiataučio miesto meno ir kultūros tradicijas.</t>
  </si>
  <si>
    <t>Vilnius pretenduoja tapti Pasaulio knygų sostine. Lėšos  būtų naudojamos paraiškos rengimui.</t>
  </si>
  <si>
    <t>Informacija viešųjų ir biudžetinių įstaigų turi būti pildoma ir matoma viešoje erdvėje.</t>
  </si>
  <si>
    <t>Lėšos bus naudojamos Tarybos narių numatomiems projektams paremti.</t>
  </si>
  <si>
    <t>Lėšos bus naudojamos šioms šventėms: 
Lietuvos vėliavos diena Sausio 1 -oji; Laisvės gynėjų diena - Sausio 13-oji; Vasario 16-oji; Kovo 11-oji; Mindaugo karūnavimo diena, liepos 6-oji; Gedulo ir vilties okupacijos ir genocido diena; Juodojo kaspino diena; Lietuvos Žydų genocido diena ir kt.
 Vilniaus miesto apdovanojimų renginiai: 
Žygimanto Augusto ir Barboros Radvilaitės medaliu; Vilniaus miesto garbės piliečio vardo suteikimas; ženklo už nuopelnus Vilniaus savivaldai įteikimas; Šv. kristoforo statulėlių apdovanojimo ceremonija.</t>
  </si>
  <si>
    <t>Norima surengti Šimtmečio kalėdas.</t>
  </si>
  <si>
    <t>Renginys ,,Art Vilnius“.</t>
  </si>
  <si>
    <t>Lėšos bus naudojamos:
Kaziuko mugės kultūrinei programai įgyvendinti; Vilniaus knygų mugei organizuoti; Tautų mugei organizuoti.</t>
  </si>
  <si>
    <t>Lėšos bus naudojamos:
Dainų šventei; Sostinės dienoms; Gatvės muzikos diena; Kultūros naktis; Poezijos pavasaris; Mokslo metų pradžios šventė; Muziejų naktis; Viniaus instaliacijų festivalis ,,Bee- positive“; Europos šalių kino forumas ,,Scanorama“; Naujojo cirko savaitgalis; Street Art festivalis; Naujosios operos akcija;</t>
  </si>
  <si>
    <t>Lėšos bus naudojamos:
Pavasario ir rudens lygedienio švent; Velykų šventė; Joninės ir Žolynų turgus; Užgavėnės; ,,Skamba , skamba kankliai“; ,,Pokrovskije kolokola“.</t>
  </si>
  <si>
    <t>Vilniaus dienos Gdanske ir Gdansko dienos Vilniuje; bendradarbiavimas su Krokuva, Vilniaus dienos Lvove, tarptautinių ES projektų kompensuojamos lėšos.</t>
  </si>
  <si>
    <t>Įrengti ne mažiau kaip 10 futbolo sporto aikštelių (vienos vertė apie 30 tūkst. Eur), iš jų: Minties gimnazija, Lazdynų mokykla, Radvilų gimnazija, Taikos progimnazija, Jeruzalės progimnazija, Žemynos progimnazija, Emilijos Pliaterytės progimnazija, Šv. Kristoforo gimnazija, Žirmūnų gimnazija, Žaros gimnazija, Vytės Nemunėlio pradinė mokykla, Salininkų gimnazija.</t>
  </si>
  <si>
    <t>Įrengti ne mažiau kaip 10 krepšinio sporto aikštelių (vienos vertė apie 15 tūkst. Eur), iš jų: Gabijos g. 65, S.Stanevičiaus g. 55, Erfurto g. 50, Rygos g. 9, Viršuliškių g. 85, Vytenio g. 39, Genių g. 25, žirmūnų g. 98, Verkių riešės g. , ateities g. 11, Žaliųjų Ežerų g. 143.</t>
  </si>
  <si>
    <t>Lėšos bus naudojamos:
100 laužų akcija; Šimtmečio varpas; trispalvių šviesiforų akcija; ,,Žalia gyva“ spektaklis vaikams; fejerverkai; Kariljonų projektas (skambės visų bažnyčių varpai); šventinė jaunimo eisena Lietuvos valstybės keliu; P. Vileišio paminklo atidengimo ceremonija; bendras jungtinis Lietuvos, Latvijos, Estijos koncertas Vilniuje ir už jo ribų; paroda Senos reklamos; Švietimo projektai; krantinės gėlyno su užrašu 100-čio progai įrengimas; S. Gucevičiaus skvero želdynų sutvarkymas; trijų tiltų apšvietimas; Seimo fontano ir želdinių aplinkos sutvarkymas; 100 km bėgimas Vingio parke; 10-ies pastatų apšvietimas vėliavos spalvomis.
Poreikis 50,0 tūkst. Eur didėja dėl projekto “Vilniaus ateities savaitė kartu su Login” įgyvendinimo</t>
  </si>
  <si>
    <t xml:space="preserve">Vilniaus miesto nevyriausybinių bei kitų organizacijų nekomerciniai renginiai </t>
  </si>
  <si>
    <t>Salių nuomai, sporto renginiams organizuoti.</t>
  </si>
  <si>
    <t>Salių nuomai, kultūriniams renginiams organizuoti.</t>
  </si>
  <si>
    <t>Tęstinė priemonė. VšĮ Vilniaus miesto klinikinės ligoninės Operacinių, reanimacijos ir hemodializės bloko Antakalnio g. 57, Vilniuje, įrengimui.</t>
  </si>
  <si>
    <t>'01</t>
  </si>
  <si>
    <t xml:space="preserve">Pedagoginio personalo kvalifikacijos kėlimo kursai - 100,0 tūkst. Eur;
Prevencinei programai vykdyti - 25,0 tūkst. Eur (Genio progimnazijai reikalingi 8170 eur Lions Quest programos įgyvendinimui. Kitoms skaičiuojama preliminariai. Lėšos skirtos metodinėms prevencinių programų medžiagoms įsigyti, įgyvendinimui ir pan. nuo 2017-09-01 mokyklos turės sudaryti sąlygas kiekvienam moksleiviui dalyvauti bent vienoje nuoseklioje prevencijos programoje. Daugelis programų yra nemokamos,bet įgyvendinimui skirtos lėšos padės tikslingiau ir efektyviau vykdyti programas.)
Krizių valdymui, patyčių prevencijai - 20,0 tūkst. Eur (2016-2017 m. PPT vykdė patyčiu prevencijos mokymus, kuriuos finansavo Savivaldybė. Mokymai skirti mokyklų vadovams (200) ir specialistams (600) kainavo 8500 eurų. 2017 m numatoma tęsti tuos pačius ir naujus mokymus plečiant dalyvių skaičių).
Vaiko gerovės komisijai - 0,3 tūkst. Eur (Vaiko gerovės komisijos posėdžiai suplanuoti apie 25 kartus per metus). </t>
  </si>
  <si>
    <t>Asignavimų valdytojo lėšų poreikis atskiroms priemonėms 2018 metams:
Egzaminų vykdymas (taksi ar/ir kurjerio paslaugų pirkimas) - 10,0 tūkst. Eur;
Egzaminams vykdyti reikalingų priemonių įsigijimas (USB, magnetolos ir t.t.) - 1,6 tūkst. Eur;
Šimtukininkų apdovanojimai - 2,0 tūkst. Eur;
Olimpiadų organizavimas ir vykdymas - 13,2 tūkst. Eur;
Konkursų organizavimas ir vykdymas - 13,5 tūkst. Eur;
Olimpiadų ir konkursų nugalėtojų  apdovanojimams - 1,0 tūkst. Eur;
Padėkų spausdinimas (Ciklonas), diplomų gamyba ir kt.(išlaidos, rėmeliai, įrėminimas ir pan.) - 3,5 tūkst. Eur; 
Reprezentacinėms išlaidoms - 3,4 tūkst. Eur;
Siemens Arenos nuoma mokytojų dienos renginiui - 15,0 tūkst. Eur
Mokytojų dienos organizavimo išlaidos - 70,0 tūkst. Eur;
Rugsėjo 1-osios organizavimo išlaidos - 3,0 tūkst. Eur;
Abiturientų sveikinimams - 0,7 tūkst. Eur;
Nenumatytų renginių organizavimui (rezervas) - 6,0 tūkst. Eur
Vaikų papildomam užimtumui, kultūrinėms programoms - 980,0 tūkst. Eur;
Vaikų ugdymo kokybės gerinimui - 220,0 tūkst. Eur
Mokytojų namuose esančių darbuotojų atsakingų už ugdymo kokybės gerinimą pavaldžiose švietimo įstaigose išlaikymas - 50,0 tūkst. Eur</t>
  </si>
  <si>
    <t>01070102
1040101</t>
  </si>
  <si>
    <t>1100201
1100103
1090102001</t>
  </si>
  <si>
    <t>Spec. lėšų likučiai</t>
  </si>
  <si>
    <t xml:space="preserve">01030108001 01090102001
01090122001 </t>
  </si>
  <si>
    <t>Dotacijos reprezentacinėms Vilniaus komandoms, kovojančioms nacionalinių čempionatų aukščiausiuose divizionuose ir tarptautiniuose turnyruose. Lėšos planuojamos pagal  Tarybos patvirtintą 2016-2018 m. klubų finansavimo tvarkos aprašą (Vilniaus miesto savivaldybės tarybos 2016-03-23 sprendimas Nr.1-375 ,,Dėl sporto klubų rėmimo ir finansavimo iš Savivaldybės biudžeto lėšų 2016-2018 metų tvarkos aprašo tvirtinimo“.  Didinamos lėšos  VšĮ Sostinės moterų krepšinio klubui - 52,0 tūkst. Eur, gavus Kultūros, švietimo ir sporto komiteto pritarimą.</t>
  </si>
  <si>
    <t>Teritorijų priežiūra, iš jų:</t>
  </si>
  <si>
    <t>Centrinės miesto dalies priežiūra</t>
  </si>
  <si>
    <t>Pietinės- rytinės miesto dalies priežiūra</t>
  </si>
  <si>
    <t>Vakarinės I miesto dalies priežiūra</t>
  </si>
  <si>
    <t>Vakarinės II miesto dalies priežiūra</t>
  </si>
  <si>
    <t>Šiaurinės miesto dalies priežiūra</t>
  </si>
  <si>
    <t>Gatvių mechaninė priežiūra vasarą</t>
  </si>
  <si>
    <t xml:space="preserve">Medžių priežiūra </t>
  </si>
  <si>
    <t>Miško parko atokvėpio vietose suolų ir šiukšliadėžių įrengimas, remontas</t>
  </si>
  <si>
    <t>Miško parkų priežiūra</t>
  </si>
  <si>
    <t>Spec. Sanitariniai darbai</t>
  </si>
  <si>
    <t>Viešųjų tualetų priežiūra, biotualetų galinėse autobusų stotelėse priežiūra ir eksploatacija</t>
  </si>
  <si>
    <t>Bernardinų sodo priežiūra</t>
  </si>
  <si>
    <t>Tiltų ir viadukų  priežiūra ir remontas, iš jų:</t>
  </si>
  <si>
    <t>Požeminių perėjų liftų remontas ir priežiūra</t>
  </si>
  <si>
    <t>Tiltų, viadukų, požeminių perėjų, tunelio, pralaidų priežiūra ir remontas</t>
  </si>
  <si>
    <t>Miesto kapinių priežiūra, iš jų:</t>
  </si>
  <si>
    <t>Kapinių priežiūra</t>
  </si>
  <si>
    <t>Investicinių Kairėnų kapinių priežiūra</t>
  </si>
  <si>
    <t>Eismo reguliavimo priemonių priežiūra ir remontas, iš jų:</t>
  </si>
  <si>
    <t>Informacinių nuorodų įrengimas ir remontas</t>
  </si>
  <si>
    <t>Kelio ženklų įrengimas ir priežiūra</t>
  </si>
  <si>
    <t>DB kūrimas, eismo saugumo analizės parengimas</t>
  </si>
  <si>
    <t>Šviesoforų postų priežiūra ir remontas (neįjungtų  į CEV sistemą (NECEV)</t>
  </si>
  <si>
    <t>Probleminių sankryžų pertvarkymas</t>
  </si>
  <si>
    <t>Kiti darbai komunalinių paslaugų srityje, iš jų:</t>
  </si>
  <si>
    <t>Gatvių pavadinimų lentelių gamyba ir tvirtinimas</t>
  </si>
  <si>
    <t>Kanalizuotų tualetų eksploatacija</t>
  </si>
  <si>
    <t>Kiti miesto tvarkymo darbai</t>
  </si>
  <si>
    <t>Paplūdimių priežiūra</t>
  </si>
  <si>
    <t>Fontanų priežiūra</t>
  </si>
  <si>
    <t>Peronų ir įvažų stotelėse įrengimas</t>
  </si>
  <si>
    <t>Projektavimo darbai (MT)</t>
  </si>
  <si>
    <t>Miesto papuošimas švenčių proga</t>
  </si>
  <si>
    <t>Riboženklių  "Vilnius"  remontas</t>
  </si>
  <si>
    <t>Gatvių inventorizacija, geodezinės nuotraukos, laboratoriniai darbai</t>
  </si>
  <si>
    <t xml:space="preserve">Teisinės paslaugos </t>
  </si>
  <si>
    <t>Gatvių apšvietimo tinklų priežiūra, remontas ir atstatymas, iš jų:</t>
  </si>
  <si>
    <t>Gatviu apšvietimo tinklų elektros energija</t>
  </si>
  <si>
    <t>Gatviu apšvietimo tinklų  priežiūra ir remontas</t>
  </si>
  <si>
    <t>Beglobių gyvūnų gaudymas, karantinavimas, švietėjiška veikla, iš jų:</t>
  </si>
  <si>
    <t>Gyvūnų gaudymas</t>
  </si>
  <si>
    <t>Naujos Gyvūnų prieglaudos statybos projekto rengimui</t>
  </si>
  <si>
    <t>Gatvių, kelių ir lietaus nuotekų tinklų priežiūra ir remontas, iš jų:</t>
  </si>
  <si>
    <t>Autotransporto tunelio lietaus nuotekų tinklo siurblinės priežiūra</t>
  </si>
  <si>
    <t>Avarinių situacijų lokalizavimas</t>
  </si>
  <si>
    <t>Gatvių mechanizuotas barstymas, valymas</t>
  </si>
  <si>
    <t>Centrinio I objekto dangų remontas</t>
  </si>
  <si>
    <t>Pietinio V objekto dangų remontas</t>
  </si>
  <si>
    <t>Rytinio III objekto dangų remontas</t>
  </si>
  <si>
    <t>Vakarinio II objekto dangų remontas</t>
  </si>
  <si>
    <t>Šiaurinio IV objekto dangų remontas</t>
  </si>
  <si>
    <t>Smėlio-druskos įsigijimas</t>
  </si>
  <si>
    <t>Sniego, grunto sąvartynų eksploatacija</t>
  </si>
  <si>
    <t>Kiti darbai, gatvių DB kūrimas, išplovos, atraminės sienutės</t>
  </si>
  <si>
    <t>Lietaus kanalizacijos eksploatacija ir priežiūra</t>
  </si>
  <si>
    <t>Lietaus kanalizacijos tinklų remontas</t>
  </si>
  <si>
    <t>Kiemų įvažiavimų tvarkymas</t>
  </si>
  <si>
    <t>A juostų įrengimas</t>
  </si>
  <si>
    <t>Šaligatvių atnaujinimas</t>
  </si>
  <si>
    <t>Skverų įrengimas</t>
  </si>
  <si>
    <t>Dviračių takų plėtra</t>
  </si>
  <si>
    <t>Sodų teritorijose esančių gatvių asfaltavimas</t>
  </si>
  <si>
    <t>Nauja papriemonė</t>
  </si>
  <si>
    <t>iš jų naujam projektui finansuoti:</t>
  </si>
  <si>
    <t>Šeimos gydytojo institucijos stiprinimas Vilniaus m. savivaldybei pavadžiose sveikatos priežiūros įstaigose</t>
  </si>
  <si>
    <t>Savivaldybės biudžeto lėšomis prisidedama prie šeimos gydytojų teikiamų paslaugų finansavimo: mažinamas prie šeimos gydytojų prisirašiusių pacientų skaičius ~20 proc. ir padidinamas Privalomojo sveikatos draudimo fondo lėšomis finansuojamas įkainis už prisirašiusius gyventojus 25 proc.  Lėšos skiriamos tik šeimos  (vidaus ligų, vaikų ligų) gydytojų ir su jais dirbančių bendrosios praktikos slaugytojų darbo užmokesčiui. Tam, kad mažinti  šeimos gydytojų trūkumą,  sudaromos sutartys su gydytojus rezidentus rengiančiais universitetais dėl rezidentų studijų apmokėjimo ir stipendijų skyrimo.</t>
  </si>
  <si>
    <t xml:space="preserve">iš jų ilgalaikėms projekto įgyvendinimo priemonėms: </t>
  </si>
  <si>
    <t>Įkainio už vieną prisirašiusį gyventoją padidinimas 25%.</t>
  </si>
  <si>
    <t>Darbo užmakesčio gydytojams ir slaugytojomas padidinimas 10%</t>
  </si>
  <si>
    <t>Gydytojų rezidentų studijų apmokėjimui</t>
  </si>
  <si>
    <t xml:space="preserve">Siekiant užtikrinti infekcijų kontrolę ir organizuoti   sterilizavimo paslaugų teikimą naujose rekonstruotose patalpose, atitinkačiose sterilizacinėms keliamus šiuolaikinius reikalavimus, bei užtikrinti savalaikį ir kokybišką ligoninės medicininių prietaisų sterilizavimo procesą, ligoninei reikalinga įsigyti šiuolaikinius reikalavimus atitinkančią sterilizavimo įrangą ir kitą medicininę įrangą.
</t>
  </si>
  <si>
    <t>VšĮ Vilniaus miesto klinikinės ligoninės Centrinės sterilizacinės  Antakalnio g. 57, Vilniuje, įrangos įsigijimas (SB)</t>
  </si>
  <si>
    <t xml:space="preserve">Tęstinė priemonė.  2018 metais planuojama: 
- atnaujinti/naujai įrengti 15,0 km šaligatvių; 
sutvarkyti 10 viešųjų erdvių;
sutvarkyti apie 460  įvažiavimų į kiemus ir ugdymo įstaigas;  
- nutiesti 22,6 km naujų dviračių takų (Dviračių takų statyba nuo Šilo tilto iki Vileišių skv.; Kairėnų gatvės nuo Plytinės g. iki miesto ribos rekonstravimo projektas; Pėsčiųjų ir dviračių takų tarp Baltojo tilto ir Vingio parko tilto statybos projektas; Dviračių tako trasos nuo Baltojo tilto iki Žaliojo tilto statybos projektas (dešinysis upės krantas); 
Vykdyti lietaus nuotekų tinklų priežiūrą. Paviršinių nuotekų tinklų ilgis apie 1500 km. Vilniaus Senamiestyje įrengta mišrioji nuotekų surinkimo su vandens separatoriais sistema. Naujamiestyje, Šnipiškėse ir Žvėryne buvusi mišrioji sistema yra dalinai pertvarkyta arba pertvarkoma į atskirąją; Siurblinė po Geležinio Vilko autotransporto tuneliu - 24  valandas per parą veikianti siurblinė, kadangi tunelis yra žemiau upės lygio pastoviai kaupiasi gruntiniai  bei  lietaus vandenys. Siurblinėje visą parą dirba budintis personalas;
Pastoviai vykdyti 1684,6 km gatvių priežiūrą, žiemos metu Vilniaus mieste barstyti  ir valyti 539 gatvių. </t>
  </si>
  <si>
    <t>Remiantis 2017-12-11 VMSM protokolu Nr. 28-618/17 didinamas lėšų poreikis 2018 metams.</t>
  </si>
  <si>
    <t>Remiantis 2017-12-11 VMSM protokolu Nr. 28-643/17 didinamas lėšų poreikis 2018 metams.</t>
  </si>
  <si>
    <t>Vilniaus miesto savivaldybės Literatūrinio A.Puškino muziejaus pastato, esančio Subačiaus g. 124, Vilniuje, Šv. Varvaros koplyčios tvarkybos darbai*</t>
  </si>
  <si>
    <t>Lėšos yra naudojamos:
Stipendijos mėgėjų meno kolektyvų vadovams, ruošiantiems kolektyvus dainų šventei ir negaunantiems atlygio už savo darbą; Vilniaus miesto premija ,,Kino pavasario“ lauretams; Mero premijos poetui, muzikui, šokėjui ir kt; už Kalėdinių vitrinų konkurso premijos; trumpųjų kino filmų festivalio premija.</t>
  </si>
  <si>
    <t>1735,0 tūkst. Eur SĮ VASA  veiklai organizuoti (SĮ VASA pradėjus rinkti rinkliavas už komunalinias atliekas - Vilniaus m. savivaldybės lėšų nereikės);
90,0 tūkst. Eur už SĮ Vilniaus planas atliekamus darbus apmokėti, planuojami darbai: 
1. Vilniaus miesto savivaldybės paraiškos ir investicinio projekto siekiant gauti 2014 – 2020 metų ES finansavimą projektui „Komunalinių atliekų tvarkymo infrastruktūros plėtra“ parengimas; 
2. Vilniaus miesto komunalinių atliekų surinkimo konteinerių vietų kartografavimas, konteinerių aikštelių dydžio ir optimalių jų išdėstymo vietų nustatymas.
1500,0 tūkst. Eur  apyvartinėms lėšoms atliekų vežėjų teikiamų mišrių komunalinių atliekų surinkimo ir vežimo paslaugų apmokėjimui bei MBA už atliekų sutvarkymą laikotarpiui nuo rinkliavos  už kom. atliekų surinkimą iš atliekų turėtojų ir atliekų tvarkymą įvedimo iki įplaukų gavimo (poreikis pateiktas 4000,0 tūkst. Eur).</t>
  </si>
  <si>
    <t>Lėšų poreikis pateiktas 2018-01-05 (28,0 tūkst. Eur darbo užmokesčiui ir socialinio draudimo įmokoms;
24,0 tūkst. Eur patalpų išlaikymui; 70,0 tūkst. Eur teritorijos vystymo veikloms; 36,0 tūkst. Eur išlaidos, susijusios su investuotojų pritraukimu).</t>
  </si>
  <si>
    <t>Dotacija VšĮ ,,Šiaurės miestelio technologijų parkas“</t>
  </si>
  <si>
    <t>Skolos susidariusios 2012-2015 metais</t>
  </si>
  <si>
    <t>Solos susidariusios:
- UAB,,Vilniaus vystymo kompanija“ - 1166,6 tūkst. Eur (Vilniaus Gerosios Vilties mokyklos sporto aikštelės įrengimui - 357,7 tūkst. Eur,  Genio pradinės mokyklos sporto aikštelės įrengimui - 64,6 tūkst. Eur, Senvagės gimnazijos sporto aikštyno atnaujinimui - 744,3 tūkst. Eur)
- SĮ ,,Vilniaus planas“ - 55,1 tūkst. Eur (Ozo sporto aikštyno projektavimui - 0,1 tūkst. Eur, Senvagės gimnazijos sporto aikštyno projektavimui - 55,0 tūkst. Eur)</t>
  </si>
  <si>
    <t>Vertinamas sveikatos priežiūros įstaigų reorganizavimas, racionalus ir efektyvus finansinių resursų ir technologijų panaudojimas.
Tęstinės investicijų programos priemonės:
1. UAB „Vilniaus vystymo kompanija“  2015-2017 m. susidariusioms skoloms bendrovei  padengti (už projektų techninės priežiūros  vykdymą - 3% ) - 404,7 tūkst. Eur;
2.  UAB „Vilniaus vystymo kompanija“ už projektų techninės priežiūros vykdymą (3%) - 34,1 tūkst. Eur;
3. VMS tarybos sprendimu išperkamosios nuomos būdu nupirktas Ekstrakorporinės litotripsijos  aparatas ir pradėtos teikti sveikatos priežiūros paslaugos pacientams - 168,0 tūkst. Eur.  Planuojamos paslaugų apimtys - 800-900 procedūrų per metus;
4. VšĮ Vilkpėdės ligoninės A-B pasatų stogo remontui - 28,0 tūkst. Eur.</t>
  </si>
  <si>
    <t>Lėšos nepanaudotos 2017 metais už tėvų mokamus pinigus už treniruotes sporto būreliuose. Šios lėšos  bus naudojamos sporto mokyklų veiklai 2018 metais.</t>
  </si>
  <si>
    <t>Lėšos nepanaudotos 2017 metais už sporto salių nuomą.  Šios lėšos  bus naudojamos sporto mokyklų veiklai 2018 metais.</t>
  </si>
  <si>
    <t>Lėšos, kurios buvo surinktos už bilietus į koncertus, muziejus, kultūros vakarus ir kt.  nepanaudotos 2017 metais. Lėšos bus panaudotos 2018 metais kultūros įstaigų veiklai organizuoti.</t>
  </si>
  <si>
    <t>Žemės sklypų išpirkimui ar paėmimui visuomenės poreikiams, reikalingų vykdyti kitus projektus.
77,9 tūkst. Eur skolai už Algirdo g. 48 apmokėti.</t>
  </si>
  <si>
    <t>Nepaskirstytos savivaldybės biudžeto lėšos</t>
  </si>
  <si>
    <t>Iš jų: 4.200 tūkst. Eur VVK skolos, 49,8 tūkst. Eur už šiukšlių išvežimą, deratizaciją, įstaigų einamąjį remontą (kiti kreditoriai), 1,2 tūkst. Eur už švietimo įstaigų vandentiekio išlaidas (VV).</t>
  </si>
  <si>
    <t>Viešosios erdvės tvarkymas  Pietinėje tikslinėje teritorijoje  prie Amatų gatvės.</t>
  </si>
  <si>
    <t>Tauro kalno parko ir Liuteronų sodų  tvarkymas  Pietinėje tikslinėje teritorijoje</t>
  </si>
  <si>
    <t>Finansų ir strateginio planavimo departamento funkcijoms vykdyti (bankams perduotų skolų finansiniams įsipareigojimams vykdyti, kitoms nenumatytoms išlaidoms padengti) patikslintas poreikis 27.933,5 tūkst. Eur (18.333,5 tūkst. Eur numatoma iš Savivaldybės biudžeto lėšų, 9.600,0 tūkst. Eur planuojama iš dotacijos pagal Taikos sutartį); Kitiems finansiniams įsipareigojimams vykdyti (UAB VVK palūkanos už paskolą OP bankui) – 40,1 tūkst. Eur; Viešųjų pirkimų, teismo, notarų ir programinės įrangos priežiūros išlaidoms Mokesčių skyriaus funkcijoms vykdyti – 97,2 tūkst. Eur; Teismo, antstolių, notarų paslaugoms ir skelbimams spaudoje apmokėti - 500,0 tūkst. Eur.</t>
  </si>
  <si>
    <t>DU.</t>
  </si>
  <si>
    <t>Proporcingai DU.</t>
  </si>
  <si>
    <t>Tęstinė priemonė. 2018 m. planuojami asignavimai:
1 darbuotojo darbo užmokesčiui  - 13,9 tūkst. Eur, socialinio draudimo įmokoms - 4,3  tūkst.  Eur, už buhalterines paslaugas - 3,5  tūkst Eur, komunalinės paslaugos  - 2,3 tūkst. Eur, komandiruotės išlaidos - 1,2 tūkst. Eur, ryšios paslaugos - 0,7 tūkst. Eur, tarptautinių asociacijų  metiniai narių mokesčiai - 1,1 tūkst. Eur,  rinkodaros priemonių įgyvendinimas (domeno .lt, .org, .com, .eu 12 mėn.) ir svetainės talpinimo paslaugos (24 mėn.),  Vilniaus miesto kaip draugiško kino kūrėjams miesto populiarinimas ir kino kūrimo sektoriaus veiklos Vilniaus mieste skatinimas - 2,4 tūkst. Eur, biuro išlaidoms ir įrangos techn. priežiūrai -  0,6 tūkst. Eur.
Bus nufilmuoti 2 užsienio kūrėjų filmai mieste, dalyvauta 1 tarptautinės kino industrijos renginyje ir tęsiama narystė 2 tarptautinėse kino organizacijose.
10,0 tūkst. Eur didinami asignavimai  rinkodaros priemonėms įgyvendinti. Norint pritraukti užsienio kino projektus į miestą, būtini pastovūs rinkodaros veiksmai viešinant informaciją apie Vilniaus miestą, filmavimo sąlygas ir galimybes bei lokacijas. Vilniaus kino biuras inicijuoja Lietuvos lokacijas pristatyti tarptautiniuose kino renginiuose naudojant virtualios realybės akinius (VR akiniai), prie projekto prisijungia ir Kauno filmų biuras.</t>
  </si>
  <si>
    <t>Administracijos, Tarybos ir seniūnijų darbo organizavimas (valstybės tarnautojams 20 proc. apskaičiuoto grąžintino neišmokėto darbo užmokesčio dalis)</t>
  </si>
  <si>
    <t>Savivaldybės administracijos darbuotojų mokymo programos vykdymas</t>
  </si>
  <si>
    <t>Lėšų už paslaugas surinkimas ir panaudojimas (Šv. Kristoforo kamerinis orkestras)</t>
  </si>
  <si>
    <t>Lėšų už paslaugas surinkimas ir panaudojimas (kamerinis choras „Jauna muzika“)</t>
  </si>
  <si>
    <t>Lėšos surunktos už bilietus į koncertus bus naudojamos įstaigos veiklai</t>
  </si>
  <si>
    <t>Savivaldybės administracijos, Tarybos ir Mero institucijos išlaikymas (išlaikoma 864 etatų, iš jų: Mero institucija - 4 etatai ; 593 valstybės tarnautojai ; 267  darbuotojai, dirbantys pagal darbo sutartis ):
- 13.145,9 tūkst. Eur darbo užmokesčiui; 
- 4.007,2 tūkst. Eur įmokoms soc. draudimui;
- 427,0 tūkst. Eur (iš jų: 326,0 tūkst. Eur darbo užmokesčiui; 101,0 tūkst. Eur įmokoms soc. draudimui) Administracijos, Tarybos ir seniūnijų darbo organizavimas (valstybės tarnautojams 20 proc. apskaičiuoto grąžintino neišmokėto darbo užmokesčio dalis);
- 100,0 tūkst. Eur komandiruočių išlaidoms;
- 273,9 tūkst. Eur  darbuotojų kvalifikacijos kėlimui;
- 2358,2 tūkst. Eur savivaldybės pastato nuomai;
- 496,0 tūkst. Eur savivaldybės pastato ir seniūnijų patalpų remontui (iš jų: 296,0 tūkst. Eur savivaldybės pastato remontui; 200,0 tūkst. Eur seniūnijų patalpų remontui);
- 546,8 tūkst. Eur  komunalinėms paslaugoms (iš jų: 172,4 tūkst Eur šildymui, 345,2 tūkst Eur elektros energijai, 18,9 tūkst Eur vandentiekiui ir kanalizacijai, 10,3 tūkst Eur šiukšlių išvežimo išlaidoms);
- 2157,4 tūkst. Eur kitoms išlaidoms ir prekėms; numatomi asignavimai išmokoms už Tarybų narių veiklą bei apmokėjimas už jų darbą, ryšių paslaugoms, transporto išlaikymui, pastato apsaugai, valymui,eksploatacijos išlaidoms ir kanceliarinėms prekėms; automobilių nuomai;
-201,4 tūkst. Eur transporto priemonių įsigijimui: 21 seniūnijai automobilius (150,0 tūkst. Eur); 5 naujus automobilius „Carsharing“ sistemai už 51,4 tūkst. Eur; 
                                                                                                                                                                                                                                                                                                                                                                                         -10,0tūkst.Eur kompiuterinė programinė įrangos įsigijimui Socialinių išmokų skyriui; 
-20,0 tūkst.Eur  keltuvo įrengimui neįgaliesiems Civilinės metrikacijos skyriuje; 
-30,0 tūkst. Eur  ilgalaikio materialiojo turto įsigijimui Administracijai ir Tarybai.</t>
  </si>
  <si>
    <t xml:space="preserve"> </t>
  </si>
  <si>
    <t>100,0 tūkst. Eur  Delegacijų priėmimas, dalyvavimas tarptautiniuose renginiuose;
128,8 tūkst. Eur Suvenyrai, vertimai, gėlės, svečių priėmimas;
30,6 tūkst.Eur  Mero fondas.</t>
  </si>
  <si>
    <t>60,0 tūkst. Eur Vilniaus miesto Tarybos veiklos metinė ataskaita;
21,8 tūkst. Eur perkamos  kūrybos dizaino, adaptavimo, sklaidos priemonėmis (lauko reklama, Internetas) paslaugos iki 6  projektų viešinimui: moduliniai  darželiai, nauji baseinai, Neries krantinės II etapo pabaiga  ir pan.;
66,5 tūkst. Eur El. supaprastintas atviras konkursas „Vilniaus miesto savivaldybės viešinimo paslaugų pirkimas“;
21,8 tūkst. Eur Radijo laidų kūrimo paslaugos;
7,7 tūkst. Eur Žiniasklaidos stebėsenos ir tyrimų paslaugos;
14,5 tūkst. Eur Renginių organizavimas( pristatyti užbaigtus reikšmingus  projektus: atnaujintą Neries krantinę  ir pan.;
37,8 tūkst. Eur BNS naujienų prenumerata ir prieiga prie uždaros BNS naujienų bazės adresu www.bns.lt bei mobilios BNS naujienų bazės jungiantis iš mobiliųjų telefonų ir planšetinių kompiuterių; 
10,0 tūkst. Eur Skrajučių ir plakatų spauda, atributika;
3,6 tūkst. Eur aktualios savivaldybės informacijos viešinimas tinklalapyje  anglų, lenkų ir rusų kalbomis;
10,0 tūkst. Eur gyventojų apklausa apie savivaldybės veiklą;
36,3 tūkst. Eur Šventinių renginių programos atkurtos Lietuvos valstybės šimtmečiui paminėti sostinėje – „Vilnius kviečia: 100 metų  kelionė  laiku“ viešinimo priemonės;
22,0 tūkst. Eur Informacijos apie svarbiausius sostinėje vykstančius projektus sklaidos planavimas ir platinimas per internetinės žiniasklaidos kanalus;
12,1 tūkst. Eur  „Vilnius 700“ logotipo kūrimo konkursas.</t>
  </si>
  <si>
    <t>Teismo, leidybos, programinės įrangos priežiūros, reitingavimo ir kitoms nenumatytoms išlaidoms Finansų ir strateginio planavimo departamento funkcijoms vykdyti, iš jų:**</t>
  </si>
  <si>
    <t>Finansų ir strateginio planavimo departamentui perleistų skolų pagal skolų atidėjimo sutartis grąžinimui ir palūkanoms**</t>
  </si>
  <si>
    <t>Paskolų ir palūkanų mokėjimas pagal grafiką***</t>
  </si>
  <si>
    <t>** 2018 m. restruktūrizuotoms skoloms bankams papildomai numatoma 9 600,0 tūkst. Eur iš dotacijos pagal taikos sutartį Savivaldybės skoliniams įsipareigojimams grąžinti</t>
  </si>
  <si>
    <t>*** 2018 m. paskoloms  grąžinti papildomai numatoma 9 000,0 tūkst. Eur iš dotacijos pagal taikos sutartį Savivaldybės skoliniams įsipareigojimams grąžinti</t>
  </si>
  <si>
    <t>Vadovaujantis Mero pavaduotojo pasitarimų sveikatos klausimais protokoliniais nutarimais ir Sveikatos komiteto nutarimais numatomos lėšos šiems naujiems projektams: 34,0 tūkst. Eur sveikatos priežiūros įstaigų darbuotojų tobulinimui, 350,0 tūkst. Eur Informacinių technologijų panaudojimas  pacientų laukimo eilėms pas gydytojus mažinti, 75,0  tūkst. Eur Lytinės reprodukcijos kabinetų įrengimui (VšĮ Antakalnio p. ir VšĮ Centro p.), 75,0 tūkst. Eur Lytinės reprodukcijos kab. veiklai užtikrinti (VšĮ Karoliniškių p. ir VšĮ Šeškinės p.), 50,0 tūkst. Eur e. projektai, 227,0 tūkst. Eur Šeimos gydytojo kabineto įrengimas nutolusioje teritorijoje (Salininkai), 200,0 tūkst. Eur dantų protezavimo kompensavimo paslauga socialiai remtiniems asmenims, 104,0 tūkst. Eur DOTS kabinete teikiamų paslaugų finansavimas.  Papildomai prašoma 4000,0 tūkst. Eur projektui, kuriuo tikslas šeimos gydytojo institucijos kofinansavimas, sumažinant šeimos gydytojų aptarnaujamų pacientų skaičių (siekiant pagerinti gyventojų prieinamumą pas šeimos gydytojus ir šeimos gydytojų darbo sąlygas, parengti siūlymai ir apskaičiavimai dėl ilgalaikių priemonių plano šeimos gydytojo institucijai stiprinti), o skiriama 2.500,0 tūkst. Eur.</t>
  </si>
  <si>
    <t>6 priedas</t>
  </si>
  <si>
    <t>Programos kodas</t>
  </si>
  <si>
    <t>Asignavimų valdytojas ir programos pavadinimas</t>
  </si>
  <si>
    <t>Pokytis 
(10st. - 3st)</t>
  </si>
  <si>
    <t xml:space="preserve"> Savivaldybės biudžeto lėšos</t>
  </si>
  <si>
    <t>Paramos lėšos soc. infrastruktūros plėtrai</t>
  </si>
  <si>
    <t>Asignavimai iš biudžetinių įstaigų pajamų įmokų</t>
  </si>
  <si>
    <t>Kitos spec. lėšos*</t>
  </si>
  <si>
    <t>Skolintos lėšos</t>
  </si>
  <si>
    <t>Savivaldybės administracija</t>
  </si>
  <si>
    <t>Sąlygų verslo plėtrai sudarymas ir patrauklios investicijoms aplinkos formavimas</t>
  </si>
  <si>
    <t>12</t>
  </si>
  <si>
    <t xml:space="preserve">Turizmo plėtra </t>
  </si>
  <si>
    <t xml:space="preserve">Miesto infrastruktūros objektų plėtra </t>
  </si>
  <si>
    <t>17</t>
  </si>
  <si>
    <t>E. miesto departamentas</t>
  </si>
  <si>
    <t xml:space="preserve">Informacinės visuomenės plėtra </t>
  </si>
  <si>
    <t>Miesto plėtros departamentas</t>
  </si>
  <si>
    <t>11</t>
  </si>
  <si>
    <t>Miesto ūkio ir transporto departamentas</t>
  </si>
  <si>
    <t xml:space="preserve">Socialinės apsaugos plėtojimas, skurdo bei socialinės atskirties mažinimas </t>
  </si>
  <si>
    <t>Sveikatos apsauga</t>
  </si>
  <si>
    <t xml:space="preserve">Būsto plėtra </t>
  </si>
  <si>
    <t xml:space="preserve">Senamiesčio atgaivinimas </t>
  </si>
  <si>
    <t>Miesto infrastruktūros objektų priežiūra ir modernizavimas</t>
  </si>
  <si>
    <t>Saugaus miesto departamentas</t>
  </si>
  <si>
    <t xml:space="preserve">Savivaldybės veiklos pagrindinių funkcijų vykdymo strategijos formavimas ir įgyvendinimas </t>
  </si>
  <si>
    <t>Socialinių reikalų ir sveikatos departamentas</t>
  </si>
  <si>
    <t>Švietimo, kultūros ir sporto departamentas</t>
  </si>
  <si>
    <r>
      <t>Turizmo plėtra</t>
    </r>
    <r>
      <rPr>
        <i/>
        <sz val="10"/>
        <rFont val="Times New Roman"/>
        <family val="1"/>
        <charset val="186"/>
      </rPr>
      <t xml:space="preserve"> </t>
    </r>
  </si>
  <si>
    <t>Vilniaus miesto savivaldybės kontrolės ir audito tarnyba</t>
  </si>
  <si>
    <t>Turto departamentas</t>
  </si>
  <si>
    <t>Iš viso</t>
  </si>
  <si>
    <t>* kitos spec. lėšos (asignavimai iš pajamų už parduotus valstybinės žemės sklypus, socialinio būsto fondo plėtros lėšos, komunalinių atliekų programos lėšos, aplinkos apsaugos rėmimo spec. programos lėšos, apyvartos lėšų likučiai)</t>
  </si>
  <si>
    <t>7 priedas</t>
  </si>
  <si>
    <t>8 priedas</t>
  </si>
  <si>
    <t>9 priedas</t>
  </si>
  <si>
    <t>10 priedas</t>
  </si>
  <si>
    <t>11 priedas</t>
  </si>
  <si>
    <t>12 priedas</t>
  </si>
  <si>
    <t>13 priedas</t>
  </si>
  <si>
    <t>14 priedas</t>
  </si>
  <si>
    <t>15 priedas</t>
  </si>
  <si>
    <t>Dotacijos</t>
  </si>
  <si>
    <t>100 eur kompensacija privatiems darželiams; 100 eur kompensacija auklėms (9 mėn. iš 11 mėn.).</t>
  </si>
  <si>
    <t>Savivaldybės 2018 metų biudžeto projekto lyginamoji lentelė pagal asignavimų valdytojus ir programas iš visų finansavimo šaltinių</t>
  </si>
  <si>
    <t>1 priedas</t>
  </si>
  <si>
    <t>Savivaldybės 2018 metų biudžeto prognozuojami finansiniai šaltiniai</t>
  </si>
  <si>
    <t>Eil. nr.</t>
  </si>
  <si>
    <t>Finansiniai šaltiniai</t>
  </si>
  <si>
    <t xml:space="preserve">2017 m. patvirtintas planas </t>
  </si>
  <si>
    <r>
      <t xml:space="preserve">2017 m. patikslintas planas
2017-12-07 
</t>
    </r>
    <r>
      <rPr>
        <sz val="10"/>
        <rFont val="Times New Roman"/>
        <family val="1"/>
        <charset val="186"/>
      </rPr>
      <t/>
    </r>
  </si>
  <si>
    <t xml:space="preserve">2018 m. finansiniai šaltiniai </t>
  </si>
  <si>
    <t xml:space="preserve">2018 m. palyginimas su 2017 m. </t>
  </si>
  <si>
    <t>%</t>
  </si>
  <si>
    <r>
      <t xml:space="preserve">2018 m. projekto palyginimas su 2017 m. </t>
    </r>
    <r>
      <rPr>
        <b/>
        <u/>
        <sz val="10"/>
        <rFont val="Times New Roman"/>
        <family val="1"/>
      </rPr>
      <t>patikslintu planu</t>
    </r>
  </si>
  <si>
    <t>1.</t>
  </si>
  <si>
    <t>BIUDŽETO PAJAMOS SU DOTACIJOMIS</t>
  </si>
  <si>
    <t>1.1.</t>
  </si>
  <si>
    <t xml:space="preserve">BIUDŽETO PAJAMOS savarankiškoms f-joms vykdyti, iš jų: </t>
  </si>
  <si>
    <t>1.1.1.</t>
  </si>
  <si>
    <t>Mokesčiai, iš jų:</t>
  </si>
  <si>
    <t xml:space="preserve"> - gyventojų pajamų mokestis</t>
  </si>
  <si>
    <t>1.2.2.</t>
  </si>
  <si>
    <t>Kitos pajamos</t>
  </si>
  <si>
    <t>1.2.3.</t>
  </si>
  <si>
    <t>Materialiojo ir nematerialiojo turto realizavimo pajamos</t>
  </si>
  <si>
    <t xml:space="preserve">  - kito ilgalaikio materialiojo turto realizavimo pajamos (pajamos už privatizuojamą Savivaldybės turtą)</t>
  </si>
  <si>
    <t>1.2.</t>
  </si>
  <si>
    <t>VALSTYBĖS BIUDŽETO BENDROSIOS DOTACIJOS KOMPENSACIJOS (BDK)</t>
  </si>
  <si>
    <t>1.2.1.</t>
  </si>
  <si>
    <t>Pagal teisės aktus savivaldybėms perduotoms sveikatos ir kultūros įstaigoms išlaikyti</t>
  </si>
  <si>
    <t>Valstybės tarnautojams 15 proc. apskaičiuoto grąžintino neišmokėto darbo užmokesčio dalis</t>
  </si>
  <si>
    <t>IŠ VISO BIUDŽETO PAJAMŲ (1.1.+1.2.)
Savarankiškoms f-joms vykdyti, iš jų:</t>
  </si>
  <si>
    <r>
      <t xml:space="preserve">Prognozuojamos pajamos pagal 
</t>
    </r>
    <r>
      <rPr>
        <sz val="10"/>
        <rFont val="Times New Roman"/>
        <family val="1"/>
      </rPr>
      <t>LR valstybės biudžeto ir savivaldybių biudžetų finansinių rodiklių patvirtinimo įstatymus su BDK</t>
    </r>
  </si>
  <si>
    <t xml:space="preserve"> Biudžeto pajamos be specialiųjų programų lėšų </t>
  </si>
  <si>
    <t>1.1.2.</t>
  </si>
  <si>
    <t>Specialiųjų programų lėšos</t>
  </si>
  <si>
    <t xml:space="preserve">- Aplinkos apsaugos rėmimo specialiosios programos pajamos </t>
  </si>
  <si>
    <t>- biudžetinių įstaigų patalpų nuoma</t>
  </si>
  <si>
    <t>- biudžetinių įstaigų pajamų įmokos</t>
  </si>
  <si>
    <t xml:space="preserve">- parama socialinės infrastruktūros plėtrai </t>
  </si>
  <si>
    <t>- pajamos už parduotus valstybinės žemės sklypus</t>
  </si>
  <si>
    <t>- pastatų ir statinių realizavimo pajamos</t>
  </si>
  <si>
    <t>- vietinė rinkliava už komunalinių atliekų tvarkymą</t>
  </si>
  <si>
    <t xml:space="preserve">- vietinė rinkliava už naudojimąsi Savivaldybės viešąja turizmo  ir poilsio infrastruktūra </t>
  </si>
  <si>
    <t xml:space="preserve">DOTACIJOS </t>
  </si>
  <si>
    <t>Valstybės biudžeto specialios tikslinės dotacijos</t>
  </si>
  <si>
    <t>Europos Sąjungos ir kitos tarptautinės finansinės paramos lėšos</t>
  </si>
  <si>
    <t>2.</t>
  </si>
  <si>
    <t>APYVARTOS LĖŠŲ LIKUČIAI metų pradžiai</t>
  </si>
  <si>
    <t>2.1.</t>
  </si>
  <si>
    <t>Savivaldybės biudžeto lėšų likutis</t>
  </si>
  <si>
    <t>2.2.</t>
  </si>
  <si>
    <t>Specialiųjų programų lėšų likučiai</t>
  </si>
  <si>
    <t xml:space="preserve"> - Aplinkos apsaugos rėmimo specialiosios programos lėšų likutis</t>
  </si>
  <si>
    <t xml:space="preserve"> - biudžetinių įstaigų patalpų nuomos lėšų likutis</t>
  </si>
  <si>
    <t xml:space="preserve"> - biudžetinių įstaigų pajamų įmokų už paslaugas likutis</t>
  </si>
  <si>
    <t xml:space="preserve"> - paramos socialinės infrastruktūros plėtrai lėšų likutis</t>
  </si>
  <si>
    <t xml:space="preserve"> - už parduotus valstybinės žemės sklypus lėšų likutis</t>
  </si>
  <si>
    <t xml:space="preserve"> - socialinio būsto fondo plėtros lėšų likutis</t>
  </si>
  <si>
    <t>- vietinės rinkliavos už komunalinių atliekų tvarkymą lėšų likutis</t>
  </si>
  <si>
    <t>- vietinės rinkliavos už naudojimąsi Savivaldybės viešąja turizmo  ir poilsio infrastruktūra lėšų likutis</t>
  </si>
  <si>
    <t xml:space="preserve"> - Europos Sąjungos ir kitos tarptautinės finansinės paramos lėšų likutis</t>
  </si>
  <si>
    <t>3.</t>
  </si>
  <si>
    <t>SKOLINTOS LĖŠOS</t>
  </si>
  <si>
    <t>5.</t>
  </si>
  <si>
    <t>EUROPOS SĄJUNGOS IR KITOS TARPTAUTINĖS FINANSINĖS PARAMOS LĖŠOS</t>
  </si>
  <si>
    <t>6.</t>
  </si>
  <si>
    <t xml:space="preserve">SAVIVALDYBEI NUOSAVYBĖS TEISE PRIKLAUSANČIŲ VERTYBINIŲ POPIERIŲ (AKCIJŲ) PARDAVIMAS </t>
  </si>
  <si>
    <t>IŠ VISO be specialiųjų programų lėšų (1.1.1.+1.2.+2.1.+3)</t>
  </si>
  <si>
    <t>IŠ VISO LĖŠŲ IŠ VISŲ ŠALTINIŲ 1+2+3</t>
  </si>
  <si>
    <r>
      <rPr>
        <b/>
        <sz val="10"/>
        <rFont val="Times New Roman"/>
        <family val="1"/>
        <charset val="186"/>
      </rPr>
      <t>PASTABA.</t>
    </r>
    <r>
      <rPr>
        <sz val="10"/>
        <rFont val="Times New Roman"/>
        <family val="1"/>
        <charset val="186"/>
      </rPr>
      <t xml:space="preserve">  * 2018 metų prognozuojamos gauti dotacijos pateiktos palyginamosiomis sąlygomis 2017 metų patvirtinto plano lygyje. 
** Apyvartos lėšų likučiai metų pradžiai yra prognozuojami, tikslios sumos bus žinomos 2018-01-11.</t>
    </r>
  </si>
  <si>
    <t>2 priedas</t>
  </si>
  <si>
    <t>Savivaldybės biudžeto prognozuojamos pajamos pagal LR valstybės biudžeto ir savivaldybių biudžetų finansinių rodiklių patvirtinimo įstatymus 2017–2018 m.</t>
  </si>
  <si>
    <t>tūkst. Lt</t>
  </si>
  <si>
    <t>Pajamos</t>
  </si>
  <si>
    <t>2017 m. biudžetas
pagal 2017 m. Finansinių rodiklių įstatymą</t>
  </si>
  <si>
    <r>
      <t xml:space="preserve">2018 m. biudžeto prognozuojamos pajamos 
</t>
    </r>
    <r>
      <rPr>
        <b/>
        <sz val="10"/>
        <rFont val="Times New Roman"/>
        <family val="1"/>
        <charset val="186"/>
      </rPr>
      <t>pagal 2018 m. Finansinių rodiklių įstatymą</t>
    </r>
  </si>
  <si>
    <t>2018 m. projekto palyginimas su 2017 m.</t>
  </si>
  <si>
    <r>
      <t xml:space="preserve">2011 m. biudžeto projekto palyginimas su 
</t>
    </r>
    <r>
      <rPr>
        <b/>
        <u/>
        <sz val="11"/>
        <rFont val="Times New Roman"/>
        <family val="1"/>
        <charset val="186"/>
      </rPr>
      <t xml:space="preserve">2010 m. patvirtintu biudžetu </t>
    </r>
    <r>
      <rPr>
        <b/>
        <sz val="11"/>
        <rFont val="Times New Roman"/>
        <family val="1"/>
      </rPr>
      <t xml:space="preserve">
8-4</t>
    </r>
  </si>
  <si>
    <r>
      <t xml:space="preserve">2012 m. biudžeto projekto palyginimas </t>
    </r>
    <r>
      <rPr>
        <b/>
        <sz val="11"/>
        <rFont val="Times New Roman"/>
        <family val="1"/>
        <charset val="186"/>
      </rPr>
      <t xml:space="preserve">su 
</t>
    </r>
    <r>
      <rPr>
        <b/>
        <u/>
        <sz val="11"/>
        <rFont val="Times New Roman"/>
        <family val="1"/>
        <charset val="186"/>
      </rPr>
      <t>2011 m. patikslintu biudžetu</t>
    </r>
    <r>
      <rPr>
        <b/>
        <sz val="11"/>
        <rFont val="Times New Roman"/>
        <family val="1"/>
      </rPr>
      <t xml:space="preserve">
6-4</t>
    </r>
  </si>
  <si>
    <r>
      <t xml:space="preserve">2011 m. biudžeto projekto palyginimas su 
</t>
    </r>
    <r>
      <rPr>
        <b/>
        <u/>
        <sz val="7.8"/>
        <rFont val="Times New Roman"/>
        <family val="1"/>
        <charset val="186"/>
      </rPr>
      <t>2010 m. prognozuo-jamomis faktiškai gauti pajamomis</t>
    </r>
    <r>
      <rPr>
        <b/>
        <sz val="7.8"/>
        <rFont val="Times New Roman"/>
        <family val="1"/>
      </rPr>
      <t xml:space="preserve">
8-6</t>
    </r>
  </si>
  <si>
    <r>
      <t xml:space="preserve">2011 m. Savivaldybės biudžeto projekto palyginimas su </t>
    </r>
    <r>
      <rPr>
        <b/>
        <u/>
        <sz val="7.5"/>
        <rFont val="Times New Roman"/>
        <family val="1"/>
        <charset val="186"/>
      </rPr>
      <t>2011 m. biudžetu pagal Finansinių rodiklių įstatymą</t>
    </r>
    <r>
      <rPr>
        <b/>
        <sz val="7.5"/>
        <rFont val="Times New Roman"/>
        <family val="1"/>
      </rPr>
      <t xml:space="preserve">
8-7</t>
    </r>
  </si>
  <si>
    <t>Gyventojų pajamų mokestis (GPM) Vilniaus miesto savivaldybės teritorijoje</t>
  </si>
  <si>
    <t>100 proc.</t>
  </si>
  <si>
    <t>GPM dalis tenkanti savivaldybių biudžetams</t>
  </si>
  <si>
    <t>pagal Finansinių rodiklių įstatymą (proc.), iš jo:</t>
  </si>
  <si>
    <t xml:space="preserve">  - pastovioji dalis</t>
  </si>
  <si>
    <t xml:space="preserve"> - procentais</t>
  </si>
  <si>
    <t xml:space="preserve">  - kintamoji dalis </t>
  </si>
  <si>
    <t xml:space="preserve">  - procentais</t>
  </si>
  <si>
    <t>Gyventojų pajamų mokestis pagal Finansinių rodiklių įstatymus</t>
  </si>
  <si>
    <t xml:space="preserve"> Pastovioji dalis, iš jos: </t>
  </si>
  <si>
    <t xml:space="preserve"> - GPM, tenkantis Vilniaus m. savivaldybei 
pagal proc. dalį </t>
  </si>
  <si>
    <t xml:space="preserve"> - GPM išlaidų struktūrų skirtumams išlyginti</t>
  </si>
  <si>
    <r>
      <t>Kintamoji dalis</t>
    </r>
    <r>
      <rPr>
        <b/>
        <sz val="9"/>
        <rFont val="Times New Roman"/>
        <family val="1"/>
        <charset val="186"/>
      </rPr>
      <t xml:space="preserve"> </t>
    </r>
    <r>
      <rPr>
        <sz val="10"/>
        <rFont val="Times New Roman"/>
        <family val="1"/>
        <charset val="186"/>
      </rPr>
      <t>(išlaidų pokyčiams kompensuoti dėl Seimo ir Vyriausybės numatomų priimti sprendimų)</t>
    </r>
  </si>
  <si>
    <t>Pajamos ir mokesčiai iš turto, iš jų:</t>
  </si>
  <si>
    <t>Žemės mokestis</t>
  </si>
  <si>
    <t xml:space="preserve">Paveldimo turto mokestis </t>
  </si>
  <si>
    <t>2.3.</t>
  </si>
  <si>
    <t xml:space="preserve">Nekilnojamojo turto mokestis </t>
  </si>
  <si>
    <t>2.4.</t>
  </si>
  <si>
    <t>Dividendai</t>
  </si>
  <si>
    <t>2.5.</t>
  </si>
  <si>
    <t xml:space="preserve">Nuomos mokestis už valstybinę žemę </t>
  </si>
  <si>
    <t>Kito ilgalaikio materialiojo turto realizavimo pajamos (pajamos už privatizuojamą Savivaldybės turtą)</t>
  </si>
  <si>
    <t>Kitos pajamos, iš jų:</t>
  </si>
  <si>
    <t>3.1.</t>
  </si>
  <si>
    <t>Valstybės rinkliavos</t>
  </si>
  <si>
    <t>3.2.</t>
  </si>
  <si>
    <t>Palūkanos už depozitus</t>
  </si>
  <si>
    <t>3.3.</t>
  </si>
  <si>
    <t>Pajamos iš baudų, konfiskuoto turto ir kitų netesybų</t>
  </si>
  <si>
    <t>3.4.</t>
  </si>
  <si>
    <t>Kitos neišvardytos pajamos</t>
  </si>
  <si>
    <t>3.5.</t>
  </si>
  <si>
    <t>Žemė</t>
  </si>
  <si>
    <t>3.6.</t>
  </si>
  <si>
    <t>Pastatų ir statinių realizavimo pajamos</t>
  </si>
  <si>
    <t>IŠ VISO PAJAMŲ pagal Finansinių rodiklių įstatymus (1+2+3)</t>
  </si>
  <si>
    <t>4.</t>
  </si>
  <si>
    <t xml:space="preserve">Bendrosios dotacijos kompensacijos iš valstybės biudžeto, iš jų: </t>
  </si>
  <si>
    <t>4.1.</t>
  </si>
  <si>
    <t>Pagal teisės aktus savivaldybėms perduotoms kultūros ir sveikatos įstaigoms išlaikyti</t>
  </si>
  <si>
    <t>4.2.</t>
  </si>
  <si>
    <t>Grąžintino neišmokėto 15 % DU daliai išmokėti</t>
  </si>
  <si>
    <t>IŠ VISO PAJAMŲ pagal Finansinių rodiklių įstatymus  savarankiškoms f-joms vykdyti (1+2+3+4)</t>
  </si>
  <si>
    <r>
      <t xml:space="preserve">Papildomai planuojamos Savivaldybės pajamos, kurios netvirtinamos </t>
    </r>
    <r>
      <rPr>
        <b/>
        <u/>
        <sz val="10"/>
        <rFont val="Times New Roman"/>
        <family val="1"/>
        <charset val="186"/>
      </rPr>
      <t>Finansinių rodiklių įstatymu</t>
    </r>
  </si>
  <si>
    <t>1.4.2.</t>
  </si>
  <si>
    <t>5. Pajamos už prekes ir paslaugas, iš jų:</t>
  </si>
  <si>
    <t>1.4.2.1.2.</t>
  </si>
  <si>
    <t>Pajamos už patalpų nuomą, iš jų:</t>
  </si>
  <si>
    <t xml:space="preserve">   - Savivldybės patalpų nuoma</t>
  </si>
  <si>
    <t xml:space="preserve">   - biudžetinių įstaigų patalpų nuoma</t>
  </si>
  <si>
    <t>1.4.2.1.4.</t>
  </si>
  <si>
    <t>Pajamos už atsitiktines paslaugas</t>
  </si>
  <si>
    <t>1.4.2.1.5.2.</t>
  </si>
  <si>
    <t>Įmokos už išlaikymą švietimo, socialinės apsaugos ir kitose įstaigose</t>
  </si>
  <si>
    <t>1.4.3.</t>
  </si>
  <si>
    <t>6. Pajamos Aplinkos apsaugos rėmimo specialiąjai programai, iš jų:</t>
  </si>
  <si>
    <t>1.4.5.</t>
  </si>
  <si>
    <t>Mokesčių už aplinkos teršimą</t>
  </si>
  <si>
    <t xml:space="preserve">Mokesčių už valstybinius gamtos išteklius </t>
  </si>
  <si>
    <t>Želdynų atkuriamosios vertės lėšos</t>
  </si>
  <si>
    <t>Parama socialinės infrastruktūros plėtrai</t>
  </si>
  <si>
    <t>7. Vietinės rinkliavos</t>
  </si>
  <si>
    <t>IŠ VISO papildomai planuojamų pajamų (5+6+7)</t>
  </si>
  <si>
    <t>IŠ VISO PAJAMŲ savarankiškoms f-joms vykdyti (be dotacijų) (1+...7)</t>
  </si>
  <si>
    <t>3 priedas</t>
  </si>
  <si>
    <t xml:space="preserve">Savivaldybės 2018 metų biudžeto prognozuojamos pajamos </t>
  </si>
  <si>
    <t>Eur</t>
  </si>
  <si>
    <r>
      <t xml:space="preserve">2018 m. biudžeto </t>
    </r>
    <r>
      <rPr>
        <b/>
        <sz val="10"/>
        <rFont val="Times New Roman"/>
        <family val="1"/>
        <charset val="186"/>
      </rPr>
      <t>prognozuojamos pajamos 
pagal  2018 metų Finansinių rodiklių įstatymą</t>
    </r>
  </si>
  <si>
    <t xml:space="preserve">2018 m. 
papildomai planuo-jamos pajamos </t>
  </si>
  <si>
    <t>Iš viso 
2018 m. prognozuo-jama pajamų 
3+4</t>
  </si>
  <si>
    <t>2015 m. 
papildomai planuojamos pajamos pagal Savivaldybės AV patikslintą prognozę *</t>
  </si>
  <si>
    <r>
      <rPr>
        <b/>
        <u/>
        <sz val="8"/>
        <rFont val="Times New Roman"/>
        <family val="1"/>
      </rPr>
      <t xml:space="preserve">Iš viso </t>
    </r>
    <r>
      <rPr>
        <b/>
        <sz val="8"/>
        <rFont val="Times New Roman"/>
        <family val="1"/>
      </rPr>
      <t xml:space="preserve">
2015 m. planuojama biudžeto pajamų 
5+6</t>
    </r>
  </si>
  <si>
    <t>Iš viso
papildomų pajamų
4+6</t>
  </si>
  <si>
    <t>1</t>
  </si>
  <si>
    <t>2</t>
  </si>
  <si>
    <t>MOKESČIAI (1.1.+1.2.+1.3.)</t>
  </si>
  <si>
    <t>Gyventojų pajamų mokestis (GPM)Vilniaus miesto savivaldybės teritorijoje</t>
  </si>
  <si>
    <t>GPM dalis tenkanti visų savivaldybių biudžetams</t>
  </si>
  <si>
    <t>pagal 2017 m. Finansinių rodiklių įstatymo projektą (proc.)</t>
  </si>
  <si>
    <t xml:space="preserve"> - GPM, tenkantis Vilniaus m. savivaldybei pagal proc. dalį 
(53,78 proc.)</t>
  </si>
  <si>
    <r>
      <t xml:space="preserve">Kintamoji dalis </t>
    </r>
    <r>
      <rPr>
        <sz val="10"/>
        <rFont val="Times New Roman"/>
        <family val="1"/>
        <charset val="186"/>
      </rPr>
      <t>(išlaidų pokyčiams kompensuoti dėl Seimo ir Vyriausybės numatomų priimti sprendimų)</t>
    </r>
  </si>
  <si>
    <t>Turto mokesčiai</t>
  </si>
  <si>
    <t>1.3.</t>
  </si>
  <si>
    <t xml:space="preserve">Prekių ir paslaugų mokesčiai </t>
  </si>
  <si>
    <t>1.3.1.</t>
  </si>
  <si>
    <t>Mokesčiai už aplinkos teršimą</t>
  </si>
  <si>
    <t>1.3.2.</t>
  </si>
  <si>
    <t>1.3.3.</t>
  </si>
  <si>
    <t>Vietinės rinkliavos</t>
  </si>
  <si>
    <t>KITOS PAJAMOS (2.1.+2.2.+2.3.+2.4.)</t>
  </si>
  <si>
    <t>Turto pajamos</t>
  </si>
  <si>
    <t>2.1.1.</t>
  </si>
  <si>
    <t>Dividendai ir kitos pelno įmokos</t>
  </si>
  <si>
    <t>2.1.2.</t>
  </si>
  <si>
    <t>2.1.3.</t>
  </si>
  <si>
    <t>Mokesčiai už valstybinius gamtos išteklius</t>
  </si>
  <si>
    <t xml:space="preserve">Pajamos už prekes ir paslaugas </t>
  </si>
  <si>
    <t>2.2.1.</t>
  </si>
  <si>
    <t>Pajamos už ilgalaikio ir trumpalaikio materialiojo turto nuomą, iš jų:</t>
  </si>
  <si>
    <t xml:space="preserve">   - Savivaldybės patalpų nuoma</t>
  </si>
  <si>
    <t>2.2.2.</t>
  </si>
  <si>
    <t>2.2.3.</t>
  </si>
  <si>
    <t>2.2.4.</t>
  </si>
  <si>
    <t>Kitos neišvardytos pajamos, iš jų:</t>
  </si>
  <si>
    <t xml:space="preserve"> - kitos pajamos</t>
  </si>
  <si>
    <t xml:space="preserve"> - želdynų atkuriamosios vertės lėšos</t>
  </si>
  <si>
    <t xml:space="preserve"> - parama socialinės infrastruktūros plėtrai</t>
  </si>
  <si>
    <t>MATERIALIOJO IR NEMATERIALIOJO TURTO REALIZAVIMO PAJAMOS (3.1.+3.2.+3.3.)</t>
  </si>
  <si>
    <t>Žemės realizavimo pajamos</t>
  </si>
  <si>
    <t>Pastatų ir statinių realizavimo pajamos
(pajamos už išsiperkamus Savivaldybės gyvenamuosius būstus)</t>
  </si>
  <si>
    <t>Kito ilgalaikio materialiojo turto realizavimo pajamos 
(pajamos už privatizuojamą Savivaldybės turtą)</t>
  </si>
  <si>
    <t>VALSTYBĖS BIUDŽETO BENDROSIOS DOTACIJOS KOMPENSACIJOS, iš jų:</t>
  </si>
  <si>
    <t>IŠ VISO PAJAMŲ pagal 2018 m. Finansinių rodiklių įstatymo projektą savarankiškoms f-joms vykdyti (1+2+3+4)</t>
  </si>
  <si>
    <t>4 priedas</t>
  </si>
  <si>
    <t xml:space="preserve">Savivaldybės 2018 metų biudžeto pajamų plano projekto palyginimas su 2017 m. patvirtintu biudžetu </t>
  </si>
  <si>
    <t xml:space="preserve">2017 m. patvirtintas biudžeto pajamų planas      </t>
  </si>
  <si>
    <t>2018 m. biudžeto pajamų plano projektas</t>
  </si>
  <si>
    <t>2018 m. projekto palyginimas su 
2017 m. patvirtintu biudžetu 
4-3</t>
  </si>
  <si>
    <t>pagal Finansinių rodiklių įstatymus (proc.)</t>
  </si>
  <si>
    <t>Gyventojų pajamų mokestis</t>
  </si>
  <si>
    <t xml:space="preserve"> - GPM, tenkantis Vilniaus m. savivaldybei pagal proc. dalį </t>
  </si>
  <si>
    <t>- GPM kompensacija iš Valstybės biudžeto pagal taikos sutartį</t>
  </si>
  <si>
    <t>Palūkanos už paskolas</t>
  </si>
  <si>
    <t>2.1.4.</t>
  </si>
  <si>
    <t xml:space="preserve"> - Savivaldybės patalpų nuoma</t>
  </si>
  <si>
    <t xml:space="preserve"> - biudžetinių įstaigų patalpų nuoma</t>
  </si>
  <si>
    <t xml:space="preserve"> - Savivaldybės būsto ir socialinio būsto nuomos sukauptos lėšos</t>
  </si>
  <si>
    <t xml:space="preserve">  - kitos pajamos</t>
  </si>
  <si>
    <t>Ilgalaikio materialiojo turto realizavimo pajamos</t>
  </si>
  <si>
    <t>Pastatų ir statinių realizavimo pajamos (pajamos už išsiperkamus Savivaldybės gyvenamuosius būstus)</t>
  </si>
  <si>
    <t>Kito ilgalaikio materialiojo turto realizavimo pajamos 
(už privatizuojamą Savivaldybės turtą)</t>
  </si>
  <si>
    <t>IŠ VISO PAJAMŲ
(be dotacijų) (1+2+3)</t>
  </si>
  <si>
    <t>VALSTYBĖS BIUDŽETO BENDROSIOS DOTACIJOS KOMPENSACIJOS</t>
  </si>
  <si>
    <t>IŠ VISO PAJAMŲ savarankiškoms f-joms vykdyti 
(be dotacijų) (1+2+3+4)</t>
  </si>
  <si>
    <t>DOTACIJOS (5.1.+5.2.)</t>
  </si>
  <si>
    <t>5.1.</t>
  </si>
  <si>
    <t>5.1.1.</t>
  </si>
  <si>
    <t>Valstybinėms (valstybės perduotoms savivaldybėms) funkcijoms vykdyti</t>
  </si>
  <si>
    <t>5.1.2.</t>
  </si>
  <si>
    <t>Mokinio krepšeliui finansuoti</t>
  </si>
  <si>
    <t>5.1.3.</t>
  </si>
  <si>
    <t>Pagal teisės aktus savivaldybėms perduotoms įstaigoms išlaikyti</t>
  </si>
  <si>
    <t>5.1.4.</t>
  </si>
  <si>
    <t>Mokykloms ir klasėms, skirtoms mokiniams, turintiems specialiųjų ugdymosi poreikių</t>
  </si>
  <si>
    <t>5.1.5.</t>
  </si>
  <si>
    <t xml:space="preserve">Valstybės investicijų programoje numatytoms kapitalo investicijoms finansuoti </t>
  </si>
  <si>
    <t>5.1.6.</t>
  </si>
  <si>
    <t>Kelių priežiūros ir plėtros programos lėšos vietinės reikšmės keliams (gatvėms) tiesti, rekonstruoti,  taisyti (remontuoti), prižiūrėti ir saugaus eismo sąlygoms užtikrinti</t>
  </si>
  <si>
    <t>5.1.7.</t>
  </si>
  <si>
    <t xml:space="preserve">Kitos specialios tikslinės dotacijos </t>
  </si>
  <si>
    <t>Kitos  dotacijos, iš jų:</t>
  </si>
  <si>
    <t xml:space="preserve"> - kompensacija iš valstybės biudžeto pagal 2016-09-02 Taikos sutartį Nr. 14P-68 Savivaldybės skoliniams įsipareigojimams grąžinti</t>
  </si>
  <si>
    <t>5.2.</t>
  </si>
  <si>
    <t>35.1.</t>
  </si>
  <si>
    <t>neformaliojo vaikų švietimo paslaugų plėtra</t>
  </si>
  <si>
    <t>35.2.</t>
  </si>
  <si>
    <t>kompleksinių paslaugų šeimai teikimas Vilniaus mieste</t>
  </si>
  <si>
    <t>IŠ VISO PAJAMŲ SU DOTACIJOMIS 
(1+2+3+4+5)</t>
  </si>
  <si>
    <t>PASTABA. * 2017 m. Dotacijų sumos  bus patikslintos metų eigoje tikslinant Savivaldybės biudžetą, kai valstybės institucijos ir įstaigos, vadovaujantis 2016 m. Įstatymo nustatyta tvarka, praneš savivaldybėms.</t>
  </si>
  <si>
    <r>
      <rPr>
        <b/>
        <sz val="9"/>
        <rFont val="Times New Roman"/>
        <family val="1"/>
        <charset val="186"/>
      </rPr>
      <t>PASTABA. *</t>
    </r>
    <r>
      <rPr>
        <sz val="9"/>
        <rFont val="Times New Roman"/>
        <family val="1"/>
        <charset val="186"/>
      </rPr>
      <t xml:space="preserve"> 2018 metų prognozuojamos gauti specialios tikslinės dotacijos  pateiktos palyginamosiomis sąlygomis 2017 metų patvirtinto plano lygyje. </t>
    </r>
  </si>
  <si>
    <r>
      <rPr>
        <b/>
        <sz val="9"/>
        <color indexed="8"/>
        <rFont val="Times New Roman"/>
        <family val="1"/>
        <charset val="186"/>
      </rPr>
      <t>PASTABA.</t>
    </r>
    <r>
      <rPr>
        <sz val="9"/>
        <color indexed="8"/>
        <rFont val="Times New Roman"/>
        <family val="1"/>
        <charset val="186"/>
      </rPr>
      <t xml:space="preserve"> * 2017 metų Europos Sąjungos ir kitos tarptautinės paramos lėšos bus įtrauktos į Savivaldybės biudžeto pajamas kaip dotacija, kai iš ministerijų ir įstaigų bus gauti tai patvirtinantys dokumentai. </t>
    </r>
  </si>
  <si>
    <t>5 priedas</t>
  </si>
  <si>
    <t>Savivaldybės 2018 metų biudžeto pajamų struktūra</t>
  </si>
  <si>
    <t>Eil. Nr.</t>
  </si>
  <si>
    <t>2018 m. pajamos</t>
  </si>
  <si>
    <t xml:space="preserve">plano projektas </t>
  </si>
  <si>
    <t>% nuo visų pajamų</t>
  </si>
  <si>
    <t xml:space="preserve">Gyventojų pajamų mokestis                        </t>
  </si>
  <si>
    <t xml:space="preserve">Turto mokesčiai </t>
  </si>
  <si>
    <t xml:space="preserve">Mokesčiai už aplinkos teršimą </t>
  </si>
  <si>
    <t>Apyvartos lėšų likučiai 2016-01-01</t>
  </si>
  <si>
    <t>IŠ VISO PAJAMŲ savarankiškoms f-joms vykdyti
(be dotacijų) (1+2+3)</t>
  </si>
  <si>
    <t>DOTACIJOS (4.1.+4.2.)</t>
  </si>
  <si>
    <t>VALSTYBĖS BIUDŽETO SPECIALIOS TIKSLINĖS DOTACIJOS</t>
  </si>
  <si>
    <t>5.1.8.</t>
  </si>
  <si>
    <t xml:space="preserve">Kitos  dotacijos </t>
  </si>
  <si>
    <t>PASTABA. * 2016 metų dotacijos iš valstybės biudžeto pateiktos palyginamosiomis sąlygomis 2015 metų dotacijų patvirtinto plano lygyje</t>
  </si>
  <si>
    <r>
      <rPr>
        <b/>
        <sz val="10"/>
        <rFont val="Times New Roman"/>
        <family val="1"/>
        <charset val="186"/>
      </rPr>
      <t xml:space="preserve">PASTABA. </t>
    </r>
    <r>
      <rPr>
        <sz val="10"/>
        <rFont val="Times New Roman"/>
        <family val="1"/>
        <charset val="186"/>
      </rPr>
      <t>* 2018 metų prognozuojamos gauti dotacijos pateiktos palyginamosiomis sąlygomis 2017 metų patvirtinto plano lygyje.</t>
    </r>
  </si>
  <si>
    <t>Tęstinė priemonė. Teritorijų priežiūra  šiuo metu vykdoma pagal 2011 metais tarybos sprendimu patvirtintus įkainius.  2018 metų  balandžio mėn. baigiasi šių sutarčių galiojimo terminas, planuojamas naujas pirkimas. Skaičiuotina kaina ženkliai išaugo perskaičiavus  kainas  pagal šiuo metu galiojančius Sistelos įkainius, nuo 2011 metų padidėjusį miesto teritorijų plotą ir numatytus valymo periodiškumus, todėl planuojamos didesnės išlaidos.
Visame mieste  vykdoma:  Gatvių, kiemų  sanitarinis valymas,  gėlynų  priežiūra, šienavimo darbai, neužstatytų teritorijų priežiūra, kiti darbai; Gatvių mechaninė priežiūra vasarą (balandis - lapkritis); Vilniaus miesto saugotinų medžių ir krūmų, augančių ne miško žemėje, priežiūra; Miško parkų atokvėpio vietose suolų ir šiukšliadėžių įrengimas, remontas; Miško parkų priežiūra (medžių kirtimas, šiukšlių rinkimas, savartynų tvarkymas, žolės šienavimas ); Bernardinų sodo ir Vilniaus Parkų priežiūra (VŠĮ Vilniaus miesto parkai); spec. sanitariniai darbai (paslaugos); viešųjų  tualetų priežiūra (biotualetai).</t>
  </si>
  <si>
    <t>Iš jų: 143,0 tūkst. Eur želdinių priežiūrai (laistymas, tręšimas); 80, tūkst. Eur želdinių sodinimui (per 200 vnt.); 133,0 tūkst. Eur želdinių genėjimui, avarinių želdinių kirtimui.
 Metų eigoje asignavimai tikslinami, numatant želdynų priežiūrai papildomus asignavimus.</t>
  </si>
  <si>
    <t xml:space="preserve">Lėšos reikalingos apmokėti už Lukiškių aikštės sutvarkymo darbus. </t>
  </si>
  <si>
    <t>Tęstinė priemonė. Lėšos bus naudojamos kompensuoti nuostolius dėl keleivių vežimo vietinio reguliaraus susisiekimo maršrutais ir 2017 m. skoloms apmokėti.</t>
  </si>
  <si>
    <t>Nauja priemonė. 2018 metų antrame pusmetyje planuojama pradėti  Šiaurinės gatvės statybą. Šiaurinės gatvės nuo Kairėnų g. iki miesto ribos rekonstravimo techninis projektas bus parengtas iki 2018-03-30. Viešuosius pirkimus planuojam pradėti 2018 m. II ketvirtyje. Projektas bus įgyvendintas ES lėšomis, preliminari statybos kaina 38.5 mln. Eur.</t>
  </si>
  <si>
    <t>Gyventojų pajamų mokestis pagal 2017 m. Finansinių rodiklių įstatymo 7 priedą</t>
  </si>
  <si>
    <t>IŠ VISO PAJAMŲ pagal 2018 m. Finansinių rodiklių įstatymo 7 priedą (1+2+3)</t>
  </si>
  <si>
    <t>IŠ VISO PAJAMŲ SU DOTACIJOMIS 
(1+2+3+4)</t>
  </si>
  <si>
    <t>Prekių ir paslaugų mokesčiai</t>
  </si>
  <si>
    <t xml:space="preserve">Turto pajamos </t>
  </si>
  <si>
    <t>Pajamos už prekes ir paslaugas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</si>
</sst>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0"/>
    <numFmt numFmtId="165" formatCode="0.0"/>
    <numFmt numFmtId="166" formatCode="_-* #,##0.00\ _L_t_-;\-* #,##0.00\ _L_t_-;_-* &quot;-&quot;??\ _L_t_-;_-@_-"/>
  </numFmts>
  <fonts count="79" x14ac:knownFonts="1">
    <font>
      <sz val="11"/>
      <color theme="1"/>
      <name val="Calibri"/>
      <family val="2"/>
      <charset val="186"/>
      <scheme val="minor"/>
    </font>
    <font>
      <sz val="11"/>
      <color theme="1"/>
      <name val="Calibri"/>
      <family val="2"/>
      <charset val="186"/>
      <scheme val="minor"/>
    </font>
    <font>
      <sz val="9"/>
      <color theme="1"/>
      <name val="Times New Roman"/>
      <family val="1"/>
      <charset val="186"/>
    </font>
    <font>
      <b/>
      <sz val="9"/>
      <color theme="1"/>
      <name val="Times New Roman"/>
      <family val="1"/>
      <charset val="186"/>
    </font>
    <font>
      <i/>
      <sz val="9"/>
      <color theme="1"/>
      <name val="Times New Roman"/>
      <family val="1"/>
      <charset val="186"/>
    </font>
    <font>
      <sz val="10"/>
      <name val="Times New Roman Baltic"/>
      <charset val="186"/>
    </font>
    <font>
      <sz val="10"/>
      <name val="Arial"/>
      <family val="2"/>
      <charset val="186"/>
    </font>
    <font>
      <sz val="9"/>
      <color rgb="FFFF0000"/>
      <name val="Times New Roman"/>
      <family val="1"/>
      <charset val="186"/>
    </font>
    <font>
      <b/>
      <sz val="9"/>
      <name val="Times New Roman"/>
      <family val="1"/>
      <charset val="186"/>
    </font>
    <font>
      <sz val="9"/>
      <name val="Times New Roman"/>
      <family val="1"/>
      <charset val="186"/>
    </font>
    <font>
      <sz val="10"/>
      <name val="Arial"/>
      <family val="2"/>
    </font>
    <font>
      <sz val="10"/>
      <name val="Times New Roman"/>
      <family val="1"/>
      <charset val="186"/>
    </font>
    <font>
      <b/>
      <sz val="11"/>
      <name val="Times New Roman"/>
      <family val="1"/>
      <charset val="186"/>
    </font>
    <font>
      <b/>
      <sz val="10"/>
      <name val="Times New Roman"/>
      <family val="1"/>
      <charset val="186"/>
    </font>
    <font>
      <sz val="7"/>
      <name val="Times New Roman"/>
      <family val="1"/>
      <charset val="186"/>
    </font>
    <font>
      <i/>
      <sz val="9"/>
      <name val="Times New Roman"/>
      <family val="1"/>
      <charset val="186"/>
    </font>
    <font>
      <b/>
      <i/>
      <sz val="9"/>
      <name val="Times New Roman"/>
      <family val="1"/>
      <charset val="186"/>
    </font>
    <font>
      <b/>
      <sz val="9"/>
      <color rgb="FFFF0000"/>
      <name val="Times New Roman"/>
      <family val="1"/>
      <charset val="186"/>
    </font>
    <font>
      <b/>
      <sz val="10"/>
      <name val="Times New Roman"/>
      <family val="1"/>
    </font>
    <font>
      <b/>
      <sz val="10"/>
      <color theme="1"/>
      <name val="Times New Roman"/>
      <family val="1"/>
      <charset val="186"/>
    </font>
    <font>
      <sz val="8"/>
      <color theme="1"/>
      <name val="Times New Roman"/>
      <family val="1"/>
    </font>
    <font>
      <sz val="7"/>
      <color theme="1"/>
      <name val="Times New Roman"/>
      <family val="1"/>
      <charset val="186"/>
    </font>
    <font>
      <b/>
      <sz val="8"/>
      <color theme="1"/>
      <name val="Times New Roman"/>
      <family val="1"/>
    </font>
    <font>
      <sz val="9"/>
      <color theme="1"/>
      <name val="Times New Roman"/>
      <family val="1"/>
    </font>
    <font>
      <b/>
      <i/>
      <sz val="9"/>
      <color theme="1"/>
      <name val="Times New Roman"/>
      <family val="1"/>
      <charset val="186"/>
    </font>
    <font>
      <sz val="9"/>
      <name val="Times New Roman"/>
      <family val="1"/>
    </font>
    <font>
      <sz val="12"/>
      <name val="Times New Roman"/>
      <family val="1"/>
      <charset val="186"/>
    </font>
    <font>
      <sz val="10"/>
      <name val="Arial"/>
      <family val="2"/>
      <charset val="186"/>
    </font>
    <font>
      <i/>
      <sz val="8"/>
      <name val="Times New Roman"/>
      <family val="1"/>
      <charset val="186"/>
    </font>
    <font>
      <sz val="8"/>
      <name val="Times New Roman"/>
      <family val="1"/>
      <charset val="186"/>
    </font>
    <font>
      <b/>
      <sz val="7"/>
      <name val="Times New Roman"/>
      <family val="1"/>
      <charset val="186"/>
    </font>
    <font>
      <i/>
      <sz val="10"/>
      <name val="Times New Roman"/>
      <family val="1"/>
      <charset val="186"/>
    </font>
    <font>
      <sz val="8"/>
      <name val="Times New Roman"/>
      <family val="1"/>
    </font>
    <font>
      <i/>
      <sz val="9"/>
      <name val="Times New Roman"/>
      <family val="1"/>
    </font>
    <font>
      <i/>
      <sz val="8"/>
      <color theme="1"/>
      <name val="Times New Roman"/>
      <family val="1"/>
      <charset val="186"/>
    </font>
    <font>
      <sz val="10"/>
      <color theme="1"/>
      <name val="Times New Roman"/>
      <family val="1"/>
      <charset val="186"/>
    </font>
    <font>
      <sz val="10"/>
      <name val="Arial"/>
      <family val="2"/>
      <charset val="186"/>
    </font>
    <font>
      <b/>
      <i/>
      <sz val="10"/>
      <name val="Times New Roman"/>
      <family val="1"/>
      <charset val="186"/>
    </font>
    <font>
      <b/>
      <sz val="10"/>
      <color rgb="FFFF0000"/>
      <name val="Times New Roman"/>
      <family val="1"/>
      <charset val="186"/>
    </font>
    <font>
      <sz val="10"/>
      <color rgb="FFFF0000"/>
      <name val="Times New Roman"/>
      <family val="1"/>
      <charset val="186"/>
    </font>
    <font>
      <b/>
      <i/>
      <sz val="10"/>
      <color theme="1"/>
      <name val="Times New Roman"/>
      <family val="1"/>
      <charset val="186"/>
    </font>
    <font>
      <i/>
      <sz val="10"/>
      <color theme="1"/>
      <name val="Times New Roman"/>
      <family val="1"/>
      <charset val="186"/>
    </font>
    <font>
      <b/>
      <sz val="9"/>
      <name val="Arial"/>
      <family val="2"/>
      <charset val="186"/>
    </font>
    <font>
      <sz val="10"/>
      <color theme="1"/>
      <name val="Times New Roman"/>
      <family val="1"/>
    </font>
    <font>
      <b/>
      <sz val="10"/>
      <color theme="1"/>
      <name val="Times New Roman"/>
      <family val="1"/>
    </font>
    <font>
      <sz val="10"/>
      <name val="Times New Roman"/>
      <family val="1"/>
    </font>
    <font>
      <i/>
      <sz val="10"/>
      <color theme="1"/>
      <name val="Times New Roman"/>
      <family val="1"/>
    </font>
    <font>
      <i/>
      <sz val="10"/>
      <name val="Times New Roman"/>
      <family val="1"/>
    </font>
    <font>
      <b/>
      <sz val="11"/>
      <name val="Times New Roman"/>
      <family val="1"/>
    </font>
    <font>
      <b/>
      <i/>
      <sz val="10"/>
      <name val="Times New Roman"/>
      <family val="1"/>
    </font>
    <font>
      <b/>
      <sz val="9"/>
      <name val="Times New Roman"/>
      <family val="1"/>
    </font>
    <font>
      <b/>
      <sz val="8"/>
      <name val="Times New Roman"/>
      <family val="1"/>
    </font>
    <font>
      <sz val="9"/>
      <color indexed="81"/>
      <name val="Tahoma"/>
      <family val="2"/>
      <charset val="186"/>
    </font>
    <font>
      <b/>
      <sz val="9"/>
      <color indexed="81"/>
      <name val="Tahoma"/>
      <family val="2"/>
      <charset val="186"/>
    </font>
    <font>
      <i/>
      <sz val="10"/>
      <color indexed="8"/>
      <name val="Times New Roman"/>
      <family val="1"/>
      <charset val="186"/>
    </font>
    <font>
      <sz val="7"/>
      <color rgb="FFFF0000"/>
      <name val="Times New Roman"/>
      <family val="1"/>
      <charset val="186"/>
    </font>
    <font>
      <b/>
      <sz val="8"/>
      <name val="Times New Roman"/>
      <family val="1"/>
      <charset val="186"/>
    </font>
    <font>
      <sz val="8"/>
      <name val="Calibri"/>
      <family val="2"/>
      <charset val="186"/>
      <scheme val="minor"/>
    </font>
    <font>
      <b/>
      <sz val="12"/>
      <name val="Times New Roman"/>
      <family val="1"/>
      <charset val="186"/>
    </font>
    <font>
      <sz val="11"/>
      <name val="Times New Roman"/>
      <family val="1"/>
    </font>
    <font>
      <b/>
      <u/>
      <sz val="10"/>
      <name val="Times New Roman"/>
      <family val="1"/>
    </font>
    <font>
      <sz val="8"/>
      <name val="Arial"/>
      <family val="2"/>
      <charset val="186"/>
    </font>
    <font>
      <b/>
      <sz val="10"/>
      <name val="Arial"/>
      <family val="2"/>
      <charset val="186"/>
    </font>
    <font>
      <b/>
      <sz val="12"/>
      <name val="Times New Roman"/>
      <family val="1"/>
    </font>
    <font>
      <b/>
      <u/>
      <sz val="11"/>
      <name val="Times New Roman"/>
      <family val="1"/>
      <charset val="186"/>
    </font>
    <font>
      <b/>
      <sz val="7.8"/>
      <name val="Times New Roman"/>
      <family val="1"/>
    </font>
    <font>
      <b/>
      <u/>
      <sz val="7.8"/>
      <name val="Times New Roman"/>
      <family val="1"/>
      <charset val="186"/>
    </font>
    <font>
      <b/>
      <sz val="7.5"/>
      <name val="Times New Roman"/>
      <family val="1"/>
    </font>
    <font>
      <b/>
      <u/>
      <sz val="7.5"/>
      <name val="Times New Roman"/>
      <family val="1"/>
      <charset val="186"/>
    </font>
    <font>
      <sz val="7.8"/>
      <name val="Times New Roman"/>
      <family val="1"/>
    </font>
    <font>
      <b/>
      <sz val="10"/>
      <color rgb="FFFF0000"/>
      <name val="Times New Roman"/>
      <family val="1"/>
    </font>
    <font>
      <sz val="10"/>
      <color rgb="FFFF0000"/>
      <name val="Times New Roman"/>
      <family val="1"/>
    </font>
    <font>
      <b/>
      <u/>
      <sz val="10"/>
      <name val="Times New Roman"/>
      <family val="1"/>
      <charset val="186"/>
    </font>
    <font>
      <sz val="11"/>
      <name val="Times New Roman"/>
      <family val="1"/>
      <charset val="186"/>
    </font>
    <font>
      <sz val="7.8"/>
      <name val="Times New Roman"/>
      <family val="1"/>
      <charset val="186"/>
    </font>
    <font>
      <b/>
      <u/>
      <sz val="8"/>
      <name val="Times New Roman"/>
      <family val="1"/>
    </font>
    <font>
      <sz val="7"/>
      <name val="Times New Roman"/>
      <family val="1"/>
    </font>
    <font>
      <sz val="9"/>
      <color indexed="8"/>
      <name val="Times New Roman"/>
      <family val="1"/>
      <charset val="186"/>
    </font>
    <font>
      <b/>
      <sz val="9"/>
      <color indexed="8"/>
      <name val="Times New Roman"/>
      <family val="1"/>
      <charset val="186"/>
    </font>
  </fonts>
  <fills count="2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FFCC"/>
        <bgColor indexed="64"/>
      </patternFill>
    </fill>
    <fill>
      <patternFill patternType="solid">
        <fgColor rgb="FFFFFF99"/>
        <bgColor indexed="64"/>
      </patternFill>
    </fill>
    <fill>
      <patternFill patternType="solid">
        <fgColor theme="6"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indexed="9"/>
        <bgColor indexed="64"/>
      </patternFill>
    </fill>
    <fill>
      <patternFill patternType="solid">
        <fgColor rgb="FF78ADDE"/>
        <bgColor indexed="64"/>
      </patternFill>
    </fill>
    <fill>
      <patternFill patternType="solid">
        <fgColor rgb="FF64BACE"/>
        <bgColor indexed="64"/>
      </patternFill>
    </fill>
    <fill>
      <patternFill patternType="solid">
        <fgColor rgb="FFB7DEE8"/>
        <bgColor indexed="64"/>
      </patternFill>
    </fill>
    <fill>
      <patternFill patternType="solid">
        <fgColor indexed="31"/>
        <bgColor indexed="64"/>
      </patternFill>
    </fill>
    <fill>
      <patternFill patternType="solid">
        <fgColor rgb="FF7CC5D6"/>
        <bgColor indexed="64"/>
      </patternFill>
    </fill>
    <fill>
      <patternFill patternType="solid">
        <fgColor rgb="FF66CCFF"/>
        <bgColor indexed="64"/>
      </patternFill>
    </fill>
    <fill>
      <patternFill patternType="solid">
        <fgColor indexed="41"/>
        <bgColor indexed="64"/>
      </patternFill>
    </fill>
    <fill>
      <patternFill patternType="solid">
        <fgColor rgb="FFCCCCFF"/>
        <bgColor indexed="64"/>
      </patternFill>
    </fill>
    <fill>
      <patternFill patternType="solid">
        <fgColor rgb="FF59B5CB"/>
        <bgColor indexed="64"/>
      </patternFill>
    </fill>
    <fill>
      <patternFill patternType="solid">
        <fgColor rgb="FF7FC4D7"/>
        <bgColor indexed="64"/>
      </patternFill>
    </fill>
  </fills>
  <borders count="7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20">
    <xf numFmtId="0" fontId="0" fillId="0" borderId="0"/>
    <xf numFmtId="0" fontId="5" fillId="0" borderId="0"/>
    <xf numFmtId="0" fontId="6" fillId="0" borderId="0"/>
    <xf numFmtId="0" fontId="1" fillId="0" borderId="0"/>
    <xf numFmtId="0" fontId="10" fillId="0" borderId="0"/>
    <xf numFmtId="0" fontId="1" fillId="0" borderId="0"/>
    <xf numFmtId="0" fontId="6" fillId="0" borderId="0"/>
    <xf numFmtId="0" fontId="6" fillId="0" borderId="0"/>
    <xf numFmtId="0" fontId="27" fillId="0" borderId="0"/>
    <xf numFmtId="43" fontId="1" fillId="0" borderId="0" applyFont="0" applyFill="0" applyBorder="0" applyAlignment="0" applyProtection="0"/>
    <xf numFmtId="0" fontId="36" fillId="0" borderId="0"/>
    <xf numFmtId="166"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cellStyleXfs>
  <cellXfs count="1664">
    <xf numFmtId="0" fontId="0" fillId="0" borderId="0" xfId="0"/>
    <xf numFmtId="164" fontId="2" fillId="0" borderId="0" xfId="0" applyNumberFormat="1" applyFont="1"/>
    <xf numFmtId="164" fontId="2" fillId="0" borderId="0" xfId="0" applyNumberFormat="1" applyFont="1" applyFill="1"/>
    <xf numFmtId="165" fontId="9" fillId="0" borderId="2" xfId="3" applyNumberFormat="1" applyFont="1" applyBorder="1" applyAlignment="1">
      <alignment horizontal="center" vertical="center" wrapText="1"/>
    </xf>
    <xf numFmtId="164" fontId="8" fillId="4" borderId="2" xfId="3"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164" fontId="9" fillId="0" borderId="2" xfId="3" applyNumberFormat="1" applyFont="1" applyBorder="1" applyAlignment="1">
      <alignment horizontal="center" vertical="center" wrapText="1"/>
    </xf>
    <xf numFmtId="0" fontId="9" fillId="0" borderId="2" xfId="3" quotePrefix="1" applyFont="1" applyFill="1" applyBorder="1" applyAlignment="1">
      <alignment vertical="center" wrapText="1"/>
    </xf>
    <xf numFmtId="164" fontId="9" fillId="0" borderId="0" xfId="0" applyNumberFormat="1" applyFont="1"/>
    <xf numFmtId="164" fontId="9" fillId="0" borderId="0" xfId="0" applyNumberFormat="1" applyFont="1" applyAlignment="1">
      <alignment horizontal="center" vertical="center"/>
    </xf>
    <xf numFmtId="3" fontId="9" fillId="0" borderId="2" xfId="0" applyNumberFormat="1" applyFont="1" applyFill="1" applyBorder="1" applyAlignment="1">
      <alignment horizontal="center" vertical="center" wrapText="1"/>
    </xf>
    <xf numFmtId="164" fontId="9" fillId="0" borderId="2" xfId="0" applyNumberFormat="1" applyFont="1" applyFill="1" applyBorder="1" applyAlignment="1">
      <alignment horizontal="center" vertical="center" wrapText="1"/>
    </xf>
    <xf numFmtId="164" fontId="9" fillId="0" borderId="0" xfId="0" applyNumberFormat="1" applyFont="1" applyAlignment="1">
      <alignment vertical="center" wrapText="1"/>
    </xf>
    <xf numFmtId="164" fontId="8" fillId="5" borderId="2" xfId="0" applyNumberFormat="1" applyFont="1" applyFill="1" applyBorder="1" applyAlignment="1">
      <alignment horizontal="center" vertical="center" wrapText="1"/>
    </xf>
    <xf numFmtId="0" fontId="14" fillId="0" borderId="0" xfId="3" applyFont="1"/>
    <xf numFmtId="164" fontId="9" fillId="0" borderId="2" xfId="3" applyNumberFormat="1" applyFont="1" applyFill="1" applyBorder="1" applyAlignment="1">
      <alignment horizontal="center" vertical="center" wrapText="1"/>
    </xf>
    <xf numFmtId="164" fontId="16" fillId="4" borderId="2" xfId="3" applyNumberFormat="1" applyFont="1" applyFill="1" applyBorder="1" applyAlignment="1">
      <alignment horizontal="center" vertical="center" wrapText="1"/>
    </xf>
    <xf numFmtId="164" fontId="15" fillId="0" borderId="2" xfId="3" applyNumberFormat="1" applyFont="1" applyFill="1" applyBorder="1" applyAlignment="1">
      <alignment horizontal="center" vertical="center" wrapText="1"/>
    </xf>
    <xf numFmtId="164" fontId="17" fillId="4" borderId="2" xfId="3" applyNumberFormat="1" applyFont="1" applyFill="1" applyBorder="1" applyAlignment="1">
      <alignment horizontal="center" vertical="center" wrapText="1"/>
    </xf>
    <xf numFmtId="164" fontId="7" fillId="0" borderId="2" xfId="3" applyNumberFormat="1" applyFont="1" applyFill="1" applyBorder="1" applyAlignment="1">
      <alignment horizontal="center" vertical="center" wrapText="1"/>
    </xf>
    <xf numFmtId="165" fontId="8" fillId="7" borderId="2" xfId="3" applyNumberFormat="1" applyFont="1" applyFill="1" applyBorder="1" applyAlignment="1">
      <alignment horizontal="left" vertical="center" wrapText="1"/>
    </xf>
    <xf numFmtId="0" fontId="11" fillId="0" borderId="0" xfId="2" applyFont="1"/>
    <xf numFmtId="0" fontId="11" fillId="0" borderId="0" xfId="2" applyFont="1" applyAlignment="1">
      <alignment horizontal="center" vertical="center"/>
    </xf>
    <xf numFmtId="0" fontId="14" fillId="0" borderId="0" xfId="2" applyFont="1" applyAlignment="1">
      <alignment horizontal="center" vertical="center"/>
    </xf>
    <xf numFmtId="165" fontId="11" fillId="0" borderId="0" xfId="2" applyNumberFormat="1" applyFont="1" applyAlignment="1">
      <alignment horizontal="center" vertical="center"/>
    </xf>
    <xf numFmtId="165" fontId="18" fillId="3" borderId="0" xfId="2" applyNumberFormat="1" applyFont="1" applyFill="1" applyAlignment="1">
      <alignment horizontal="center" vertical="center"/>
    </xf>
    <xf numFmtId="165" fontId="13" fillId="0" borderId="0" xfId="2" applyNumberFormat="1" applyFont="1" applyAlignment="1">
      <alignment horizontal="right" vertical="center"/>
    </xf>
    <xf numFmtId="0" fontId="11" fillId="0" borderId="0" xfId="2" applyFont="1" applyBorder="1" applyAlignment="1">
      <alignment horizontal="center" vertical="top"/>
    </xf>
    <xf numFmtId="0" fontId="20" fillId="0" borderId="0" xfId="2" applyFont="1"/>
    <xf numFmtId="0" fontId="20" fillId="0" borderId="0" xfId="2" applyFont="1" applyAlignment="1">
      <alignment horizontal="center" vertical="center"/>
    </xf>
    <xf numFmtId="0" fontId="21" fillId="0" borderId="0" xfId="2" applyFont="1" applyAlignment="1">
      <alignment horizontal="center" vertical="center"/>
    </xf>
    <xf numFmtId="0" fontId="20" fillId="0" borderId="0" xfId="2" applyFont="1" applyAlignment="1">
      <alignment horizontal="left" wrapText="1"/>
    </xf>
    <xf numFmtId="165" fontId="20" fillId="3" borderId="0" xfId="2" applyNumberFormat="1" applyFont="1" applyFill="1" applyAlignment="1">
      <alignment horizontal="center" vertical="center"/>
    </xf>
    <xf numFmtId="165" fontId="22" fillId="3" borderId="0" xfId="2" applyNumberFormat="1" applyFont="1" applyFill="1" applyAlignment="1">
      <alignment horizontal="center" vertical="center"/>
    </xf>
    <xf numFmtId="165" fontId="20" fillId="0" borderId="0" xfId="2" applyNumberFormat="1" applyFont="1" applyAlignment="1">
      <alignment horizontal="center" vertical="center"/>
    </xf>
    <xf numFmtId="165" fontId="21" fillId="0" borderId="0" xfId="2" applyNumberFormat="1" applyFont="1" applyAlignment="1">
      <alignment horizontal="center" vertical="center"/>
    </xf>
    <xf numFmtId="164" fontId="3" fillId="7" borderId="2" xfId="2" applyNumberFormat="1" applyFont="1" applyFill="1" applyBorder="1" applyAlignment="1">
      <alignment horizontal="center" vertical="center" wrapText="1"/>
    </xf>
    <xf numFmtId="0" fontId="9" fillId="0" borderId="0" xfId="2" applyFont="1"/>
    <xf numFmtId="0" fontId="9" fillId="0" borderId="0" xfId="2" applyNumberFormat="1" applyFont="1"/>
    <xf numFmtId="0" fontId="9" fillId="0" borderId="2" xfId="2" applyNumberFormat="1" applyFont="1" applyFill="1" applyBorder="1" applyAlignment="1">
      <alignment horizontal="center" vertical="center" wrapText="1"/>
    </xf>
    <xf numFmtId="0" fontId="4" fillId="0" borderId="0" xfId="2" applyFont="1" applyFill="1"/>
    <xf numFmtId="0" fontId="2" fillId="0" borderId="0" xfId="2" applyFont="1"/>
    <xf numFmtId="164" fontId="9" fillId="7" borderId="2" xfId="4" applyNumberFormat="1" applyFont="1" applyFill="1" applyBorder="1" applyAlignment="1">
      <alignment horizontal="center" vertical="center" wrapText="1"/>
    </xf>
    <xf numFmtId="165" fontId="21" fillId="7" borderId="2" xfId="2" applyNumberFormat="1" applyFont="1" applyFill="1" applyBorder="1" applyAlignment="1">
      <alignment horizontal="center" vertical="center"/>
    </xf>
    <xf numFmtId="0" fontId="11" fillId="0" borderId="0" xfId="5" applyFont="1" applyAlignment="1">
      <alignment horizontal="center" vertical="center"/>
    </xf>
    <xf numFmtId="0" fontId="11" fillId="0" borderId="0" xfId="5" applyFont="1"/>
    <xf numFmtId="0" fontId="14" fillId="0" borderId="0" xfId="5" applyFont="1" applyAlignment="1">
      <alignment horizontal="center" vertical="center"/>
    </xf>
    <xf numFmtId="165" fontId="11" fillId="0" borderId="0" xfId="5" applyNumberFormat="1" applyFont="1" applyAlignment="1">
      <alignment horizontal="center" vertical="center"/>
    </xf>
    <xf numFmtId="165" fontId="18" fillId="3" borderId="0" xfId="5" applyNumberFormat="1" applyFont="1" applyFill="1" applyAlignment="1">
      <alignment horizontal="center" vertical="center"/>
    </xf>
    <xf numFmtId="165" fontId="9" fillId="0" borderId="0" xfId="5" applyNumberFormat="1" applyFont="1" applyAlignment="1">
      <alignment horizontal="center" vertical="center"/>
    </xf>
    <xf numFmtId="0" fontId="11" fillId="0" borderId="0" xfId="5" applyFont="1" applyBorder="1" applyAlignment="1">
      <alignment horizontal="center" vertical="top"/>
    </xf>
    <xf numFmtId="165" fontId="9" fillId="0" borderId="2" xfId="5" applyNumberFormat="1" applyFont="1" applyBorder="1" applyAlignment="1">
      <alignment horizontal="center" vertical="center" shrinkToFit="1"/>
    </xf>
    <xf numFmtId="165" fontId="9" fillId="0" borderId="2" xfId="4" applyNumberFormat="1" applyFont="1" applyFill="1" applyBorder="1" applyAlignment="1">
      <alignment horizontal="center" vertical="center" wrapText="1" shrinkToFit="1"/>
    </xf>
    <xf numFmtId="0" fontId="11" fillId="0" borderId="0" xfId="5" applyNumberFormat="1" applyFont="1"/>
    <xf numFmtId="164" fontId="3" fillId="4" borderId="2" xfId="5" applyNumberFormat="1" applyFont="1" applyFill="1" applyBorder="1" applyAlignment="1">
      <alignment horizontal="center" vertical="center" wrapText="1"/>
    </xf>
    <xf numFmtId="0" fontId="20" fillId="0" borderId="0" xfId="5" applyFont="1"/>
    <xf numFmtId="164" fontId="2" fillId="6" borderId="2" xfId="5" applyNumberFormat="1" applyFont="1" applyFill="1" applyBorder="1" applyAlignment="1">
      <alignment horizontal="center" vertical="center" wrapText="1"/>
    </xf>
    <xf numFmtId="165" fontId="9" fillId="6" borderId="2" xfId="5" applyNumberFormat="1" applyFont="1" applyFill="1" applyBorder="1" applyAlignment="1">
      <alignment horizontal="center" vertical="center" wrapText="1"/>
    </xf>
    <xf numFmtId="165" fontId="9" fillId="8" borderId="2" xfId="5" applyNumberFormat="1" applyFont="1" applyFill="1" applyBorder="1" applyAlignment="1">
      <alignment horizontal="center" vertical="center" wrapText="1"/>
    </xf>
    <xf numFmtId="165" fontId="9" fillId="7" borderId="2" xfId="5" applyNumberFormat="1" applyFont="1" applyFill="1" applyBorder="1" applyAlignment="1">
      <alignment horizontal="center" vertical="center" wrapText="1"/>
    </xf>
    <xf numFmtId="164" fontId="2" fillId="6" borderId="2" xfId="5" applyNumberFormat="1" applyFont="1" applyFill="1" applyBorder="1" applyAlignment="1">
      <alignment horizontal="center" vertical="center" shrinkToFit="1"/>
    </xf>
    <xf numFmtId="164" fontId="23" fillId="0" borderId="2" xfId="5" applyNumberFormat="1" applyFont="1" applyFill="1" applyBorder="1" applyAlignment="1">
      <alignment horizontal="center" vertical="center" wrapText="1"/>
    </xf>
    <xf numFmtId="0" fontId="2" fillId="0" borderId="2" xfId="5" applyFont="1" applyFill="1" applyBorder="1" applyAlignment="1">
      <alignment horizontal="center" vertical="center" wrapText="1"/>
    </xf>
    <xf numFmtId="164" fontId="25" fillId="3" borderId="2" xfId="5" applyNumberFormat="1" applyFont="1" applyFill="1" applyBorder="1" applyAlignment="1">
      <alignment horizontal="center" vertical="center" wrapText="1"/>
    </xf>
    <xf numFmtId="0" fontId="26" fillId="0" borderId="0" xfId="5" applyFont="1" applyAlignment="1">
      <alignment horizontal="justify" vertical="center"/>
    </xf>
    <xf numFmtId="164" fontId="2" fillId="0" borderId="2" xfId="5" applyNumberFormat="1" applyFont="1" applyFill="1" applyBorder="1" applyAlignment="1">
      <alignment horizontal="center" vertical="center" wrapText="1"/>
    </xf>
    <xf numFmtId="164" fontId="2" fillId="0" borderId="2" xfId="5" applyNumberFormat="1" applyFont="1" applyFill="1" applyBorder="1" applyAlignment="1">
      <alignment horizontal="center" vertical="center" shrinkToFit="1"/>
    </xf>
    <xf numFmtId="0" fontId="20" fillId="0" borderId="0" xfId="5" applyFont="1" applyAlignment="1">
      <alignment horizontal="center" vertical="center"/>
    </xf>
    <xf numFmtId="0" fontId="21" fillId="0" borderId="0" xfId="5" applyFont="1" applyAlignment="1">
      <alignment horizontal="center" vertical="center"/>
    </xf>
    <xf numFmtId="165" fontId="20" fillId="3" borderId="0" xfId="5" applyNumberFormat="1" applyFont="1" applyFill="1" applyBorder="1" applyAlignment="1">
      <alignment horizontal="center" vertical="center"/>
    </xf>
    <xf numFmtId="165" fontId="22" fillId="3" borderId="0" xfId="5" applyNumberFormat="1" applyFont="1" applyFill="1" applyBorder="1" applyAlignment="1">
      <alignment horizontal="center" vertical="center"/>
    </xf>
    <xf numFmtId="165" fontId="20" fillId="0" borderId="0" xfId="5" applyNumberFormat="1" applyFont="1" applyAlignment="1">
      <alignment horizontal="center" vertical="center"/>
    </xf>
    <xf numFmtId="165" fontId="20" fillId="3" borderId="0" xfId="5" applyNumberFormat="1" applyFont="1" applyFill="1" applyAlignment="1">
      <alignment horizontal="center" vertical="center"/>
    </xf>
    <xf numFmtId="165" fontId="22" fillId="3" borderId="0" xfId="5" applyNumberFormat="1" applyFont="1" applyFill="1" applyAlignment="1">
      <alignment horizontal="center" vertical="center"/>
    </xf>
    <xf numFmtId="164" fontId="8" fillId="5" borderId="2" xfId="4" applyNumberFormat="1" applyFont="1" applyFill="1" applyBorder="1" applyAlignment="1">
      <alignment horizontal="center" vertical="center" wrapText="1"/>
    </xf>
    <xf numFmtId="0" fontId="9" fillId="0" borderId="0" xfId="0" applyFont="1"/>
    <xf numFmtId="164" fontId="8" fillId="7" borderId="2" xfId="4" applyNumberFormat="1" applyFont="1" applyFill="1" applyBorder="1" applyAlignment="1">
      <alignment horizontal="center" vertical="center" wrapText="1"/>
    </xf>
    <xf numFmtId="0" fontId="9" fillId="0" borderId="0" xfId="0" applyFont="1" applyFill="1"/>
    <xf numFmtId="164" fontId="8" fillId="0" borderId="2" xfId="0" applyNumberFormat="1" applyFont="1" applyFill="1" applyBorder="1" applyAlignment="1">
      <alignment horizontal="center" vertical="center" wrapText="1"/>
    </xf>
    <xf numFmtId="164" fontId="8" fillId="7" borderId="2" xfId="0" applyNumberFormat="1" applyFont="1" applyFill="1" applyBorder="1" applyAlignment="1">
      <alignment horizontal="center" vertical="center" wrapText="1"/>
    </xf>
    <xf numFmtId="164" fontId="8" fillId="6" borderId="2" xfId="4" applyNumberFormat="1" applyFont="1" applyFill="1" applyBorder="1" applyAlignment="1">
      <alignment horizontal="center" vertical="center" wrapText="1"/>
    </xf>
    <xf numFmtId="164" fontId="8" fillId="6" borderId="2" xfId="0" applyNumberFormat="1" applyFont="1" applyFill="1" applyBorder="1" applyAlignment="1">
      <alignment horizontal="center" vertical="center" wrapText="1"/>
    </xf>
    <xf numFmtId="0" fontId="11" fillId="0" borderId="0" xfId="8" applyFont="1"/>
    <xf numFmtId="0" fontId="11" fillId="0" borderId="0" xfId="8" applyFont="1" applyFill="1"/>
    <xf numFmtId="0" fontId="13" fillId="0" borderId="0" xfId="8" applyFont="1" applyAlignment="1">
      <alignment horizontal="right"/>
    </xf>
    <xf numFmtId="0" fontId="28" fillId="0" borderId="1" xfId="8" applyFont="1" applyFill="1" applyBorder="1" applyAlignment="1">
      <alignment horizontal="center"/>
    </xf>
    <xf numFmtId="0" fontId="29" fillId="0" borderId="2" xfId="8" applyFont="1" applyFill="1" applyBorder="1" applyAlignment="1">
      <alignment horizontal="center" vertical="center" wrapText="1"/>
    </xf>
    <xf numFmtId="164" fontId="9" fillId="0" borderId="2" xfId="8" applyNumberFormat="1" applyFont="1" applyFill="1" applyBorder="1" applyAlignment="1">
      <alignment horizontal="center" vertical="center" wrapText="1"/>
    </xf>
    <xf numFmtId="165" fontId="11" fillId="0" borderId="0" xfId="8" applyNumberFormat="1" applyFont="1"/>
    <xf numFmtId="164" fontId="8" fillId="0" borderId="2" xfId="8" applyNumberFormat="1" applyFont="1" applyFill="1" applyBorder="1" applyAlignment="1">
      <alignment horizontal="center" vertical="center" wrapText="1"/>
    </xf>
    <xf numFmtId="0" fontId="11" fillId="7" borderId="2" xfId="8" applyFont="1" applyFill="1" applyBorder="1"/>
    <xf numFmtId="0" fontId="11" fillId="0" borderId="3" xfId="8" applyFont="1" applyBorder="1"/>
    <xf numFmtId="0" fontId="29" fillId="0" borderId="3" xfId="8" applyFont="1" applyFill="1" applyBorder="1"/>
    <xf numFmtId="0" fontId="29" fillId="0" borderId="3" xfId="8" applyFont="1" applyBorder="1"/>
    <xf numFmtId="0" fontId="29" fillId="0" borderId="0" xfId="8" applyFont="1" applyFill="1"/>
    <xf numFmtId="0" fontId="29" fillId="0" borderId="0" xfId="8" applyFont="1"/>
    <xf numFmtId="165" fontId="9" fillId="4" borderId="2" xfId="3" applyNumberFormat="1" applyFont="1" applyFill="1" applyBorder="1" applyAlignment="1">
      <alignment horizontal="left" vertical="center"/>
    </xf>
    <xf numFmtId="164" fontId="8" fillId="4" borderId="2" xfId="5" applyNumberFormat="1" applyFont="1" applyFill="1" applyBorder="1" applyAlignment="1">
      <alignment horizontal="center" vertical="center" wrapText="1"/>
    </xf>
    <xf numFmtId="164" fontId="8" fillId="4" borderId="2" xfId="5" applyNumberFormat="1" applyFont="1" applyFill="1" applyBorder="1" applyAlignment="1">
      <alignment horizontal="center" vertical="center" shrinkToFit="1"/>
    </xf>
    <xf numFmtId="164" fontId="25" fillId="3" borderId="2" xfId="5" applyNumberFormat="1" applyFont="1" applyFill="1" applyBorder="1" applyAlignment="1">
      <alignment horizontal="center" vertical="center" shrinkToFit="1"/>
    </xf>
    <xf numFmtId="164" fontId="8" fillId="5" borderId="2" xfId="5" applyNumberFormat="1" applyFont="1" applyFill="1" applyBorder="1" applyAlignment="1">
      <alignment horizontal="center" vertical="center" wrapText="1"/>
    </xf>
    <xf numFmtId="164" fontId="25" fillId="0" borderId="2" xfId="5" applyNumberFormat="1" applyFont="1" applyBorder="1" applyAlignment="1">
      <alignment horizontal="center" vertical="center" wrapText="1"/>
    </xf>
    <xf numFmtId="0" fontId="32" fillId="0" borderId="0" xfId="5" applyFont="1"/>
    <xf numFmtId="0" fontId="32" fillId="3" borderId="0" xfId="5" applyFont="1" applyFill="1"/>
    <xf numFmtId="0" fontId="11" fillId="0" borderId="0" xfId="8" applyFont="1" applyBorder="1" applyAlignment="1">
      <alignment horizontal="center" vertical="top"/>
    </xf>
    <xf numFmtId="0" fontId="9" fillId="3" borderId="2" xfId="0" applyFont="1" applyFill="1" applyBorder="1" applyAlignment="1">
      <alignment horizontal="center" vertical="center" wrapText="1"/>
    </xf>
    <xf numFmtId="0" fontId="9" fillId="0" borderId="0" xfId="0" applyNumberFormat="1" applyFont="1"/>
    <xf numFmtId="0" fontId="2" fillId="0" borderId="0" xfId="0" applyFont="1"/>
    <xf numFmtId="164" fontId="3" fillId="7" borderId="2" xfId="0" applyNumberFormat="1" applyFont="1" applyFill="1" applyBorder="1" applyAlignment="1">
      <alignment horizontal="center" vertical="center" wrapText="1"/>
    </xf>
    <xf numFmtId="0" fontId="4" fillId="0" borderId="0" xfId="0" applyFont="1" applyFill="1"/>
    <xf numFmtId="164" fontId="3" fillId="4" borderId="2" xfId="0" applyNumberFormat="1" applyFont="1" applyFill="1" applyBorder="1" applyAlignment="1">
      <alignment horizontal="center" vertical="center" wrapText="1"/>
    </xf>
    <xf numFmtId="0" fontId="11" fillId="0" borderId="0" xfId="8" applyFont="1" applyAlignment="1">
      <alignment horizontal="center" vertical="center"/>
    </xf>
    <xf numFmtId="0" fontId="14" fillId="0" borderId="0" xfId="8" applyFont="1" applyAlignment="1">
      <alignment horizontal="center" vertical="center"/>
    </xf>
    <xf numFmtId="165" fontId="11" fillId="0" borderId="0" xfId="8" applyNumberFormat="1" applyFont="1" applyAlignment="1">
      <alignment horizontal="center" vertical="center"/>
    </xf>
    <xf numFmtId="165" fontId="18" fillId="3" borderId="0" xfId="8" applyNumberFormat="1" applyFont="1" applyFill="1" applyAlignment="1">
      <alignment horizontal="center" vertical="center"/>
    </xf>
    <xf numFmtId="165" fontId="13" fillId="0" borderId="0" xfId="8" applyNumberFormat="1" applyFont="1" applyAlignment="1">
      <alignment horizontal="right" vertical="center"/>
    </xf>
    <xf numFmtId="0" fontId="11" fillId="0" borderId="0" xfId="8" applyNumberFormat="1" applyFont="1"/>
    <xf numFmtId="164" fontId="3" fillId="7" borderId="2" xfId="8" applyNumberFormat="1" applyFont="1" applyFill="1" applyBorder="1" applyAlignment="1">
      <alignment horizontal="center" vertical="center" wrapText="1"/>
    </xf>
    <xf numFmtId="0" fontId="20" fillId="0" borderId="0" xfId="8" applyFont="1"/>
    <xf numFmtId="0" fontId="34" fillId="0" borderId="0" xfId="8" applyFont="1" applyFill="1"/>
    <xf numFmtId="164" fontId="19" fillId="4" borderId="2" xfId="8" applyNumberFormat="1" applyFont="1" applyFill="1" applyBorder="1" applyAlignment="1">
      <alignment horizontal="center" vertical="center" wrapText="1"/>
    </xf>
    <xf numFmtId="165" fontId="20" fillId="3" borderId="0" xfId="8" applyNumberFormat="1" applyFont="1" applyFill="1" applyAlignment="1">
      <alignment horizontal="center" vertical="center"/>
    </xf>
    <xf numFmtId="0" fontId="20" fillId="0" borderId="0" xfId="8" applyFont="1" applyAlignment="1">
      <alignment horizontal="center" vertical="center"/>
    </xf>
    <xf numFmtId="0" fontId="21" fillId="0" borderId="0" xfId="8" applyFont="1" applyAlignment="1">
      <alignment horizontal="center" vertical="center"/>
    </xf>
    <xf numFmtId="0" fontId="20" fillId="0" borderId="0" xfId="8" applyFont="1" applyAlignment="1">
      <alignment horizontal="left" wrapText="1"/>
    </xf>
    <xf numFmtId="165" fontId="22" fillId="3" borderId="0" xfId="8" applyNumberFormat="1" applyFont="1" applyFill="1" applyAlignment="1">
      <alignment horizontal="center" vertical="center"/>
    </xf>
    <xf numFmtId="165" fontId="20" fillId="0" borderId="0" xfId="8" applyNumberFormat="1" applyFont="1" applyAlignment="1">
      <alignment horizontal="center" vertical="center"/>
    </xf>
    <xf numFmtId="165" fontId="21" fillId="0" borderId="0" xfId="8" applyNumberFormat="1" applyFont="1" applyAlignment="1">
      <alignment horizontal="center" vertical="center"/>
    </xf>
    <xf numFmtId="0" fontId="2" fillId="0" borderId="2" xfId="8" applyFont="1" applyBorder="1" applyAlignment="1">
      <alignment horizontal="left" vertical="center" wrapText="1"/>
    </xf>
    <xf numFmtId="165" fontId="35" fillId="4" borderId="2" xfId="8" applyNumberFormat="1" applyFont="1" applyFill="1" applyBorder="1" applyAlignment="1">
      <alignment horizontal="center" vertical="center" wrapText="1"/>
    </xf>
    <xf numFmtId="3" fontId="14" fillId="0" borderId="0" xfId="8" applyNumberFormat="1" applyFont="1"/>
    <xf numFmtId="3" fontId="14" fillId="0" borderId="1" xfId="8" applyNumberFormat="1" applyFont="1" applyBorder="1" applyAlignment="1">
      <alignment horizontal="center"/>
    </xf>
    <xf numFmtId="3" fontId="9" fillId="0" borderId="2" xfId="8" applyNumberFormat="1" applyFont="1" applyBorder="1" applyAlignment="1">
      <alignment vertical="center" wrapText="1"/>
    </xf>
    <xf numFmtId="3" fontId="9" fillId="0" borderId="2" xfId="8" applyNumberFormat="1" applyFont="1" applyFill="1" applyBorder="1" applyAlignment="1">
      <alignment horizontal="right" vertical="center" wrapText="1"/>
    </xf>
    <xf numFmtId="3" fontId="8" fillId="7" borderId="2" xfId="8" applyNumberFormat="1" applyFont="1" applyFill="1" applyBorder="1" applyAlignment="1">
      <alignment horizontal="center" vertical="center" wrapText="1"/>
    </xf>
    <xf numFmtId="3" fontId="9" fillId="0" borderId="2" xfId="8" applyNumberFormat="1" applyFont="1" applyBorder="1" applyAlignment="1">
      <alignment horizontal="center" vertical="center" wrapText="1"/>
    </xf>
    <xf numFmtId="3" fontId="14" fillId="0" borderId="0" xfId="8" applyNumberFormat="1" applyFont="1" applyFill="1"/>
    <xf numFmtId="3" fontId="9" fillId="0" borderId="2" xfId="8" applyNumberFormat="1" applyFont="1" applyFill="1" applyBorder="1" applyAlignment="1">
      <alignment horizontal="left" vertical="center" wrapText="1"/>
    </xf>
    <xf numFmtId="3" fontId="9" fillId="7" borderId="2" xfId="8" applyNumberFormat="1" applyFont="1" applyFill="1" applyBorder="1" applyAlignment="1">
      <alignment horizontal="left" vertical="center" wrapText="1"/>
    </xf>
    <xf numFmtId="164" fontId="8" fillId="6" borderId="2" xfId="8" applyNumberFormat="1" applyFont="1" applyFill="1" applyBorder="1" applyAlignment="1">
      <alignment horizontal="center" vertical="center" wrapText="1"/>
    </xf>
    <xf numFmtId="3" fontId="9" fillId="6" borderId="2" xfId="8" applyNumberFormat="1" applyFont="1" applyFill="1" applyBorder="1" applyAlignment="1">
      <alignment horizontal="left" vertical="center" wrapText="1"/>
    </xf>
    <xf numFmtId="1" fontId="9" fillId="0" borderId="2" xfId="4" applyNumberFormat="1" applyFont="1" applyBorder="1" applyAlignment="1">
      <alignment horizontal="center" vertical="center" wrapText="1"/>
    </xf>
    <xf numFmtId="0" fontId="9" fillId="0" borderId="2" xfId="8" applyFont="1" applyFill="1" applyBorder="1" applyAlignment="1">
      <alignment vertical="center" wrapText="1"/>
    </xf>
    <xf numFmtId="3" fontId="8" fillId="7" borderId="2" xfId="4" applyNumberFormat="1" applyFont="1" applyFill="1" applyBorder="1" applyAlignment="1">
      <alignment vertical="center" wrapText="1"/>
    </xf>
    <xf numFmtId="3" fontId="9" fillId="0" borderId="2" xfId="8" applyNumberFormat="1" applyFont="1" applyBorder="1" applyAlignment="1">
      <alignment horizontal="left" vertical="center" wrapText="1"/>
    </xf>
    <xf numFmtId="0" fontId="2" fillId="0" borderId="2" xfId="8" applyFont="1" applyBorder="1" applyAlignment="1">
      <alignment horizontal="left" vertical="center"/>
    </xf>
    <xf numFmtId="164" fontId="13" fillId="4" borderId="2" xfId="4" applyNumberFormat="1" applyFont="1" applyFill="1" applyBorder="1" applyAlignment="1">
      <alignment horizontal="center" vertical="center" wrapText="1"/>
    </xf>
    <xf numFmtId="3" fontId="11" fillId="4" borderId="2" xfId="8" applyNumberFormat="1" applyFont="1" applyFill="1" applyBorder="1" applyAlignment="1">
      <alignment horizontal="left" vertical="center" wrapText="1"/>
    </xf>
    <xf numFmtId="3" fontId="14" fillId="0" borderId="0" xfId="8" applyNumberFormat="1" applyFont="1" applyFill="1" applyBorder="1"/>
    <xf numFmtId="3" fontId="30" fillId="0" borderId="0" xfId="8" applyNumberFormat="1" applyFont="1" applyFill="1" applyBorder="1" applyAlignment="1">
      <alignment horizontal="center"/>
    </xf>
    <xf numFmtId="164" fontId="19" fillId="4" borderId="2" xfId="5" applyNumberFormat="1" applyFont="1" applyFill="1" applyBorder="1" applyAlignment="1">
      <alignment horizontal="center" vertical="center" wrapText="1" shrinkToFit="1"/>
    </xf>
    <xf numFmtId="165" fontId="13" fillId="4" borderId="2" xfId="5" applyNumberFormat="1" applyFont="1" applyFill="1" applyBorder="1" applyAlignment="1">
      <alignment horizontal="center" vertical="center" wrapText="1" shrinkToFit="1"/>
    </xf>
    <xf numFmtId="164" fontId="13" fillId="4" borderId="2" xfId="0" applyNumberFormat="1" applyFont="1" applyFill="1" applyBorder="1" applyAlignment="1">
      <alignment horizontal="center" vertical="center" wrapText="1"/>
    </xf>
    <xf numFmtId="0" fontId="11" fillId="7" borderId="2" xfId="8" applyFont="1" applyFill="1" applyBorder="1" applyAlignment="1">
      <alignment horizontal="left"/>
    </xf>
    <xf numFmtId="0" fontId="29" fillId="7" borderId="2" xfId="8" applyFont="1" applyFill="1" applyBorder="1"/>
    <xf numFmtId="164" fontId="29" fillId="7" borderId="2" xfId="8" applyNumberFormat="1" applyFont="1" applyFill="1" applyBorder="1"/>
    <xf numFmtId="164" fontId="11" fillId="7" borderId="2" xfId="8" applyNumberFormat="1" applyFont="1" applyFill="1" applyBorder="1"/>
    <xf numFmtId="164" fontId="2" fillId="7" borderId="2" xfId="8" applyNumberFormat="1" applyFont="1" applyFill="1" applyBorder="1" applyAlignment="1">
      <alignment horizontal="center" vertical="center" wrapText="1"/>
    </xf>
    <xf numFmtId="165" fontId="2" fillId="7" borderId="2" xfId="8" applyNumberFormat="1" applyFont="1" applyFill="1" applyBorder="1" applyAlignment="1">
      <alignment horizontal="center" vertical="center" wrapText="1"/>
    </xf>
    <xf numFmtId="164" fontId="9" fillId="7" borderId="2" xfId="0" applyNumberFormat="1" applyFont="1" applyFill="1" applyBorder="1" applyAlignment="1">
      <alignment vertical="center" wrapText="1"/>
    </xf>
    <xf numFmtId="165" fontId="9" fillId="7" borderId="2" xfId="3" applyNumberFormat="1" applyFont="1" applyFill="1" applyBorder="1" applyAlignment="1">
      <alignment horizontal="left" vertical="center"/>
    </xf>
    <xf numFmtId="164" fontId="16" fillId="7" borderId="2" xfId="4" applyNumberFormat="1" applyFont="1" applyFill="1" applyBorder="1" applyAlignment="1">
      <alignment horizontal="center" vertical="center" wrapText="1"/>
    </xf>
    <xf numFmtId="165" fontId="8" fillId="7" borderId="2" xfId="5" applyNumberFormat="1" applyFont="1" applyFill="1" applyBorder="1" applyAlignment="1">
      <alignment horizontal="center" vertical="center" wrapText="1" shrinkToFit="1"/>
    </xf>
    <xf numFmtId="165" fontId="9" fillId="7" borderId="2" xfId="5" applyNumberFormat="1" applyFont="1" applyFill="1" applyBorder="1" applyAlignment="1">
      <alignment horizontal="center" vertical="center" wrapText="1" shrinkToFit="1"/>
    </xf>
    <xf numFmtId="164" fontId="2" fillId="7" borderId="2" xfId="0" applyNumberFormat="1" applyFont="1" applyFill="1" applyBorder="1" applyAlignment="1">
      <alignment horizontal="center" vertical="center" wrapText="1"/>
    </xf>
    <xf numFmtId="164" fontId="24" fillId="7" borderId="2" xfId="0" applyNumberFormat="1" applyFont="1" applyFill="1" applyBorder="1" applyAlignment="1">
      <alignment horizontal="center" vertical="center" wrapText="1"/>
    </xf>
    <xf numFmtId="3" fontId="9" fillId="4" borderId="2" xfId="0" applyNumberFormat="1" applyFont="1" applyFill="1" applyBorder="1" applyAlignment="1">
      <alignment horizontal="center" vertical="center" wrapText="1"/>
    </xf>
    <xf numFmtId="49" fontId="9" fillId="10" borderId="2" xfId="8" applyNumberFormat="1" applyFont="1" applyFill="1" applyBorder="1" applyAlignment="1">
      <alignment vertical="center" wrapText="1"/>
    </xf>
    <xf numFmtId="0" fontId="9" fillId="10" borderId="2" xfId="8" applyFont="1" applyFill="1" applyBorder="1" applyAlignment="1">
      <alignment vertical="center" wrapText="1"/>
    </xf>
    <xf numFmtId="165" fontId="2" fillId="10" borderId="2" xfId="8" applyNumberFormat="1" applyFont="1" applyFill="1" applyBorder="1" applyAlignment="1">
      <alignment horizontal="left" vertical="center" wrapText="1"/>
    </xf>
    <xf numFmtId="165" fontId="2" fillId="10" borderId="2" xfId="8" applyNumberFormat="1" applyFont="1" applyFill="1" applyBorder="1" applyAlignment="1">
      <alignment horizontal="center" vertical="center" wrapText="1"/>
    </xf>
    <xf numFmtId="165" fontId="2" fillId="10" borderId="2" xfId="8" applyNumberFormat="1" applyFont="1" applyFill="1" applyBorder="1" applyAlignment="1">
      <alignment vertical="center" wrapText="1"/>
    </xf>
    <xf numFmtId="3" fontId="9" fillId="10" borderId="2" xfId="8" applyNumberFormat="1" applyFont="1" applyFill="1" applyBorder="1" applyAlignment="1">
      <alignment horizontal="center" vertical="center"/>
    </xf>
    <xf numFmtId="3" fontId="9" fillId="10" borderId="2" xfId="8" applyNumberFormat="1" applyFont="1" applyFill="1" applyBorder="1"/>
    <xf numFmtId="3" fontId="9" fillId="10" borderId="2" xfId="8" applyNumberFormat="1" applyFont="1" applyFill="1" applyBorder="1" applyAlignment="1">
      <alignment horizontal="left" vertical="center" wrapText="1"/>
    </xf>
    <xf numFmtId="3" fontId="9" fillId="10" borderId="2" xfId="2" applyNumberFormat="1" applyFont="1" applyFill="1" applyBorder="1" applyAlignment="1">
      <alignment horizontal="left" vertical="center" wrapText="1"/>
    </xf>
    <xf numFmtId="3" fontId="9" fillId="10" borderId="2" xfId="2" applyNumberFormat="1" applyFont="1" applyFill="1" applyBorder="1" applyAlignment="1">
      <alignment horizontal="left" vertical="top" wrapText="1"/>
    </xf>
    <xf numFmtId="3" fontId="9" fillId="10" borderId="2" xfId="8" applyNumberFormat="1" applyFont="1" applyFill="1" applyBorder="1" applyAlignment="1">
      <alignment horizontal="left" vertical="top" wrapText="1"/>
    </xf>
    <xf numFmtId="0" fontId="2" fillId="10" borderId="2" xfId="8" applyFont="1" applyFill="1" applyBorder="1" applyAlignment="1">
      <alignment horizontal="left" vertical="top" wrapText="1"/>
    </xf>
    <xf numFmtId="0" fontId="2" fillId="10" borderId="2" xfId="8" applyFont="1" applyFill="1" applyBorder="1" applyAlignment="1">
      <alignment horizontal="left" vertical="center" wrapText="1"/>
    </xf>
    <xf numFmtId="3" fontId="9" fillId="10" borderId="2" xfId="0" applyNumberFormat="1" applyFont="1" applyFill="1" applyBorder="1" applyAlignment="1">
      <alignment horizontal="center" vertical="center" wrapText="1"/>
    </xf>
    <xf numFmtId="0" fontId="9" fillId="10" borderId="2" xfId="0" applyFont="1" applyFill="1" applyBorder="1" applyAlignment="1">
      <alignment vertical="center" wrapText="1"/>
    </xf>
    <xf numFmtId="164" fontId="9" fillId="10" borderId="2" xfId="0" applyNumberFormat="1" applyFont="1" applyFill="1" applyBorder="1" applyAlignment="1">
      <alignment vertical="center" wrapText="1"/>
    </xf>
    <xf numFmtId="0" fontId="9" fillId="10" borderId="2" xfId="0" applyFont="1" applyFill="1" applyBorder="1" applyAlignment="1">
      <alignment horizontal="left" vertical="center" wrapText="1"/>
    </xf>
    <xf numFmtId="164" fontId="9" fillId="10" borderId="2" xfId="3" applyNumberFormat="1" applyFont="1" applyFill="1" applyBorder="1" applyAlignment="1">
      <alignment horizontal="center" vertical="center" wrapText="1"/>
    </xf>
    <xf numFmtId="164" fontId="9" fillId="10" borderId="2" xfId="3" applyNumberFormat="1" applyFont="1" applyFill="1" applyBorder="1" applyAlignment="1">
      <alignment vertical="center" wrapText="1"/>
    </xf>
    <xf numFmtId="164" fontId="9" fillId="10" borderId="2" xfId="3" applyNumberFormat="1" applyFont="1" applyFill="1" applyBorder="1" applyAlignment="1">
      <alignment horizontal="left" vertical="center" wrapText="1"/>
    </xf>
    <xf numFmtId="165" fontId="9" fillId="10" borderId="2" xfId="4" applyNumberFormat="1" applyFont="1" applyFill="1" applyBorder="1" applyAlignment="1">
      <alignment vertical="top" wrapText="1"/>
    </xf>
    <xf numFmtId="165" fontId="9" fillId="10" borderId="2" xfId="3" applyNumberFormat="1" applyFont="1" applyFill="1" applyBorder="1" applyAlignment="1">
      <alignment horizontal="left" vertical="center" wrapText="1"/>
    </xf>
    <xf numFmtId="165" fontId="9" fillId="10" borderId="2" xfId="3" applyNumberFormat="1" applyFont="1" applyFill="1" applyBorder="1" applyAlignment="1">
      <alignment horizontal="left" vertical="top" wrapText="1"/>
    </xf>
    <xf numFmtId="165" fontId="8" fillId="10" borderId="2" xfId="3" applyNumberFormat="1" applyFont="1" applyFill="1" applyBorder="1" applyAlignment="1">
      <alignment horizontal="left" vertical="center" wrapText="1"/>
    </xf>
    <xf numFmtId="165" fontId="7" fillId="10" borderId="2" xfId="3" applyNumberFormat="1" applyFont="1" applyFill="1" applyBorder="1" applyAlignment="1">
      <alignment horizontal="left" vertical="center" wrapText="1"/>
    </xf>
    <xf numFmtId="0" fontId="9" fillId="10" borderId="2" xfId="0" applyFont="1" applyFill="1" applyBorder="1" applyAlignment="1">
      <alignment vertical="top" wrapText="1"/>
    </xf>
    <xf numFmtId="165" fontId="2" fillId="10" borderId="2" xfId="3" applyNumberFormat="1" applyFont="1" applyFill="1" applyBorder="1" applyAlignment="1">
      <alignment horizontal="left" vertical="center" wrapText="1"/>
    </xf>
    <xf numFmtId="0" fontId="2" fillId="10" borderId="2" xfId="3" applyFont="1" applyFill="1" applyBorder="1" applyAlignment="1">
      <alignment horizontal="left" vertical="center" wrapText="1"/>
    </xf>
    <xf numFmtId="165" fontId="2" fillId="10" borderId="2" xfId="3" quotePrefix="1" applyNumberFormat="1" applyFont="1" applyFill="1" applyBorder="1" applyAlignment="1">
      <alignment horizontal="left" vertical="center" wrapText="1"/>
    </xf>
    <xf numFmtId="0" fontId="9" fillId="10" borderId="2" xfId="5" applyFont="1" applyFill="1" applyBorder="1" applyAlignment="1">
      <alignment vertical="center" wrapText="1"/>
    </xf>
    <xf numFmtId="165" fontId="2" fillId="10" borderId="2" xfId="5" applyNumberFormat="1" applyFont="1" applyFill="1" applyBorder="1" applyAlignment="1">
      <alignment horizontal="left" vertical="center" wrapText="1"/>
    </xf>
    <xf numFmtId="165" fontId="9" fillId="10" borderId="2" xfId="5" applyNumberFormat="1" applyFont="1" applyFill="1" applyBorder="1" applyAlignment="1">
      <alignment vertical="top" wrapText="1"/>
    </xf>
    <xf numFmtId="165" fontId="9" fillId="10" borderId="2" xfId="5" applyNumberFormat="1" applyFont="1" applyFill="1" applyBorder="1" applyAlignment="1">
      <alignment horizontal="left" vertical="top" wrapText="1"/>
    </xf>
    <xf numFmtId="0" fontId="9" fillId="10" borderId="2" xfId="5" quotePrefix="1" applyFont="1" applyFill="1" applyBorder="1" applyAlignment="1">
      <alignment horizontal="left" vertical="center" wrapText="1"/>
    </xf>
    <xf numFmtId="165" fontId="7" fillId="10" borderId="2" xfId="5" applyNumberFormat="1" applyFont="1" applyFill="1" applyBorder="1" applyAlignment="1">
      <alignment horizontal="left" vertical="center" wrapText="1"/>
    </xf>
    <xf numFmtId="164" fontId="9" fillId="10" borderId="2" xfId="4" applyNumberFormat="1" applyFont="1" applyFill="1" applyBorder="1" applyAlignment="1">
      <alignment horizontal="left" vertical="center" wrapText="1"/>
    </xf>
    <xf numFmtId="0" fontId="9" fillId="10" borderId="2" xfId="4" applyNumberFormat="1" applyFont="1" applyFill="1" applyBorder="1" applyAlignment="1">
      <alignment horizontal="left" vertical="center" wrapText="1"/>
    </xf>
    <xf numFmtId="164" fontId="9" fillId="10" borderId="2" xfId="0" applyNumberFormat="1" applyFont="1" applyFill="1" applyBorder="1" applyAlignment="1">
      <alignment horizontal="left" vertical="center" wrapText="1"/>
    </xf>
    <xf numFmtId="164" fontId="23" fillId="10" borderId="2" xfId="7" applyNumberFormat="1" applyFont="1" applyFill="1" applyBorder="1" applyAlignment="1">
      <alignment horizontal="left" vertical="center" wrapText="1"/>
    </xf>
    <xf numFmtId="165" fontId="2" fillId="10" borderId="2" xfId="0" applyNumberFormat="1" applyFont="1" applyFill="1" applyBorder="1" applyAlignment="1">
      <alignment vertical="center" wrapText="1"/>
    </xf>
    <xf numFmtId="165" fontId="2" fillId="10" borderId="2" xfId="0" applyNumberFormat="1" applyFont="1" applyFill="1" applyBorder="1" applyAlignment="1">
      <alignment horizontal="left" wrapText="1"/>
    </xf>
    <xf numFmtId="164" fontId="9" fillId="10" borderId="2" xfId="4" applyNumberFormat="1" applyFont="1" applyFill="1" applyBorder="1" applyAlignment="1">
      <alignment vertical="center" wrapText="1"/>
    </xf>
    <xf numFmtId="165" fontId="15" fillId="0" borderId="0" xfId="2" applyNumberFormat="1" applyFont="1" applyAlignment="1">
      <alignment horizontal="right" vertical="center"/>
    </xf>
    <xf numFmtId="165" fontId="15" fillId="0" borderId="0" xfId="5" applyNumberFormat="1" applyFont="1" applyAlignment="1">
      <alignment horizontal="right" vertical="center"/>
    </xf>
    <xf numFmtId="3" fontId="31" fillId="0" borderId="0" xfId="8" applyNumberFormat="1" applyFont="1" applyAlignment="1">
      <alignment horizontal="right"/>
    </xf>
    <xf numFmtId="165" fontId="15" fillId="0" borderId="0" xfId="8" applyNumberFormat="1" applyFont="1" applyAlignment="1">
      <alignment horizontal="right" vertical="center"/>
    </xf>
    <xf numFmtId="0" fontId="29" fillId="0" borderId="1" xfId="8" applyFont="1" applyBorder="1" applyAlignment="1">
      <alignment horizontal="right"/>
    </xf>
    <xf numFmtId="164" fontId="29" fillId="0" borderId="0" xfId="8" applyNumberFormat="1" applyFont="1" applyFill="1"/>
    <xf numFmtId="164" fontId="11" fillId="0" borderId="0" xfId="8" applyNumberFormat="1" applyFont="1"/>
    <xf numFmtId="164" fontId="11" fillId="2" borderId="0" xfId="8" applyNumberFormat="1" applyFont="1" applyFill="1"/>
    <xf numFmtId="165" fontId="11" fillId="2" borderId="0" xfId="8" applyNumberFormat="1" applyFont="1" applyFill="1"/>
    <xf numFmtId="0" fontId="11" fillId="2" borderId="0" xfId="8" applyFont="1" applyFill="1"/>
    <xf numFmtId="164" fontId="20" fillId="0" borderId="0" xfId="8" applyNumberFormat="1" applyFont="1"/>
    <xf numFmtId="164" fontId="14" fillId="0" borderId="0" xfId="8" applyNumberFormat="1" applyFont="1" applyFill="1"/>
    <xf numFmtId="164" fontId="20" fillId="0" borderId="0" xfId="5" applyNumberFormat="1" applyFont="1"/>
    <xf numFmtId="165" fontId="9" fillId="0" borderId="2" xfId="8" applyNumberFormat="1" applyFont="1" applyBorder="1" applyAlignment="1">
      <alignment horizontal="center" vertical="center" wrapText="1"/>
    </xf>
    <xf numFmtId="3" fontId="2" fillId="0" borderId="2" xfId="0" applyNumberFormat="1" applyFont="1" applyBorder="1" applyAlignment="1">
      <alignment horizontal="center" vertical="center" wrapText="1"/>
    </xf>
    <xf numFmtId="165" fontId="9" fillId="0" borderId="2" xfId="4" applyNumberFormat="1" applyFont="1" applyFill="1" applyBorder="1" applyAlignment="1">
      <alignment horizontal="center" vertical="center" wrapText="1"/>
    </xf>
    <xf numFmtId="0" fontId="9" fillId="4" borderId="2" xfId="4" applyFont="1" applyFill="1" applyBorder="1" applyAlignment="1">
      <alignment horizontal="center" vertical="center" wrapText="1"/>
    </xf>
    <xf numFmtId="0" fontId="9" fillId="3" borderId="2" xfId="4" applyFont="1" applyFill="1" applyBorder="1" applyAlignment="1">
      <alignment horizontal="center" vertical="center" wrapText="1"/>
    </xf>
    <xf numFmtId="0" fontId="9" fillId="0" borderId="2" xfId="8" applyNumberFormat="1" applyFont="1" applyBorder="1" applyAlignment="1">
      <alignment horizontal="center" vertical="center" wrapText="1"/>
    </xf>
    <xf numFmtId="0" fontId="9" fillId="0" borderId="2" xfId="8" applyNumberFormat="1" applyFont="1" applyFill="1" applyBorder="1" applyAlignment="1">
      <alignment horizontal="center" vertical="center" wrapText="1"/>
    </xf>
    <xf numFmtId="0" fontId="9" fillId="4" borderId="2" xfId="4" applyNumberFormat="1" applyFont="1" applyFill="1" applyBorder="1" applyAlignment="1">
      <alignment horizontal="center" vertical="center" wrapText="1"/>
    </xf>
    <xf numFmtId="0" fontId="9" fillId="0" borderId="2" xfId="4" applyNumberFormat="1" applyFont="1" applyFill="1" applyBorder="1" applyAlignment="1">
      <alignment horizontal="center" vertical="center" wrapText="1"/>
    </xf>
    <xf numFmtId="1" fontId="9" fillId="4" borderId="2" xfId="8" applyNumberFormat="1" applyFont="1" applyFill="1" applyBorder="1" applyAlignment="1">
      <alignment horizontal="center" vertical="center" wrapText="1"/>
    </xf>
    <xf numFmtId="0" fontId="9" fillId="10" borderId="2" xfId="4" applyNumberFormat="1" applyFont="1" applyFill="1" applyBorder="1" applyAlignment="1">
      <alignment horizontal="center" vertical="center" wrapText="1"/>
    </xf>
    <xf numFmtId="165" fontId="9" fillId="10" borderId="2" xfId="3" applyNumberFormat="1" applyFont="1" applyFill="1" applyBorder="1" applyAlignment="1">
      <alignment vertical="top" wrapText="1"/>
    </xf>
    <xf numFmtId="0" fontId="9" fillId="0" borderId="2" xfId="2" applyNumberFormat="1" applyFont="1" applyBorder="1" applyAlignment="1">
      <alignment horizontal="center" vertical="center" wrapText="1"/>
    </xf>
    <xf numFmtId="1" fontId="9" fillId="4" borderId="2" xfId="2" applyNumberFormat="1" applyFont="1" applyFill="1" applyBorder="1" applyAlignment="1">
      <alignment horizontal="center" vertical="center" wrapText="1"/>
    </xf>
    <xf numFmtId="164" fontId="15" fillId="0" borderId="1" xfId="0" applyNumberFormat="1" applyFont="1" applyBorder="1" applyAlignment="1">
      <alignment horizontal="right" vertical="center" wrapText="1"/>
    </xf>
    <xf numFmtId="0" fontId="9" fillId="0" borderId="2" xfId="8" applyFont="1" applyBorder="1" applyAlignment="1">
      <alignment horizontal="center" vertical="center" wrapText="1"/>
    </xf>
    <xf numFmtId="0" fontId="9" fillId="0" borderId="2" xfId="8" applyFont="1" applyFill="1" applyBorder="1" applyAlignment="1">
      <alignment horizontal="center" vertical="center" wrapText="1"/>
    </xf>
    <xf numFmtId="0" fontId="9" fillId="0" borderId="2" xfId="4" applyFont="1" applyFill="1" applyBorder="1" applyAlignment="1">
      <alignment horizontal="center" vertical="center" wrapText="1"/>
    </xf>
    <xf numFmtId="0" fontId="2" fillId="0" borderId="2" xfId="8" quotePrefix="1" applyFont="1" applyBorder="1" applyAlignment="1">
      <alignment horizontal="center" vertical="center" wrapText="1"/>
    </xf>
    <xf numFmtId="0" fontId="2" fillId="0" borderId="2" xfId="8" applyFont="1" applyBorder="1" applyAlignment="1">
      <alignment horizontal="center" vertical="center" wrapText="1"/>
    </xf>
    <xf numFmtId="3" fontId="9" fillId="0" borderId="2" xfId="8" applyNumberFormat="1" applyFont="1" applyFill="1" applyBorder="1" applyAlignment="1">
      <alignment horizontal="center" vertical="center" wrapText="1"/>
    </xf>
    <xf numFmtId="3" fontId="9" fillId="0" borderId="2" xfId="4" applyNumberFormat="1" applyFont="1" applyFill="1" applyBorder="1" applyAlignment="1">
      <alignment horizontal="center" vertical="center" wrapText="1"/>
    </xf>
    <xf numFmtId="3" fontId="9" fillId="2" borderId="2" xfId="8" applyNumberFormat="1" applyFont="1" applyFill="1" applyBorder="1" applyAlignment="1">
      <alignment horizontal="center" vertical="center" wrapText="1"/>
    </xf>
    <xf numFmtId="1" fontId="9" fillId="0" borderId="2" xfId="8" applyNumberFormat="1" applyFont="1" applyBorder="1" applyAlignment="1">
      <alignment horizontal="center" vertical="center" wrapText="1"/>
    </xf>
    <xf numFmtId="164" fontId="9" fillId="10" borderId="2" xfId="0" applyNumberFormat="1" applyFont="1" applyFill="1" applyBorder="1" applyAlignment="1">
      <alignment horizontal="center" vertical="center" wrapText="1"/>
    </xf>
    <xf numFmtId="165" fontId="2" fillId="10" borderId="2" xfId="0" applyNumberFormat="1" applyFont="1" applyFill="1" applyBorder="1" applyAlignment="1">
      <alignment horizontal="left" vertical="center" wrapText="1"/>
    </xf>
    <xf numFmtId="3" fontId="14" fillId="0" borderId="0" xfId="8" applyNumberFormat="1" applyFont="1" applyBorder="1" applyAlignment="1">
      <alignment horizontal="center"/>
    </xf>
    <xf numFmtId="0" fontId="9" fillId="0" borderId="2" xfId="5" applyNumberFormat="1" applyFont="1" applyBorder="1" applyAlignment="1">
      <alignment horizontal="center" vertical="center" wrapText="1"/>
    </xf>
    <xf numFmtId="0" fontId="9" fillId="0" borderId="2" xfId="5" applyNumberFormat="1" applyFont="1" applyFill="1" applyBorder="1" applyAlignment="1">
      <alignment horizontal="center" vertical="center" wrapText="1"/>
    </xf>
    <xf numFmtId="0" fontId="8" fillId="4" borderId="2" xfId="4" applyNumberFormat="1" applyFont="1" applyFill="1" applyBorder="1" applyAlignment="1">
      <alignment horizontal="center" vertical="center" wrapText="1"/>
    </xf>
    <xf numFmtId="0" fontId="8" fillId="4" borderId="2" xfId="4" applyNumberFormat="1" applyFont="1" applyFill="1" applyBorder="1" applyAlignment="1">
      <alignment horizontal="center" vertical="center" shrinkToFit="1"/>
    </xf>
    <xf numFmtId="0" fontId="9" fillId="0" borderId="2" xfId="4" applyNumberFormat="1" applyFont="1" applyFill="1" applyBorder="1" applyAlignment="1">
      <alignment horizontal="center" vertical="center" shrinkToFit="1"/>
    </xf>
    <xf numFmtId="0" fontId="8" fillId="5" borderId="2" xfId="4" applyNumberFormat="1" applyFont="1" applyFill="1" applyBorder="1" applyAlignment="1">
      <alignment horizontal="center" vertical="center" wrapText="1"/>
    </xf>
    <xf numFmtId="0" fontId="11" fillId="4" borderId="2" xfId="8" applyFont="1" applyFill="1" applyBorder="1"/>
    <xf numFmtId="165" fontId="3" fillId="4" borderId="2" xfId="8" applyNumberFormat="1" applyFont="1" applyFill="1" applyBorder="1" applyAlignment="1">
      <alignment horizontal="center" vertical="center" wrapText="1"/>
    </xf>
    <xf numFmtId="165" fontId="20" fillId="0" borderId="0" xfId="8" applyNumberFormat="1" applyFont="1" applyFill="1" applyAlignment="1">
      <alignment horizontal="center" vertical="center"/>
    </xf>
    <xf numFmtId="165" fontId="22" fillId="0" borderId="0" xfId="8" applyNumberFormat="1" applyFont="1" applyFill="1" applyAlignment="1">
      <alignment horizontal="center" vertical="center"/>
    </xf>
    <xf numFmtId="165" fontId="8" fillId="7" borderId="2" xfId="5" applyNumberFormat="1" applyFont="1" applyFill="1" applyBorder="1" applyAlignment="1">
      <alignment horizontal="center" vertical="center" wrapText="1"/>
    </xf>
    <xf numFmtId="3" fontId="9" fillId="4" borderId="2" xfId="8" applyNumberFormat="1" applyFont="1" applyFill="1" applyBorder="1" applyAlignment="1">
      <alignment horizontal="center" vertical="center" wrapText="1"/>
    </xf>
    <xf numFmtId="3" fontId="9" fillId="4" borderId="2" xfId="8" applyNumberFormat="1" applyFont="1" applyFill="1" applyBorder="1" applyAlignment="1">
      <alignment vertical="center" wrapText="1"/>
    </xf>
    <xf numFmtId="3" fontId="9" fillId="4" borderId="2" xfId="8" applyNumberFormat="1" applyFont="1" applyFill="1" applyBorder="1" applyAlignment="1">
      <alignment horizontal="right" vertical="center" wrapText="1"/>
    </xf>
    <xf numFmtId="3" fontId="8" fillId="4" borderId="2" xfId="4" applyNumberFormat="1" applyFont="1" applyFill="1" applyBorder="1" applyAlignment="1">
      <alignment horizontal="right" vertical="center" wrapText="1"/>
    </xf>
    <xf numFmtId="3" fontId="9" fillId="4" borderId="2" xfId="4" applyNumberFormat="1" applyFont="1" applyFill="1" applyBorder="1" applyAlignment="1">
      <alignment horizontal="center" vertical="center" wrapText="1"/>
    </xf>
    <xf numFmtId="3" fontId="8" fillId="4" borderId="2" xfId="8" applyNumberFormat="1" applyFont="1" applyFill="1" applyBorder="1" applyAlignment="1">
      <alignment horizontal="center" vertical="center" wrapText="1"/>
    </xf>
    <xf numFmtId="49" fontId="9" fillId="10" borderId="2" xfId="8" applyNumberFormat="1" applyFont="1" applyFill="1" applyBorder="1" applyAlignment="1">
      <alignment horizontal="left" vertical="center" wrapText="1"/>
    </xf>
    <xf numFmtId="164" fontId="13" fillId="4" borderId="2" xfId="8" applyNumberFormat="1" applyFont="1" applyFill="1" applyBorder="1" applyAlignment="1">
      <alignment horizontal="center" vertical="center" wrapText="1"/>
    </xf>
    <xf numFmtId="164" fontId="11" fillId="0" borderId="2" xfId="8" applyNumberFormat="1" applyFont="1" applyFill="1" applyBorder="1" applyAlignment="1">
      <alignment horizontal="center" vertical="center" wrapText="1"/>
    </xf>
    <xf numFmtId="164" fontId="11" fillId="0" borderId="2" xfId="4" applyNumberFormat="1" applyFont="1" applyFill="1" applyBorder="1" applyAlignment="1">
      <alignment horizontal="center" vertical="center" wrapText="1"/>
    </xf>
    <xf numFmtId="164" fontId="13" fillId="0" borderId="2" xfId="8" applyNumberFormat="1" applyFont="1" applyFill="1" applyBorder="1" applyAlignment="1">
      <alignment horizontal="center" vertical="center" wrapText="1"/>
    </xf>
    <xf numFmtId="164" fontId="13" fillId="7" borderId="2" xfId="4" applyNumberFormat="1" applyFont="1" applyFill="1" applyBorder="1" applyAlignment="1">
      <alignment horizontal="center" vertical="center" wrapText="1"/>
    </xf>
    <xf numFmtId="164" fontId="11" fillId="0" borderId="2" xfId="4" applyNumberFormat="1" applyFont="1" applyBorder="1" applyAlignment="1">
      <alignment horizontal="center" vertical="center" wrapText="1"/>
    </xf>
    <xf numFmtId="165" fontId="13" fillId="7" borderId="2" xfId="8" applyNumberFormat="1" applyFont="1" applyFill="1" applyBorder="1" applyAlignment="1">
      <alignment horizontal="center" vertical="center" wrapText="1"/>
    </xf>
    <xf numFmtId="1" fontId="11" fillId="0" borderId="2" xfId="4" applyNumberFormat="1" applyFont="1" applyFill="1" applyBorder="1" applyAlignment="1">
      <alignment horizontal="left" vertical="center" wrapText="1"/>
    </xf>
    <xf numFmtId="49" fontId="11" fillId="0" borderId="2" xfId="8" applyNumberFormat="1" applyFont="1" applyFill="1" applyBorder="1" applyAlignment="1">
      <alignment horizontal="left" vertical="center" wrapText="1"/>
    </xf>
    <xf numFmtId="0" fontId="35" fillId="0" borderId="2" xfId="8" applyFont="1" applyBorder="1" applyAlignment="1">
      <alignment horizontal="left" vertical="center" wrapText="1"/>
    </xf>
    <xf numFmtId="165" fontId="13" fillId="4" borderId="2" xfId="8" applyNumberFormat="1" applyFont="1" applyFill="1" applyBorder="1" applyAlignment="1">
      <alignment horizontal="center" vertical="center" wrapText="1"/>
    </xf>
    <xf numFmtId="0" fontId="35" fillId="0" borderId="2" xfId="8" applyFont="1" applyBorder="1" applyAlignment="1">
      <alignment horizontal="center" vertical="center" wrapText="1"/>
    </xf>
    <xf numFmtId="164" fontId="35" fillId="0" borderId="2" xfId="8" applyNumberFormat="1" applyFont="1" applyBorder="1" applyAlignment="1">
      <alignment horizontal="center" vertical="center" wrapText="1"/>
    </xf>
    <xf numFmtId="164" fontId="19" fillId="7" borderId="2" xfId="8" applyNumberFormat="1" applyFont="1" applyFill="1" applyBorder="1" applyAlignment="1">
      <alignment horizontal="center" vertical="center" wrapText="1"/>
    </xf>
    <xf numFmtId="164" fontId="40" fillId="0" borderId="2" xfId="8" applyNumberFormat="1" applyFont="1" applyFill="1" applyBorder="1" applyAlignment="1">
      <alignment horizontal="center" vertical="center" wrapText="1"/>
    </xf>
    <xf numFmtId="164" fontId="11" fillId="0" borderId="2" xfId="8" applyNumberFormat="1" applyFont="1" applyBorder="1"/>
    <xf numFmtId="164" fontId="35" fillId="7" borderId="2" xfId="8" applyNumberFormat="1" applyFont="1" applyFill="1" applyBorder="1" applyAlignment="1">
      <alignment horizontal="center" vertical="center" wrapText="1"/>
    </xf>
    <xf numFmtId="164" fontId="37" fillId="4" borderId="2" xfId="8" applyNumberFormat="1" applyFont="1" applyFill="1" applyBorder="1" applyAlignment="1">
      <alignment horizontal="center" vertical="center" wrapText="1"/>
    </xf>
    <xf numFmtId="164" fontId="41" fillId="3" borderId="2" xfId="8" applyNumberFormat="1" applyFont="1" applyFill="1" applyBorder="1" applyAlignment="1">
      <alignment horizontal="center" vertical="center" wrapText="1"/>
    </xf>
    <xf numFmtId="164" fontId="41" fillId="0" borderId="2" xfId="8" applyNumberFormat="1" applyFont="1" applyBorder="1" applyAlignment="1">
      <alignment horizontal="center" vertical="center" wrapText="1"/>
    </xf>
    <xf numFmtId="164" fontId="11" fillId="0" borderId="2" xfId="0" applyNumberFormat="1" applyFont="1" applyFill="1" applyBorder="1" applyAlignment="1">
      <alignment horizontal="center" vertical="center" wrapText="1"/>
    </xf>
    <xf numFmtId="164" fontId="13" fillId="7" borderId="2" xfId="0" applyNumberFormat="1" applyFont="1" applyFill="1" applyBorder="1" applyAlignment="1">
      <alignment horizontal="center" vertical="center" wrapText="1"/>
    </xf>
    <xf numFmtId="164" fontId="13" fillId="7" borderId="2" xfId="8"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3" fontId="31" fillId="0" borderId="2" xfId="8" applyNumberFormat="1" applyFont="1" applyBorder="1" applyAlignment="1">
      <alignment horizontal="right" vertical="center" wrapText="1"/>
    </xf>
    <xf numFmtId="164" fontId="37" fillId="4" borderId="2" xfId="0" applyNumberFormat="1" applyFont="1" applyFill="1" applyBorder="1" applyAlignment="1">
      <alignment horizontal="center" vertical="center" wrapText="1"/>
    </xf>
    <xf numFmtId="164" fontId="31" fillId="0" borderId="2" xfId="0" applyNumberFormat="1" applyFont="1" applyFill="1" applyBorder="1" applyAlignment="1">
      <alignment horizontal="center" vertical="center" wrapText="1"/>
    </xf>
    <xf numFmtId="164" fontId="11" fillId="7" borderId="2" xfId="4" applyNumberFormat="1" applyFont="1" applyFill="1" applyBorder="1" applyAlignment="1">
      <alignment horizontal="center" vertical="center" wrapText="1"/>
    </xf>
    <xf numFmtId="164" fontId="11" fillId="7" borderId="2" xfId="0" applyNumberFormat="1" applyFont="1" applyFill="1" applyBorder="1" applyAlignment="1">
      <alignment horizontal="center" vertical="center" wrapText="1"/>
    </xf>
    <xf numFmtId="164" fontId="11" fillId="7" borderId="2" xfId="8" applyNumberFormat="1" applyFont="1" applyFill="1" applyBorder="1" applyAlignment="1">
      <alignment horizontal="center" vertical="center" wrapText="1"/>
    </xf>
    <xf numFmtId="3" fontId="11" fillId="0" borderId="2" xfId="8" applyNumberFormat="1" applyFont="1" applyBorder="1" applyAlignment="1">
      <alignment horizontal="left" vertical="center" wrapText="1"/>
    </xf>
    <xf numFmtId="3" fontId="11" fillId="0" borderId="2" xfId="4" applyNumberFormat="1" applyFont="1" applyBorder="1" applyAlignment="1">
      <alignment horizontal="left" vertical="center" wrapText="1"/>
    </xf>
    <xf numFmtId="0" fontId="11" fillId="0" borderId="2" xfId="8" applyFont="1" applyFill="1" applyBorder="1" applyAlignment="1">
      <alignment horizontal="left" vertical="center" wrapText="1"/>
    </xf>
    <xf numFmtId="164" fontId="11" fillId="0" borderId="2" xfId="0" applyNumberFormat="1" applyFont="1" applyFill="1" applyBorder="1" applyAlignment="1">
      <alignment horizontal="center" vertical="center"/>
    </xf>
    <xf numFmtId="164" fontId="11" fillId="3" borderId="2" xfId="0" applyNumberFormat="1" applyFont="1" applyFill="1" applyBorder="1" applyAlignment="1">
      <alignment horizontal="center" vertical="center"/>
    </xf>
    <xf numFmtId="164" fontId="11" fillId="3" borderId="2" xfId="0" applyNumberFormat="1" applyFont="1" applyFill="1" applyBorder="1" applyAlignment="1">
      <alignment horizontal="center" vertical="center" wrapText="1"/>
    </xf>
    <xf numFmtId="164" fontId="11" fillId="3" borderId="2" xfId="3" applyNumberFormat="1" applyFont="1" applyFill="1" applyBorder="1" applyAlignment="1">
      <alignment horizontal="center" vertical="center" wrapText="1"/>
    </xf>
    <xf numFmtId="164" fontId="11" fillId="0" borderId="2" xfId="1" applyNumberFormat="1" applyFont="1" applyFill="1" applyBorder="1" applyAlignment="1">
      <alignment horizontal="center" vertical="center"/>
    </xf>
    <xf numFmtId="0" fontId="11" fillId="0" borderId="2" xfId="0" quotePrefix="1" applyFont="1" applyFill="1" applyBorder="1" applyAlignment="1">
      <alignment horizontal="left" vertical="center" wrapText="1"/>
    </xf>
    <xf numFmtId="0" fontId="11" fillId="0" borderId="2" xfId="0" applyFont="1" applyFill="1" applyBorder="1" applyAlignment="1">
      <alignment horizontal="center" vertical="center"/>
    </xf>
    <xf numFmtId="0" fontId="11" fillId="0" borderId="2" xfId="0" applyFont="1" applyBorder="1" applyAlignment="1">
      <alignment horizontal="center" vertical="center"/>
    </xf>
    <xf numFmtId="0" fontId="11" fillId="0" borderId="2" xfId="0" applyFont="1" applyBorder="1"/>
    <xf numFmtId="49" fontId="11" fillId="0" borderId="2" xfId="0" quotePrefix="1" applyNumberFormat="1" applyFont="1" applyFill="1" applyBorder="1" applyAlignment="1">
      <alignment horizontal="left" vertical="center" wrapText="1"/>
    </xf>
    <xf numFmtId="164" fontId="13" fillId="7" borderId="2" xfId="0" applyNumberFormat="1" applyFont="1" applyFill="1" applyBorder="1" applyAlignment="1">
      <alignment horizontal="center" vertical="center"/>
    </xf>
    <xf numFmtId="164" fontId="13" fillId="4" borderId="2" xfId="3" applyNumberFormat="1" applyFont="1" applyFill="1" applyBorder="1" applyAlignment="1">
      <alignment horizontal="center" vertical="center" wrapText="1"/>
    </xf>
    <xf numFmtId="164" fontId="11" fillId="0" borderId="2" xfId="3" applyNumberFormat="1" applyFont="1" applyBorder="1" applyAlignment="1">
      <alignment horizontal="center" vertical="center" wrapText="1"/>
    </xf>
    <xf numFmtId="164" fontId="11" fillId="0" borderId="2" xfId="3" applyNumberFormat="1" applyFont="1" applyFill="1" applyBorder="1" applyAlignment="1">
      <alignment horizontal="center" vertical="center" wrapText="1"/>
    </xf>
    <xf numFmtId="164" fontId="19" fillId="4" borderId="2" xfId="3" applyNumberFormat="1" applyFont="1" applyFill="1" applyBorder="1" applyAlignment="1">
      <alignment horizontal="center" vertical="center" wrapText="1"/>
    </xf>
    <xf numFmtId="0" fontId="31" fillId="0" borderId="2" xfId="3" applyFont="1" applyFill="1" applyBorder="1" applyAlignment="1">
      <alignment horizontal="right" vertical="center" wrapText="1"/>
    </xf>
    <xf numFmtId="164" fontId="37" fillId="4" borderId="2" xfId="3" applyNumberFormat="1" applyFont="1" applyFill="1" applyBorder="1" applyAlignment="1">
      <alignment horizontal="center" vertical="center" wrapText="1"/>
    </xf>
    <xf numFmtId="164" fontId="31" fillId="0" borderId="2" xfId="3" applyNumberFormat="1" applyFont="1" applyBorder="1" applyAlignment="1">
      <alignment horizontal="center" vertical="center" wrapText="1"/>
    </xf>
    <xf numFmtId="164" fontId="35" fillId="0" borderId="2" xfId="0" applyNumberFormat="1" applyFont="1" applyBorder="1" applyAlignment="1">
      <alignment horizontal="center" vertical="center"/>
    </xf>
    <xf numFmtId="164" fontId="11" fillId="0" borderId="2" xfId="0" applyNumberFormat="1" applyFont="1" applyBorder="1" applyAlignment="1">
      <alignment horizontal="center" vertical="center" wrapText="1"/>
    </xf>
    <xf numFmtId="164" fontId="19" fillId="7" borderId="2" xfId="4" applyNumberFormat="1" applyFont="1" applyFill="1" applyBorder="1" applyAlignment="1">
      <alignment horizontal="center" vertical="center" wrapText="1"/>
    </xf>
    <xf numFmtId="164" fontId="37" fillId="7" borderId="2" xfId="4" applyNumberFormat="1" applyFont="1" applyFill="1" applyBorder="1" applyAlignment="1">
      <alignment horizontal="center" vertical="center" wrapText="1"/>
    </xf>
    <xf numFmtId="164" fontId="37" fillId="7" borderId="2" xfId="3" applyNumberFormat="1" applyFont="1" applyFill="1" applyBorder="1" applyAlignment="1">
      <alignment horizontal="center" vertical="center" wrapText="1"/>
    </xf>
    <xf numFmtId="0" fontId="11" fillId="0" borderId="2" xfId="3" applyFont="1" applyFill="1" applyBorder="1" applyAlignment="1">
      <alignment horizontal="right" vertical="center" wrapText="1"/>
    </xf>
    <xf numFmtId="165" fontId="9" fillId="10" borderId="2" xfId="3" applyNumberFormat="1" applyFont="1" applyFill="1" applyBorder="1" applyAlignment="1">
      <alignment vertical="center" wrapText="1"/>
    </xf>
    <xf numFmtId="0" fontId="11" fillId="3" borderId="2" xfId="0" applyFont="1" applyFill="1" applyBorder="1" applyAlignment="1">
      <alignment horizontal="left" vertical="center" wrapText="1"/>
    </xf>
    <xf numFmtId="164" fontId="35" fillId="0" borderId="2" xfId="0" applyNumberFormat="1" applyFont="1" applyFill="1" applyBorder="1" applyAlignment="1">
      <alignment horizontal="left" vertical="center" wrapText="1"/>
    </xf>
    <xf numFmtId="49" fontId="9" fillId="0" borderId="2" xfId="3" applyNumberFormat="1" applyFont="1" applyFill="1" applyBorder="1" applyAlignment="1">
      <alignment vertical="center"/>
    </xf>
    <xf numFmtId="0" fontId="9" fillId="0" borderId="2" xfId="3" applyFont="1" applyFill="1" applyBorder="1" applyAlignment="1">
      <alignment vertical="center" wrapText="1"/>
    </xf>
    <xf numFmtId="164" fontId="44" fillId="4" borderId="2" xfId="5" applyNumberFormat="1" applyFont="1" applyFill="1" applyBorder="1" applyAlignment="1">
      <alignment horizontal="center" vertical="center" wrapText="1"/>
    </xf>
    <xf numFmtId="164" fontId="43" fillId="0" borderId="2" xfId="5" applyNumberFormat="1" applyFont="1" applyBorder="1" applyAlignment="1">
      <alignment horizontal="center" vertical="center" wrapText="1"/>
    </xf>
    <xf numFmtId="164" fontId="44" fillId="4" borderId="2" xfId="5" applyNumberFormat="1" applyFont="1" applyFill="1" applyBorder="1" applyAlignment="1">
      <alignment horizontal="center" vertical="center" shrinkToFit="1"/>
    </xf>
    <xf numFmtId="164" fontId="43" fillId="0" borderId="2" xfId="5" applyNumberFormat="1" applyFont="1" applyBorder="1" applyAlignment="1">
      <alignment horizontal="center" vertical="center" shrinkToFit="1"/>
    </xf>
    <xf numFmtId="164" fontId="44" fillId="5" borderId="2" xfId="5" applyNumberFormat="1" applyFont="1" applyFill="1" applyBorder="1" applyAlignment="1">
      <alignment horizontal="center" vertical="center" wrapText="1"/>
    </xf>
    <xf numFmtId="164" fontId="43" fillId="0" borderId="2" xfId="5" applyNumberFormat="1" applyFont="1" applyFill="1" applyBorder="1" applyAlignment="1">
      <alignment horizontal="center" vertical="center" wrapText="1"/>
    </xf>
    <xf numFmtId="164" fontId="43" fillId="0" borderId="2" xfId="5" applyNumberFormat="1" applyFont="1" applyFill="1" applyBorder="1" applyAlignment="1">
      <alignment horizontal="center" vertical="center" shrinkToFit="1"/>
    </xf>
    <xf numFmtId="164" fontId="44" fillId="7" borderId="2" xfId="5" applyNumberFormat="1" applyFont="1" applyFill="1" applyBorder="1" applyAlignment="1">
      <alignment horizontal="center" vertical="center" wrapText="1"/>
    </xf>
    <xf numFmtId="164" fontId="43" fillId="7" borderId="2" xfId="5" applyNumberFormat="1" applyFont="1" applyFill="1" applyBorder="1" applyAlignment="1">
      <alignment horizontal="center" vertical="center" wrapText="1"/>
    </xf>
    <xf numFmtId="164" fontId="18" fillId="4" borderId="2" xfId="5" applyNumberFormat="1" applyFont="1" applyFill="1" applyBorder="1" applyAlignment="1">
      <alignment horizontal="center" vertical="center" wrapText="1"/>
    </xf>
    <xf numFmtId="164" fontId="45" fillId="3" borderId="2" xfId="5" applyNumberFormat="1" applyFont="1" applyFill="1" applyBorder="1" applyAlignment="1">
      <alignment horizontal="center" vertical="center" wrapText="1"/>
    </xf>
    <xf numFmtId="164" fontId="18" fillId="4" borderId="2" xfId="5" applyNumberFormat="1" applyFont="1" applyFill="1" applyBorder="1" applyAlignment="1">
      <alignment horizontal="center" vertical="center" shrinkToFit="1"/>
    </xf>
    <xf numFmtId="164" fontId="45" fillId="3" borderId="2" xfId="5" applyNumberFormat="1" applyFont="1" applyFill="1" applyBorder="1" applyAlignment="1">
      <alignment horizontal="center" vertical="center" shrinkToFit="1"/>
    </xf>
    <xf numFmtId="164" fontId="45" fillId="0" borderId="2" xfId="5" applyNumberFormat="1" applyFont="1" applyBorder="1" applyAlignment="1">
      <alignment horizontal="center" vertical="center" wrapText="1"/>
    </xf>
    <xf numFmtId="164" fontId="18" fillId="7" borderId="2" xfId="5" applyNumberFormat="1" applyFont="1" applyFill="1" applyBorder="1" applyAlignment="1">
      <alignment horizontal="center" vertical="center" wrapText="1"/>
    </xf>
    <xf numFmtId="164" fontId="18" fillId="7" borderId="2" xfId="5" applyNumberFormat="1" applyFont="1" applyFill="1" applyBorder="1" applyAlignment="1">
      <alignment horizontal="center" vertical="center" shrinkToFit="1"/>
    </xf>
    <xf numFmtId="164" fontId="45" fillId="0" borderId="2" xfId="5" applyNumberFormat="1" applyFont="1" applyBorder="1" applyAlignment="1">
      <alignment horizontal="center" vertical="center" shrinkToFit="1"/>
    </xf>
    <xf numFmtId="164" fontId="43" fillId="3" borderId="2" xfId="5" applyNumberFormat="1" applyFont="1" applyFill="1" applyBorder="1" applyAlignment="1">
      <alignment horizontal="center" vertical="center" wrapText="1"/>
    </xf>
    <xf numFmtId="164" fontId="43" fillId="3" borderId="2" xfId="5" applyNumberFormat="1" applyFont="1" applyFill="1" applyBorder="1" applyAlignment="1">
      <alignment horizontal="center" vertical="center" shrinkToFit="1"/>
    </xf>
    <xf numFmtId="164" fontId="44" fillId="7" borderId="2" xfId="5" applyNumberFormat="1" applyFont="1" applyFill="1" applyBorder="1" applyAlignment="1">
      <alignment horizontal="center" vertical="center" shrinkToFit="1"/>
    </xf>
    <xf numFmtId="164" fontId="43" fillId="7" borderId="2" xfId="5" applyNumberFormat="1" applyFont="1" applyFill="1" applyBorder="1" applyAlignment="1">
      <alignment horizontal="center" vertical="center" shrinkToFit="1"/>
    </xf>
    <xf numFmtId="164" fontId="45" fillId="7" borderId="2" xfId="5" applyNumberFormat="1" applyFont="1" applyFill="1" applyBorder="1" applyAlignment="1">
      <alignment horizontal="center" vertical="center" wrapText="1"/>
    </xf>
    <xf numFmtId="164" fontId="45" fillId="7" borderId="2" xfId="5" applyNumberFormat="1" applyFont="1" applyFill="1" applyBorder="1" applyAlignment="1">
      <alignment horizontal="center" vertical="center" shrinkToFit="1"/>
    </xf>
    <xf numFmtId="165" fontId="18" fillId="4" borderId="2" xfId="5" applyNumberFormat="1" applyFont="1" applyFill="1" applyBorder="1" applyAlignment="1">
      <alignment horizontal="center" vertical="center" shrinkToFit="1"/>
    </xf>
    <xf numFmtId="165" fontId="45" fillId="3" borderId="2" xfId="5" applyNumberFormat="1" applyFont="1" applyFill="1" applyBorder="1" applyAlignment="1">
      <alignment horizontal="center" vertical="center" shrinkToFit="1"/>
    </xf>
    <xf numFmtId="165" fontId="18" fillId="4" borderId="2" xfId="5" applyNumberFormat="1" applyFont="1" applyFill="1" applyBorder="1" applyAlignment="1">
      <alignment horizontal="center" vertical="center" wrapText="1"/>
    </xf>
    <xf numFmtId="165" fontId="45" fillId="3" borderId="2" xfId="5" applyNumberFormat="1" applyFont="1" applyFill="1" applyBorder="1" applyAlignment="1">
      <alignment horizontal="center" vertical="center" wrapText="1"/>
    </xf>
    <xf numFmtId="165" fontId="45" fillId="0" borderId="2" xfId="5" applyNumberFormat="1" applyFont="1" applyBorder="1" applyAlignment="1">
      <alignment horizontal="center" vertical="center" wrapText="1"/>
    </xf>
    <xf numFmtId="164" fontId="18" fillId="3" borderId="2" xfId="5" applyNumberFormat="1" applyFont="1" applyFill="1" applyBorder="1" applyAlignment="1">
      <alignment horizontal="center" vertical="center" wrapText="1"/>
    </xf>
    <xf numFmtId="0" fontId="46" fillId="0" borderId="2" xfId="5" applyFont="1" applyFill="1" applyBorder="1" applyAlignment="1">
      <alignment horizontal="center" vertical="center" wrapText="1"/>
    </xf>
    <xf numFmtId="164" fontId="19" fillId="4" borderId="2" xfId="5" applyNumberFormat="1" applyFont="1" applyFill="1" applyBorder="1" applyAlignment="1">
      <alignment horizontal="center" vertical="center" wrapText="1"/>
    </xf>
    <xf numFmtId="164" fontId="35" fillId="0" borderId="2" xfId="5" applyNumberFormat="1" applyFont="1" applyFill="1" applyBorder="1" applyAlignment="1">
      <alignment horizontal="center" vertical="center" wrapText="1"/>
    </xf>
    <xf numFmtId="164" fontId="19" fillId="4" borderId="2" xfId="5" applyNumberFormat="1" applyFont="1" applyFill="1" applyBorder="1" applyAlignment="1">
      <alignment horizontal="center" vertical="center" shrinkToFit="1"/>
    </xf>
    <xf numFmtId="164" fontId="35" fillId="0" borderId="2" xfId="5" applyNumberFormat="1" applyFont="1" applyFill="1" applyBorder="1" applyAlignment="1">
      <alignment horizontal="center" vertical="center" shrinkToFit="1"/>
    </xf>
    <xf numFmtId="164" fontId="35" fillId="0" borderId="2" xfId="5" applyNumberFormat="1" applyFont="1" applyBorder="1" applyAlignment="1">
      <alignment horizontal="center" vertical="center" wrapText="1"/>
    </xf>
    <xf numFmtId="0" fontId="41" fillId="0" borderId="2" xfId="5" applyFont="1" applyFill="1" applyBorder="1" applyAlignment="1">
      <alignment horizontal="center" vertical="center" wrapText="1"/>
    </xf>
    <xf numFmtId="164" fontId="19" fillId="7" borderId="2" xfId="5" applyNumberFormat="1" applyFont="1" applyFill="1" applyBorder="1" applyAlignment="1">
      <alignment horizontal="center" vertical="center" wrapText="1"/>
    </xf>
    <xf numFmtId="164" fontId="19" fillId="7" borderId="2" xfId="5" applyNumberFormat="1" applyFont="1" applyFill="1" applyBorder="1" applyAlignment="1">
      <alignment horizontal="center" vertical="center" wrapText="1" shrinkToFit="1"/>
    </xf>
    <xf numFmtId="164" fontId="35" fillId="7" borderId="2" xfId="5" applyNumberFormat="1" applyFont="1" applyFill="1" applyBorder="1" applyAlignment="1">
      <alignment horizontal="center" vertical="center" wrapText="1" shrinkToFit="1"/>
    </xf>
    <xf numFmtId="165" fontId="35" fillId="3" borderId="0" xfId="5" applyNumberFormat="1" applyFont="1" applyFill="1" applyBorder="1" applyAlignment="1">
      <alignment horizontal="center" vertical="center"/>
    </xf>
    <xf numFmtId="165" fontId="19" fillId="3" borderId="0" xfId="5" applyNumberFormat="1" applyFont="1" applyFill="1" applyBorder="1" applyAlignment="1">
      <alignment horizontal="center" vertical="center"/>
    </xf>
    <xf numFmtId="0" fontId="35" fillId="0" borderId="0" xfId="5" applyFont="1"/>
    <xf numFmtId="0" fontId="43" fillId="0" borderId="2" xfId="5" applyFont="1" applyFill="1" applyBorder="1" applyAlignment="1">
      <alignment horizontal="left" vertical="center" wrapText="1"/>
    </xf>
    <xf numFmtId="0" fontId="45" fillId="0" borderId="2" xfId="5" applyFont="1" applyFill="1" applyBorder="1" applyAlignment="1">
      <alignment horizontal="left" vertical="center" wrapText="1"/>
    </xf>
    <xf numFmtId="0" fontId="11" fillId="0" borderId="2" xfId="5" applyFont="1" applyFill="1" applyBorder="1" applyAlignment="1">
      <alignment horizontal="left" vertical="center" wrapText="1"/>
    </xf>
    <xf numFmtId="164" fontId="11" fillId="3" borderId="2" xfId="4" applyNumberFormat="1" applyFont="1" applyFill="1" applyBorder="1" applyAlignment="1">
      <alignment horizontal="center" vertical="center" wrapText="1"/>
    </xf>
    <xf numFmtId="164" fontId="13" fillId="4" borderId="2" xfId="2" applyNumberFormat="1" applyFont="1" applyFill="1" applyBorder="1" applyAlignment="1">
      <alignment horizontal="center" vertical="center" wrapText="1"/>
    </xf>
    <xf numFmtId="164" fontId="35" fillId="0" borderId="2" xfId="2" applyNumberFormat="1" applyFont="1" applyBorder="1" applyAlignment="1">
      <alignment horizontal="center" vertical="center" wrapText="1"/>
    </xf>
    <xf numFmtId="164" fontId="31" fillId="0" borderId="2" xfId="4" applyNumberFormat="1" applyFont="1" applyFill="1" applyBorder="1" applyAlignment="1">
      <alignment horizontal="center" vertical="center" wrapText="1"/>
    </xf>
    <xf numFmtId="164" fontId="35" fillId="0" borderId="2" xfId="2" applyNumberFormat="1" applyFont="1" applyFill="1" applyBorder="1" applyAlignment="1">
      <alignment horizontal="center" vertical="center" wrapText="1"/>
    </xf>
    <xf numFmtId="164" fontId="40" fillId="0" borderId="2" xfId="2" applyNumberFormat="1" applyFont="1" applyFill="1" applyBorder="1" applyAlignment="1">
      <alignment horizontal="center" vertical="center" wrapText="1"/>
    </xf>
    <xf numFmtId="164" fontId="19" fillId="7" borderId="2" xfId="2" applyNumberFormat="1" applyFont="1" applyFill="1" applyBorder="1" applyAlignment="1">
      <alignment horizontal="center" vertical="center" wrapText="1"/>
    </xf>
    <xf numFmtId="164" fontId="13" fillId="7" borderId="2" xfId="2" applyNumberFormat="1" applyFont="1" applyFill="1" applyBorder="1" applyAlignment="1">
      <alignment horizontal="center" vertical="center" wrapText="1"/>
    </xf>
    <xf numFmtId="0" fontId="11" fillId="0" borderId="2" xfId="0" applyFont="1" applyBorder="1" applyAlignment="1">
      <alignment horizontal="center" vertical="center" wrapText="1" shrinkToFit="1"/>
    </xf>
    <xf numFmtId="164" fontId="35" fillId="0" borderId="2" xfId="0" applyNumberFormat="1" applyFont="1" applyFill="1" applyBorder="1" applyAlignment="1">
      <alignment horizontal="center" vertical="center"/>
    </xf>
    <xf numFmtId="164" fontId="13" fillId="0" borderId="2" xfId="4" applyNumberFormat="1" applyFont="1" applyFill="1" applyBorder="1" applyAlignment="1">
      <alignment horizontal="center" vertical="center" wrapText="1"/>
    </xf>
    <xf numFmtId="164" fontId="35" fillId="0" borderId="2" xfId="0" applyNumberFormat="1" applyFont="1" applyBorder="1" applyAlignment="1">
      <alignment horizontal="center" vertical="center" wrapText="1"/>
    </xf>
    <xf numFmtId="165" fontId="11" fillId="0" borderId="2" xfId="0" applyNumberFormat="1" applyFont="1" applyBorder="1" applyAlignment="1">
      <alignment horizontal="center" vertical="center"/>
    </xf>
    <xf numFmtId="164" fontId="35" fillId="0" borderId="2" xfId="0" applyNumberFormat="1" applyFont="1" applyFill="1" applyBorder="1" applyAlignment="1">
      <alignment horizontal="center" vertical="center" wrapText="1"/>
    </xf>
    <xf numFmtId="164" fontId="19" fillId="4" borderId="2" xfId="0" applyNumberFormat="1" applyFont="1" applyFill="1" applyBorder="1" applyAlignment="1">
      <alignment horizontal="center" vertical="center" wrapText="1"/>
    </xf>
    <xf numFmtId="164" fontId="35" fillId="3" borderId="2" xfId="0" applyNumberFormat="1" applyFont="1" applyFill="1" applyBorder="1" applyAlignment="1">
      <alignment horizontal="center" vertical="center" wrapText="1"/>
    </xf>
    <xf numFmtId="164" fontId="40" fillId="0" borderId="2" xfId="0" applyNumberFormat="1" applyFont="1" applyFill="1" applyBorder="1" applyAlignment="1">
      <alignment horizontal="center" vertical="center" wrapText="1"/>
    </xf>
    <xf numFmtId="164" fontId="19" fillId="7" borderId="2" xfId="0" applyNumberFormat="1" applyFont="1" applyFill="1" applyBorder="1" applyAlignment="1">
      <alignment horizontal="center" vertical="center" wrapText="1"/>
    </xf>
    <xf numFmtId="164" fontId="40" fillId="7" borderId="2" xfId="0" applyNumberFormat="1" applyFont="1" applyFill="1" applyBorder="1" applyAlignment="1">
      <alignment horizontal="center" vertical="center" wrapText="1"/>
    </xf>
    <xf numFmtId="164" fontId="38" fillId="4" borderId="2" xfId="0" applyNumberFormat="1" applyFont="1" applyFill="1" applyBorder="1" applyAlignment="1">
      <alignment horizontal="center" vertical="center" wrapText="1"/>
    </xf>
    <xf numFmtId="164" fontId="19" fillId="7" borderId="2" xfId="2" applyNumberFormat="1" applyFont="1" applyFill="1" applyBorder="1" applyAlignment="1">
      <alignment horizontal="center" vertical="center"/>
    </xf>
    <xf numFmtId="164" fontId="35" fillId="7" borderId="2" xfId="2" applyNumberFormat="1" applyFont="1" applyFill="1" applyBorder="1" applyAlignment="1">
      <alignment horizontal="center" vertical="center"/>
    </xf>
    <xf numFmtId="0" fontId="11" fillId="0" borderId="2" xfId="0" applyFont="1" applyFill="1" applyBorder="1" applyAlignment="1">
      <alignment horizontal="left" vertical="center" wrapText="1"/>
    </xf>
    <xf numFmtId="0" fontId="35" fillId="0" borderId="2" xfId="2" applyFont="1" applyBorder="1" applyAlignment="1">
      <alignment horizontal="left" vertical="center" wrapText="1"/>
    </xf>
    <xf numFmtId="49" fontId="11" fillId="0" borderId="2" xfId="0" applyNumberFormat="1" applyFont="1" applyFill="1" applyBorder="1" applyAlignment="1">
      <alignment horizontal="left" vertical="center" wrapText="1"/>
    </xf>
    <xf numFmtId="49" fontId="11" fillId="0" borderId="2" xfId="6" applyNumberFormat="1" applyFont="1" applyFill="1" applyBorder="1" applyAlignment="1">
      <alignment horizontal="left" vertical="center" wrapText="1"/>
    </xf>
    <xf numFmtId="0" fontId="35" fillId="3" borderId="2" xfId="0" applyFont="1" applyFill="1" applyBorder="1" applyAlignment="1">
      <alignment horizontal="left" vertical="center" wrapText="1"/>
    </xf>
    <xf numFmtId="0" fontId="20" fillId="0" borderId="2" xfId="2" applyFont="1" applyBorder="1"/>
    <xf numFmtId="0" fontId="20" fillId="0" borderId="2" xfId="2" applyFont="1" applyBorder="1" applyAlignment="1">
      <alignment horizontal="center" vertical="center"/>
    </xf>
    <xf numFmtId="0" fontId="21" fillId="0" borderId="2" xfId="2" applyFont="1" applyBorder="1" applyAlignment="1">
      <alignment horizontal="center" vertical="center"/>
    </xf>
    <xf numFmtId="0" fontId="20" fillId="0" borderId="2" xfId="2" applyFont="1" applyBorder="1" applyAlignment="1">
      <alignment horizontal="left" wrapText="1"/>
    </xf>
    <xf numFmtId="164" fontId="35" fillId="3" borderId="2" xfId="2" applyNumberFormat="1" applyFont="1" applyFill="1" applyBorder="1" applyAlignment="1">
      <alignment horizontal="center" vertical="center"/>
    </xf>
    <xf numFmtId="164" fontId="19" fillId="3" borderId="2" xfId="2" applyNumberFormat="1" applyFont="1" applyFill="1" applyBorder="1" applyAlignment="1">
      <alignment horizontal="center" vertical="center"/>
    </xf>
    <xf numFmtId="164" fontId="35" fillId="0" borderId="2" xfId="2" applyNumberFormat="1" applyFont="1" applyBorder="1" applyAlignment="1">
      <alignment horizontal="center" vertical="center"/>
    </xf>
    <xf numFmtId="165" fontId="21" fillId="0" borderId="2" xfId="2" applyNumberFormat="1" applyFont="1" applyBorder="1" applyAlignment="1">
      <alignment horizontal="center" vertical="center"/>
    </xf>
    <xf numFmtId="164" fontId="13" fillId="4" borderId="2" xfId="0" applyNumberFormat="1" applyFont="1" applyFill="1" applyBorder="1" applyAlignment="1">
      <alignment horizontal="center" vertical="center"/>
    </xf>
    <xf numFmtId="164" fontId="13" fillId="4" borderId="2" xfId="1" applyNumberFormat="1" applyFont="1" applyFill="1" applyBorder="1" applyAlignment="1">
      <alignment horizontal="center" vertical="center"/>
    </xf>
    <xf numFmtId="164" fontId="19" fillId="4" borderId="2" xfId="0" quotePrefix="1" applyNumberFormat="1" applyFont="1" applyFill="1" applyBorder="1" applyAlignment="1">
      <alignment horizontal="center" vertical="center" wrapText="1"/>
    </xf>
    <xf numFmtId="0" fontId="13" fillId="4" borderId="2" xfId="0" applyFont="1" applyFill="1" applyBorder="1" applyAlignment="1">
      <alignment horizontal="center" vertical="center"/>
    </xf>
    <xf numFmtId="165" fontId="13" fillId="4" borderId="2" xfId="0" applyNumberFormat="1" applyFont="1" applyFill="1" applyBorder="1" applyAlignment="1">
      <alignment horizontal="center" vertical="center"/>
    </xf>
    <xf numFmtId="164" fontId="19" fillId="4" borderId="2" xfId="0" applyNumberFormat="1" applyFont="1" applyFill="1" applyBorder="1"/>
    <xf numFmtId="0" fontId="9" fillId="11" borderId="2" xfId="4" applyFont="1" applyFill="1" applyBorder="1" applyAlignment="1">
      <alignment horizontal="center" vertical="center" wrapText="1"/>
    </xf>
    <xf numFmtId="164" fontId="11" fillId="11" borderId="2" xfId="4" applyNumberFormat="1" applyFont="1" applyFill="1" applyBorder="1" applyAlignment="1">
      <alignment horizontal="center" vertical="center" wrapText="1"/>
    </xf>
    <xf numFmtId="164" fontId="13" fillId="11" borderId="2" xfId="8" applyNumberFormat="1" applyFont="1" applyFill="1" applyBorder="1" applyAlignment="1">
      <alignment horizontal="center" vertical="center" wrapText="1"/>
    </xf>
    <xf numFmtId="164" fontId="13" fillId="11" borderId="2" xfId="4" applyNumberFormat="1" applyFont="1" applyFill="1" applyBorder="1" applyAlignment="1">
      <alignment horizontal="center" vertical="center" wrapText="1"/>
    </xf>
    <xf numFmtId="0" fontId="9" fillId="11" borderId="2" xfId="4" applyNumberFormat="1" applyFont="1" applyFill="1" applyBorder="1" applyAlignment="1">
      <alignment horizontal="center" vertical="center" wrapText="1"/>
    </xf>
    <xf numFmtId="164" fontId="35" fillId="11" borderId="2" xfId="8" applyNumberFormat="1" applyFont="1" applyFill="1" applyBorder="1" applyAlignment="1">
      <alignment horizontal="center" vertical="center" wrapText="1"/>
    </xf>
    <xf numFmtId="164" fontId="41" fillId="11" borderId="2" xfId="8" applyNumberFormat="1" applyFont="1" applyFill="1" applyBorder="1" applyAlignment="1">
      <alignment horizontal="center" vertical="center" wrapText="1"/>
    </xf>
    <xf numFmtId="165" fontId="35" fillId="11" borderId="2" xfId="8" applyNumberFormat="1" applyFont="1" applyFill="1" applyBorder="1" applyAlignment="1">
      <alignment horizontal="center" vertical="center" wrapText="1"/>
    </xf>
    <xf numFmtId="164" fontId="40" fillId="11" borderId="2" xfId="8" applyNumberFormat="1" applyFont="1" applyFill="1" applyBorder="1" applyAlignment="1">
      <alignment horizontal="center" vertical="center" wrapText="1"/>
    </xf>
    <xf numFmtId="3" fontId="9" fillId="11" borderId="2" xfId="4" applyNumberFormat="1" applyFont="1" applyFill="1" applyBorder="1" applyAlignment="1">
      <alignment horizontal="center" vertical="center" wrapText="1"/>
    </xf>
    <xf numFmtId="3" fontId="8" fillId="11" borderId="2" xfId="8" applyNumberFormat="1" applyFont="1" applyFill="1" applyBorder="1" applyAlignment="1">
      <alignment horizontal="center" vertical="center" wrapText="1"/>
    </xf>
    <xf numFmtId="164" fontId="11" fillId="11" borderId="2" xfId="8" applyNumberFormat="1" applyFont="1" applyFill="1" applyBorder="1" applyAlignment="1">
      <alignment horizontal="center" vertical="center" wrapText="1"/>
    </xf>
    <xf numFmtId="3" fontId="9" fillId="11" borderId="2" xfId="0" applyNumberFormat="1" applyFont="1" applyFill="1" applyBorder="1" applyAlignment="1">
      <alignment horizontal="center" vertical="center" wrapText="1"/>
    </xf>
    <xf numFmtId="164" fontId="11" fillId="11" borderId="2" xfId="0" applyNumberFormat="1" applyFont="1" applyFill="1" applyBorder="1" applyAlignment="1">
      <alignment horizontal="center" vertical="center" wrapText="1"/>
    </xf>
    <xf numFmtId="164" fontId="31" fillId="11" borderId="2" xfId="0" applyNumberFormat="1" applyFont="1" applyFill="1" applyBorder="1" applyAlignment="1">
      <alignment horizontal="center" vertical="center" wrapText="1"/>
    </xf>
    <xf numFmtId="164" fontId="43" fillId="11" borderId="2" xfId="5" applyNumberFormat="1" applyFont="1" applyFill="1" applyBorder="1" applyAlignment="1">
      <alignment horizontal="center" vertical="center" wrapText="1"/>
    </xf>
    <xf numFmtId="164" fontId="45" fillId="11" borderId="2" xfId="5" applyNumberFormat="1" applyFont="1" applyFill="1" applyBorder="1" applyAlignment="1">
      <alignment horizontal="center" vertical="center" wrapText="1"/>
    </xf>
    <xf numFmtId="164" fontId="25" fillId="11" borderId="2" xfId="5" applyNumberFormat="1" applyFont="1" applyFill="1" applyBorder="1" applyAlignment="1">
      <alignment horizontal="center" vertical="center" wrapText="1"/>
    </xf>
    <xf numFmtId="164" fontId="23" fillId="11" borderId="2" xfId="5" applyNumberFormat="1" applyFont="1" applyFill="1" applyBorder="1" applyAlignment="1">
      <alignment horizontal="center" vertical="center" wrapText="1"/>
    </xf>
    <xf numFmtId="164" fontId="35" fillId="11" borderId="2" xfId="5" applyNumberFormat="1" applyFont="1" applyFill="1" applyBorder="1" applyAlignment="1">
      <alignment horizontal="center" vertical="center" wrapText="1"/>
    </xf>
    <xf numFmtId="0" fontId="45" fillId="0" borderId="0" xfId="10" applyFont="1"/>
    <xf numFmtId="0" fontId="18" fillId="0" borderId="0" xfId="10" applyFont="1" applyAlignment="1">
      <alignment horizontal="right"/>
    </xf>
    <xf numFmtId="0" fontId="45" fillId="0" borderId="1" xfId="10" applyFont="1" applyBorder="1" applyAlignment="1">
      <alignment vertical="top"/>
    </xf>
    <xf numFmtId="0" fontId="45" fillId="0" borderId="0" xfId="10" applyFont="1" applyBorder="1" applyAlignment="1">
      <alignment vertical="top"/>
    </xf>
    <xf numFmtId="0" fontId="25" fillId="0" borderId="1" xfId="10" applyFont="1" applyBorder="1" applyAlignment="1">
      <alignment horizontal="right"/>
    </xf>
    <xf numFmtId="165" fontId="25" fillId="0" borderId="2" xfId="10" applyNumberFormat="1" applyFont="1" applyBorder="1" applyAlignment="1">
      <alignment horizontal="center" vertical="center" wrapText="1"/>
    </xf>
    <xf numFmtId="49" fontId="25" fillId="0" borderId="2" xfId="4" applyNumberFormat="1" applyFont="1" applyFill="1" applyBorder="1" applyAlignment="1">
      <alignment horizontal="center" vertical="center" wrapText="1"/>
    </xf>
    <xf numFmtId="0" fontId="25" fillId="0" borderId="2" xfId="4" applyFont="1" applyFill="1" applyBorder="1" applyAlignment="1">
      <alignment horizontal="center" vertical="center" wrapText="1"/>
    </xf>
    <xf numFmtId="165" fontId="25" fillId="0" borderId="2" xfId="4" applyNumberFormat="1" applyFont="1" applyFill="1" applyBorder="1" applyAlignment="1">
      <alignment horizontal="center" vertical="center" wrapText="1"/>
    </xf>
    <xf numFmtId="0" fontId="25" fillId="4" borderId="2" xfId="4" applyFont="1" applyFill="1" applyBorder="1" applyAlignment="1">
      <alignment horizontal="center" vertical="center" wrapText="1"/>
    </xf>
    <xf numFmtId="0" fontId="25" fillId="11" borderId="2" xfId="4" applyFont="1" applyFill="1" applyBorder="1" applyAlignment="1">
      <alignment horizontal="center" vertical="center" wrapText="1"/>
    </xf>
    <xf numFmtId="0" fontId="25" fillId="10" borderId="2" xfId="10" applyFont="1" applyFill="1" applyBorder="1" applyAlignment="1">
      <alignment horizontal="center"/>
    </xf>
    <xf numFmtId="0" fontId="47" fillId="0" borderId="0" xfId="10" applyFont="1"/>
    <xf numFmtId="164" fontId="25" fillId="4" borderId="2" xfId="0" applyNumberFormat="1" applyFont="1" applyFill="1" applyBorder="1" applyAlignment="1">
      <alignment horizontal="center" vertical="center" wrapText="1"/>
    </xf>
    <xf numFmtId="164" fontId="25" fillId="0" borderId="2" xfId="0" applyNumberFormat="1" applyFont="1" applyFill="1" applyBorder="1" applyAlignment="1">
      <alignment horizontal="center" vertical="center" wrapText="1"/>
    </xf>
    <xf numFmtId="164" fontId="25" fillId="11" borderId="2" xfId="0" applyNumberFormat="1" applyFont="1" applyFill="1" applyBorder="1" applyAlignment="1">
      <alignment horizontal="center" vertical="center" wrapText="1"/>
    </xf>
    <xf numFmtId="0" fontId="25" fillId="10" borderId="2" xfId="0" applyFont="1" applyFill="1" applyBorder="1" applyAlignment="1">
      <alignment horizontal="left" vertical="center" wrapText="1"/>
    </xf>
    <xf numFmtId="0" fontId="45" fillId="0" borderId="0" xfId="0" applyFont="1"/>
    <xf numFmtId="0" fontId="45" fillId="0" borderId="2" xfId="12" applyFont="1" applyBorder="1" applyAlignment="1">
      <alignment horizontal="left" vertical="center" wrapText="1"/>
    </xf>
    <xf numFmtId="164" fontId="18" fillId="4" borderId="2" xfId="9" applyNumberFormat="1" applyFont="1" applyFill="1" applyBorder="1" applyAlignment="1">
      <alignment horizontal="center" vertical="center" wrapText="1"/>
    </xf>
    <xf numFmtId="164" fontId="45" fillId="3" borderId="2" xfId="11" applyNumberFormat="1" applyFont="1" applyFill="1" applyBorder="1" applyAlignment="1">
      <alignment horizontal="center" vertical="center" wrapText="1"/>
    </xf>
    <xf numFmtId="164" fontId="18" fillId="4" borderId="2" xfId="4" applyNumberFormat="1" applyFont="1" applyFill="1" applyBorder="1" applyAlignment="1">
      <alignment horizontal="center" vertical="center" wrapText="1"/>
    </xf>
    <xf numFmtId="164" fontId="45" fillId="0" borderId="2" xfId="9" applyNumberFormat="1" applyFont="1" applyBorder="1" applyAlignment="1">
      <alignment horizontal="center" vertical="center" wrapText="1"/>
    </xf>
    <xf numFmtId="164" fontId="45" fillId="0" borderId="2" xfId="4" applyNumberFormat="1" applyFont="1" applyFill="1" applyBorder="1" applyAlignment="1">
      <alignment horizontal="center" vertical="center" wrapText="1"/>
    </xf>
    <xf numFmtId="164" fontId="18" fillId="4" borderId="2" xfId="11" applyNumberFormat="1" applyFont="1" applyFill="1" applyBorder="1" applyAlignment="1">
      <alignment horizontal="center" vertical="center" wrapText="1"/>
    </xf>
    <xf numFmtId="0" fontId="32" fillId="10" borderId="2" xfId="4" applyNumberFormat="1" applyFont="1" applyFill="1" applyBorder="1" applyAlignment="1">
      <alignment horizontal="left" vertical="center" wrapText="1"/>
    </xf>
    <xf numFmtId="164" fontId="45" fillId="0" borderId="0" xfId="0" applyNumberFormat="1" applyFont="1"/>
    <xf numFmtId="164" fontId="18" fillId="3" borderId="2" xfId="11" applyNumberFormat="1" applyFont="1" applyFill="1" applyBorder="1" applyAlignment="1">
      <alignment horizontal="center" vertical="center" wrapText="1"/>
    </xf>
    <xf numFmtId="0" fontId="32" fillId="10" borderId="2" xfId="4" applyNumberFormat="1" applyFont="1" applyFill="1" applyBorder="1" applyAlignment="1">
      <alignment vertical="center" wrapText="1"/>
    </xf>
    <xf numFmtId="49" fontId="32" fillId="0" borderId="2" xfId="0" applyNumberFormat="1" applyFont="1" applyFill="1" applyBorder="1" applyAlignment="1">
      <alignment horizontal="center" vertical="center" wrapText="1"/>
    </xf>
    <xf numFmtId="49" fontId="45" fillId="0" borderId="2" xfId="0" applyNumberFormat="1" applyFont="1" applyFill="1" applyBorder="1" applyAlignment="1">
      <alignment horizontal="left" vertical="center" wrapText="1"/>
    </xf>
    <xf numFmtId="0" fontId="45" fillId="0" borderId="2" xfId="0" applyFont="1" applyFill="1" applyBorder="1" applyAlignment="1">
      <alignment horizontal="left" vertical="center" wrapText="1"/>
    </xf>
    <xf numFmtId="0" fontId="32" fillId="0" borderId="2" xfId="0" applyFont="1" applyFill="1" applyBorder="1" applyAlignment="1">
      <alignment horizontal="center" vertical="center" wrapText="1"/>
    </xf>
    <xf numFmtId="164" fontId="18" fillId="5" borderId="2" xfId="4" applyNumberFormat="1" applyFont="1" applyFill="1" applyBorder="1" applyAlignment="1">
      <alignment horizontal="center" vertical="center" wrapText="1"/>
    </xf>
    <xf numFmtId="164" fontId="18" fillId="7" borderId="2" xfId="0" applyNumberFormat="1" applyFont="1" applyFill="1" applyBorder="1" applyAlignment="1">
      <alignment horizontal="center" vertical="center" wrapText="1"/>
    </xf>
    <xf numFmtId="164" fontId="18" fillId="7" borderId="2" xfId="11" applyNumberFormat="1" applyFont="1" applyFill="1" applyBorder="1" applyAlignment="1">
      <alignment horizontal="center" vertical="center" wrapText="1"/>
    </xf>
    <xf numFmtId="165" fontId="32" fillId="7" borderId="2" xfId="0" applyNumberFormat="1" applyFont="1" applyFill="1" applyBorder="1" applyAlignment="1">
      <alignment horizontal="left" vertical="center" wrapText="1"/>
    </xf>
    <xf numFmtId="0" fontId="45" fillId="0" borderId="2" xfId="4" applyFont="1" applyBorder="1" applyAlignment="1">
      <alignment horizontal="left" vertical="center" wrapText="1"/>
    </xf>
    <xf numFmtId="0" fontId="25" fillId="10" borderId="2" xfId="10" applyFont="1" applyFill="1" applyBorder="1" applyAlignment="1">
      <alignment vertical="center" wrapText="1"/>
    </xf>
    <xf numFmtId="0" fontId="25" fillId="10" borderId="2" xfId="4" applyFont="1" applyFill="1" applyBorder="1" applyAlignment="1">
      <alignment horizontal="left" vertical="center" wrapText="1"/>
    </xf>
    <xf numFmtId="164" fontId="18" fillId="7" borderId="2" xfId="10" applyNumberFormat="1" applyFont="1" applyFill="1" applyBorder="1" applyAlignment="1">
      <alignment horizontal="center" vertical="center" wrapText="1"/>
    </xf>
    <xf numFmtId="164" fontId="45" fillId="7" borderId="2" xfId="11" applyNumberFormat="1" applyFont="1" applyFill="1" applyBorder="1" applyAlignment="1">
      <alignment horizontal="center" vertical="center" wrapText="1"/>
    </xf>
    <xf numFmtId="0" fontId="25" fillId="7" borderId="2" xfId="10" applyFont="1" applyFill="1" applyBorder="1" applyAlignment="1">
      <alignment horizontal="left"/>
    </xf>
    <xf numFmtId="164" fontId="45" fillId="7" borderId="2" xfId="10" applyNumberFormat="1" applyFont="1" applyFill="1" applyBorder="1" applyAlignment="1">
      <alignment horizontal="center" vertical="center" wrapText="1"/>
    </xf>
    <xf numFmtId="0" fontId="45" fillId="0" borderId="2" xfId="4" applyFont="1" applyBorder="1" applyAlignment="1">
      <alignment horizontal="center" vertical="center" wrapText="1"/>
    </xf>
    <xf numFmtId="0" fontId="25" fillId="10" borderId="2" xfId="10" applyFont="1" applyFill="1" applyBorder="1" applyAlignment="1">
      <alignment horizontal="left"/>
    </xf>
    <xf numFmtId="0" fontId="25" fillId="10" borderId="2" xfId="10" applyFont="1" applyFill="1" applyBorder="1" applyAlignment="1">
      <alignment horizontal="left" wrapText="1"/>
    </xf>
    <xf numFmtId="0" fontId="25" fillId="0" borderId="2" xfId="10" quotePrefix="1" applyFont="1" applyBorder="1" applyAlignment="1">
      <alignment horizontal="center" vertical="center"/>
    </xf>
    <xf numFmtId="0" fontId="45" fillId="0" borderId="2" xfId="10" applyFont="1" applyBorder="1" applyAlignment="1">
      <alignment wrapText="1"/>
    </xf>
    <xf numFmtId="0" fontId="25" fillId="0" borderId="2" xfId="10" applyFont="1" applyBorder="1" applyAlignment="1">
      <alignment horizontal="center" vertical="center"/>
    </xf>
    <xf numFmtId="164" fontId="50" fillId="7" borderId="2" xfId="10" applyNumberFormat="1" applyFont="1" applyFill="1" applyBorder="1" applyAlignment="1">
      <alignment horizontal="left" vertical="center" wrapText="1"/>
    </xf>
    <xf numFmtId="0" fontId="25" fillId="7" borderId="2" xfId="10" applyFont="1" applyFill="1" applyBorder="1" applyAlignment="1">
      <alignment horizontal="left" vertical="center" wrapText="1"/>
    </xf>
    <xf numFmtId="0" fontId="25" fillId="9" borderId="2" xfId="10" applyFont="1" applyFill="1" applyBorder="1" applyAlignment="1">
      <alignment horizontal="center" vertical="center" wrapText="1"/>
    </xf>
    <xf numFmtId="0" fontId="45" fillId="9" borderId="2" xfId="10" applyFont="1" applyFill="1" applyBorder="1" applyAlignment="1">
      <alignment horizontal="left" vertical="center"/>
    </xf>
    <xf numFmtId="49" fontId="25" fillId="10" borderId="2" xfId="10" applyNumberFormat="1" applyFont="1" applyFill="1" applyBorder="1" applyAlignment="1">
      <alignment vertical="center" wrapText="1"/>
    </xf>
    <xf numFmtId="0" fontId="45" fillId="0" borderId="2" xfId="0" applyFont="1" applyBorder="1" applyAlignment="1">
      <alignment vertical="center" wrapText="1"/>
    </xf>
    <xf numFmtId="0" fontId="25" fillId="7" borderId="2" xfId="10" applyFont="1" applyFill="1" applyBorder="1"/>
    <xf numFmtId="164" fontId="18" fillId="4" borderId="2" xfId="5" applyNumberFormat="1" applyFont="1" applyFill="1" applyBorder="1" applyAlignment="1">
      <alignment horizontal="center" vertical="center" wrapText="1" shrinkToFit="1"/>
    </xf>
    <xf numFmtId="164" fontId="25" fillId="7" borderId="2" xfId="5" applyNumberFormat="1" applyFont="1" applyFill="1" applyBorder="1" applyAlignment="1">
      <alignment horizontal="center" vertical="center" wrapText="1"/>
    </xf>
    <xf numFmtId="49" fontId="25" fillId="0" borderId="0" xfId="10" quotePrefix="1" applyNumberFormat="1" applyFont="1" applyFill="1" applyBorder="1" applyAlignment="1">
      <alignment horizontal="center" vertical="center" wrapText="1"/>
    </xf>
    <xf numFmtId="0" fontId="25" fillId="0" borderId="0" xfId="10" applyFont="1" applyFill="1" applyBorder="1" applyAlignment="1">
      <alignment horizontal="center" vertical="center" wrapText="1"/>
    </xf>
    <xf numFmtId="164" fontId="25" fillId="0" borderId="0" xfId="10" applyNumberFormat="1" applyFont="1" applyFill="1" applyBorder="1" applyAlignment="1">
      <alignment horizontal="center" vertical="center" wrapText="1"/>
    </xf>
    <xf numFmtId="164" fontId="25" fillId="0" borderId="0" xfId="11" applyNumberFormat="1" applyFont="1" applyFill="1" applyBorder="1" applyAlignment="1">
      <alignment horizontal="center" vertical="center" wrapText="1"/>
    </xf>
    <xf numFmtId="0" fontId="25" fillId="0" borderId="0" xfId="10" applyFont="1" applyFill="1" applyBorder="1"/>
    <xf numFmtId="0" fontId="45" fillId="0" borderId="0" xfId="10" applyFont="1" applyFill="1"/>
    <xf numFmtId="0" fontId="32" fillId="0" borderId="0" xfId="10" applyFont="1" applyFill="1"/>
    <xf numFmtId="0" fontId="32" fillId="0" borderId="0" xfId="10" applyFont="1"/>
    <xf numFmtId="165" fontId="9" fillId="10" borderId="2" xfId="8" applyNumberFormat="1" applyFont="1" applyFill="1" applyBorder="1" applyAlignment="1">
      <alignment horizontal="left" vertical="center" wrapText="1"/>
    </xf>
    <xf numFmtId="3" fontId="9" fillId="0" borderId="2" xfId="4" applyNumberFormat="1" applyFont="1" applyFill="1" applyBorder="1" applyAlignment="1">
      <alignment horizontal="center" vertical="center" wrapText="1"/>
    </xf>
    <xf numFmtId="49" fontId="9" fillId="0" borderId="2" xfId="4" applyNumberFormat="1" applyFont="1" applyFill="1" applyBorder="1" applyAlignment="1">
      <alignment horizontal="center" vertical="center" wrapText="1"/>
    </xf>
    <xf numFmtId="165" fontId="20" fillId="0" borderId="0" xfId="5" applyNumberFormat="1" applyFont="1"/>
    <xf numFmtId="165" fontId="11" fillId="12" borderId="0" xfId="8" applyNumberFormat="1" applyFont="1" applyFill="1"/>
    <xf numFmtId="164" fontId="11" fillId="12" borderId="0" xfId="8" applyNumberFormat="1" applyFont="1" applyFill="1"/>
    <xf numFmtId="0" fontId="11" fillId="0" borderId="0" xfId="5" applyFont="1" applyFill="1"/>
    <xf numFmtId="0" fontId="33" fillId="0" borderId="2" xfId="5" applyFont="1" applyFill="1" applyBorder="1" applyAlignment="1">
      <alignment horizontal="center" vertical="center" wrapText="1"/>
    </xf>
    <xf numFmtId="0" fontId="47" fillId="0" borderId="2" xfId="5" applyFont="1" applyFill="1" applyBorder="1" applyAlignment="1">
      <alignment horizontal="center" vertical="center" wrapText="1"/>
    </xf>
    <xf numFmtId="0" fontId="47" fillId="0" borderId="2" xfId="0" applyFont="1" applyFill="1" applyBorder="1" applyAlignment="1">
      <alignment vertical="center" wrapText="1"/>
    </xf>
    <xf numFmtId="0" fontId="54" fillId="0" borderId="2" xfId="0" applyFont="1" applyFill="1" applyBorder="1" applyAlignment="1">
      <alignment vertical="center" wrapText="1"/>
    </xf>
    <xf numFmtId="0" fontId="31" fillId="0" borderId="2" xfId="0" applyFont="1" applyFill="1" applyBorder="1" applyAlignment="1">
      <alignment vertical="center" wrapText="1"/>
    </xf>
    <xf numFmtId="0" fontId="31" fillId="0" borderId="2" xfId="0" applyFont="1" applyFill="1" applyBorder="1" applyAlignment="1">
      <alignment vertical="center"/>
    </xf>
    <xf numFmtId="0" fontId="47" fillId="0" borderId="2" xfId="0" applyFont="1" applyFill="1" applyBorder="1" applyAlignment="1">
      <alignment vertical="center"/>
    </xf>
    <xf numFmtId="0" fontId="46" fillId="0" borderId="2" xfId="0" applyFont="1" applyFill="1" applyBorder="1" applyAlignment="1">
      <alignment vertical="center" wrapText="1"/>
    </xf>
    <xf numFmtId="0" fontId="20" fillId="0" borderId="0" xfId="5" applyFont="1" applyFill="1"/>
    <xf numFmtId="0" fontId="20" fillId="0" borderId="0" xfId="5" applyFont="1" applyFill="1" applyAlignment="1">
      <alignment horizontal="left" wrapText="1"/>
    </xf>
    <xf numFmtId="164" fontId="43" fillId="4" borderId="2" xfId="5" applyNumberFormat="1" applyFont="1" applyFill="1" applyBorder="1" applyAlignment="1">
      <alignment horizontal="center" vertical="center" wrapText="1"/>
    </xf>
    <xf numFmtId="164" fontId="43" fillId="4" borderId="2" xfId="5" applyNumberFormat="1" applyFont="1" applyFill="1" applyBorder="1" applyAlignment="1">
      <alignment horizontal="center" vertical="center" shrinkToFit="1"/>
    </xf>
    <xf numFmtId="0" fontId="55" fillId="0" borderId="0" xfId="3" applyFont="1" applyAlignment="1">
      <alignment vertical="center" wrapText="1"/>
    </xf>
    <xf numFmtId="164" fontId="9" fillId="0" borderId="2" xfId="0" quotePrefix="1" applyNumberFormat="1" applyFont="1" applyFill="1" applyBorder="1" applyAlignment="1">
      <alignment vertical="center" wrapText="1"/>
    </xf>
    <xf numFmtId="164" fontId="11" fillId="0" borderId="2" xfId="0" quotePrefix="1" applyNumberFormat="1" applyFont="1" applyFill="1" applyBorder="1" applyAlignment="1">
      <alignment horizontal="left" vertical="center" wrapText="1"/>
    </xf>
    <xf numFmtId="164" fontId="31" fillId="0" borderId="2" xfId="0" applyNumberFormat="1" applyFont="1" applyFill="1" applyBorder="1" applyAlignment="1">
      <alignment horizontal="left" vertical="center" wrapText="1"/>
    </xf>
    <xf numFmtId="164" fontId="9" fillId="0" borderId="2" xfId="0" quotePrefix="1" applyNumberFormat="1" applyFont="1" applyFill="1" applyBorder="1" applyAlignment="1">
      <alignment horizontal="center" vertical="center" wrapText="1"/>
    </xf>
    <xf numFmtId="164" fontId="9" fillId="0" borderId="2" xfId="0" applyNumberFormat="1" applyFont="1" applyFill="1" applyBorder="1" applyAlignment="1">
      <alignment vertical="center" wrapText="1"/>
    </xf>
    <xf numFmtId="164" fontId="9" fillId="0" borderId="2" xfId="0" quotePrefix="1" applyNumberFormat="1" applyFont="1" applyFill="1" applyBorder="1" applyAlignment="1">
      <alignment vertical="center"/>
    </xf>
    <xf numFmtId="164" fontId="11" fillId="0" borderId="2" xfId="0" applyNumberFormat="1" applyFont="1" applyFill="1" applyBorder="1" applyAlignment="1">
      <alignment horizontal="left" vertical="center" wrapText="1"/>
    </xf>
    <xf numFmtId="164" fontId="9" fillId="0" borderId="0" xfId="0" applyNumberFormat="1" applyFont="1" applyFill="1"/>
    <xf numFmtId="164" fontId="9" fillId="0" borderId="0" xfId="0" applyNumberFormat="1" applyFont="1" applyFill="1" applyAlignment="1">
      <alignment wrapText="1"/>
    </xf>
    <xf numFmtId="0" fontId="9" fillId="0" borderId="2" xfId="3" quotePrefix="1" applyFont="1" applyFill="1" applyBorder="1" applyAlignment="1">
      <alignment horizontal="left" vertical="center" wrapText="1"/>
    </xf>
    <xf numFmtId="0" fontId="9" fillId="0" borderId="2" xfId="3" applyFont="1" applyFill="1" applyBorder="1" applyAlignment="1">
      <alignment horizontal="left" vertical="center" wrapText="1"/>
    </xf>
    <xf numFmtId="165" fontId="29" fillId="0" borderId="2" xfId="0" applyNumberFormat="1" applyFont="1" applyFill="1" applyBorder="1" applyAlignment="1">
      <alignment horizontal="center" vertical="top"/>
    </xf>
    <xf numFmtId="165" fontId="56" fillId="4" borderId="2" xfId="0" applyNumberFormat="1" applyFont="1" applyFill="1" applyBorder="1" applyAlignment="1">
      <alignment horizontal="center" vertical="top"/>
    </xf>
    <xf numFmtId="0" fontId="57" fillId="10" borderId="2" xfId="0" applyFont="1" applyFill="1" applyBorder="1"/>
    <xf numFmtId="0" fontId="57" fillId="10" borderId="2" xfId="0" applyFont="1" applyFill="1" applyBorder="1" applyAlignment="1">
      <alignment wrapText="1"/>
    </xf>
    <xf numFmtId="0" fontId="9" fillId="0" borderId="2" xfId="8" applyFont="1" applyBorder="1" applyAlignment="1">
      <alignment horizontal="center" vertical="center" wrapText="1"/>
    </xf>
    <xf numFmtId="0" fontId="9" fillId="0" borderId="2" xfId="8" applyFont="1" applyFill="1" applyBorder="1" applyAlignment="1">
      <alignment horizontal="center" vertical="center" wrapText="1"/>
    </xf>
    <xf numFmtId="0" fontId="8" fillId="7" borderId="2" xfId="8" applyFont="1" applyFill="1" applyBorder="1" applyAlignment="1">
      <alignment horizontal="center" vertical="center" wrapText="1"/>
    </xf>
    <xf numFmtId="164" fontId="9" fillId="4" borderId="2" xfId="0" applyNumberFormat="1" applyFont="1" applyFill="1" applyBorder="1" applyAlignment="1">
      <alignment horizontal="center" vertical="center"/>
    </xf>
    <xf numFmtId="164" fontId="45" fillId="0" borderId="2" xfId="5" applyNumberFormat="1" applyFont="1" applyFill="1" applyBorder="1" applyAlignment="1">
      <alignment horizontal="center" vertical="center" wrapText="1"/>
    </xf>
    <xf numFmtId="164" fontId="19" fillId="5" borderId="2" xfId="5" applyNumberFormat="1" applyFont="1" applyFill="1" applyBorder="1" applyAlignment="1">
      <alignment horizontal="center" vertical="center" wrapText="1"/>
    </xf>
    <xf numFmtId="164" fontId="13" fillId="7" borderId="2" xfId="8" applyNumberFormat="1" applyFont="1" applyFill="1" applyBorder="1" applyAlignment="1">
      <alignment horizontal="center"/>
    </xf>
    <xf numFmtId="164" fontId="39" fillId="0" borderId="2" xfId="4" applyNumberFormat="1" applyFont="1" applyFill="1" applyBorder="1" applyAlignment="1">
      <alignment horizontal="center" vertical="center" wrapText="1"/>
    </xf>
    <xf numFmtId="164" fontId="39" fillId="11" borderId="2" xfId="4" applyNumberFormat="1" applyFont="1" applyFill="1" applyBorder="1" applyAlignment="1">
      <alignment horizontal="center" vertical="center" wrapText="1"/>
    </xf>
    <xf numFmtId="1" fontId="31" fillId="0" borderId="2" xfId="4" applyNumberFormat="1" applyFont="1" applyFill="1" applyBorder="1" applyAlignment="1">
      <alignment horizontal="right" vertical="center"/>
    </xf>
    <xf numFmtId="0" fontId="25" fillId="0" borderId="2" xfId="0" quotePrefix="1" applyFont="1" applyFill="1" applyBorder="1" applyAlignment="1">
      <alignment vertical="center" wrapText="1"/>
    </xf>
    <xf numFmtId="0" fontId="25" fillId="0" borderId="2" xfId="0" applyFont="1" applyFill="1" applyBorder="1" applyAlignment="1">
      <alignment vertical="center" wrapText="1"/>
    </xf>
    <xf numFmtId="0" fontId="9" fillId="0" borderId="2" xfId="4" applyFont="1" applyFill="1" applyBorder="1" applyAlignment="1">
      <alignment horizontal="center" vertical="center" wrapText="1"/>
    </xf>
    <xf numFmtId="49" fontId="9" fillId="0" borderId="2" xfId="4" applyNumberFormat="1" applyFont="1" applyFill="1" applyBorder="1" applyAlignment="1">
      <alignment horizontal="center" vertical="center" wrapText="1"/>
    </xf>
    <xf numFmtId="0" fontId="9" fillId="0" borderId="2" xfId="3" applyFont="1" applyFill="1" applyBorder="1" applyAlignment="1">
      <alignment horizontal="center" vertical="center" wrapText="1"/>
    </xf>
    <xf numFmtId="0" fontId="11" fillId="0" borderId="2" xfId="3" applyFont="1" applyFill="1" applyBorder="1" applyAlignment="1">
      <alignment horizontal="left" vertical="center" wrapText="1"/>
    </xf>
    <xf numFmtId="0" fontId="9" fillId="0" borderId="2" xfId="3" quotePrefix="1" applyFont="1" applyFill="1" applyBorder="1" applyAlignment="1">
      <alignment horizontal="center" vertical="center" wrapText="1"/>
    </xf>
    <xf numFmtId="0" fontId="9" fillId="0" borderId="2" xfId="5" applyFont="1" applyBorder="1" applyAlignment="1">
      <alignment horizontal="center" vertical="center" wrapText="1"/>
    </xf>
    <xf numFmtId="165" fontId="9" fillId="0" borderId="2" xfId="5" applyNumberFormat="1" applyFont="1" applyBorder="1" applyAlignment="1">
      <alignment horizontal="center" vertical="center" wrapText="1"/>
    </xf>
    <xf numFmtId="0" fontId="23" fillId="0" borderId="2" xfId="5" applyFont="1" applyBorder="1" applyAlignment="1">
      <alignment horizontal="center" vertical="center" wrapText="1"/>
    </xf>
    <xf numFmtId="0" fontId="25" fillId="0" borderId="2" xfId="5" applyFont="1" applyBorder="1" applyAlignment="1">
      <alignment horizontal="center" vertical="center" wrapText="1"/>
    </xf>
    <xf numFmtId="0" fontId="2" fillId="0" borderId="2" xfId="5" applyFont="1" applyBorder="1" applyAlignment="1">
      <alignment horizontal="center" vertical="center" wrapText="1"/>
    </xf>
    <xf numFmtId="165" fontId="9" fillId="10" borderId="2" xfId="5" applyNumberFormat="1" applyFont="1" applyFill="1" applyBorder="1" applyAlignment="1">
      <alignment horizontal="left" vertical="center" wrapText="1"/>
    </xf>
    <xf numFmtId="165" fontId="9" fillId="10" borderId="2" xfId="5" applyNumberFormat="1" applyFont="1" applyFill="1" applyBorder="1" applyAlignment="1">
      <alignment vertical="center" wrapText="1"/>
    </xf>
    <xf numFmtId="165" fontId="9" fillId="10" borderId="2" xfId="5"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quotePrefix="1" applyFont="1" applyBorder="1" applyAlignment="1">
      <alignment horizontal="center" vertical="center" wrapText="1"/>
    </xf>
    <xf numFmtId="0" fontId="2" fillId="0" borderId="2" xfId="2" applyFont="1" applyBorder="1" applyAlignment="1">
      <alignment horizontal="center" vertical="center" wrapText="1"/>
    </xf>
    <xf numFmtId="0" fontId="2" fillId="0" borderId="2" xfId="0" applyFont="1" applyBorder="1" applyAlignment="1">
      <alignment horizontal="center" vertical="center" wrapText="1"/>
    </xf>
    <xf numFmtId="165" fontId="9" fillId="10" borderId="2" xfId="0" applyNumberFormat="1" applyFont="1" applyFill="1" applyBorder="1" applyAlignment="1">
      <alignment horizontal="left" vertical="center" wrapText="1"/>
    </xf>
    <xf numFmtId="0" fontId="9" fillId="0" borderId="2" xfId="2" applyFont="1" applyBorder="1" applyAlignment="1">
      <alignment horizontal="center" vertical="center" wrapText="1"/>
    </xf>
    <xf numFmtId="165" fontId="9" fillId="0" borderId="2" xfId="2" applyNumberFormat="1" applyFont="1" applyBorder="1" applyAlignment="1">
      <alignment horizontal="center" vertical="center" wrapText="1"/>
    </xf>
    <xf numFmtId="0" fontId="25" fillId="0" borderId="2" xfId="10" applyFont="1" applyFill="1" applyBorder="1" applyAlignment="1">
      <alignment horizontal="center" vertical="center" wrapText="1"/>
    </xf>
    <xf numFmtId="0" fontId="25" fillId="10" borderId="2" xfId="10" applyFont="1" applyFill="1" applyBorder="1" applyAlignment="1">
      <alignment horizontal="left" vertical="center" wrapText="1"/>
    </xf>
    <xf numFmtId="164" fontId="18" fillId="4" borderId="2" xfId="10" applyNumberFormat="1" applyFont="1" applyFill="1" applyBorder="1" applyAlignment="1">
      <alignment horizontal="center" vertical="center" wrapText="1"/>
    </xf>
    <xf numFmtId="164" fontId="45" fillId="0" borderId="2" xfId="10" applyNumberFormat="1" applyFont="1" applyFill="1" applyBorder="1" applyAlignment="1">
      <alignment horizontal="center" vertical="center" wrapText="1"/>
    </xf>
    <xf numFmtId="164" fontId="45" fillId="11" borderId="2" xfId="11" applyNumberFormat="1" applyFont="1" applyFill="1" applyBorder="1" applyAlignment="1">
      <alignment horizontal="center" vertical="center" wrapText="1"/>
    </xf>
    <xf numFmtId="49" fontId="25" fillId="10" borderId="2" xfId="10" applyNumberFormat="1" applyFont="1" applyFill="1" applyBorder="1" applyAlignment="1">
      <alignment horizontal="left" vertical="center" wrapText="1"/>
    </xf>
    <xf numFmtId="0" fontId="45" fillId="0" borderId="2" xfId="10" applyFont="1" applyFill="1" applyBorder="1" applyAlignment="1">
      <alignment horizontal="left" vertical="center" wrapText="1"/>
    </xf>
    <xf numFmtId="0" fontId="25" fillId="0" borderId="2" xfId="0" applyFont="1" applyFill="1" applyBorder="1" applyAlignment="1">
      <alignment horizontal="center" vertical="center" wrapText="1"/>
    </xf>
    <xf numFmtId="0" fontId="43" fillId="0" borderId="0" xfId="2" applyFont="1"/>
    <xf numFmtId="0" fontId="11" fillId="10" borderId="2" xfId="8" applyFont="1" applyFill="1" applyBorder="1" applyAlignment="1">
      <alignment horizontal="center"/>
    </xf>
    <xf numFmtId="164" fontId="13" fillId="7" borderId="2" xfId="3" applyNumberFormat="1" applyFont="1" applyFill="1" applyBorder="1" applyAlignment="1">
      <alignment horizontal="center" vertical="center" wrapText="1"/>
    </xf>
    <xf numFmtId="164" fontId="13" fillId="7" borderId="2" xfId="5" applyNumberFormat="1" applyFont="1" applyFill="1" applyBorder="1" applyAlignment="1">
      <alignment horizontal="center" vertical="center" wrapText="1"/>
    </xf>
    <xf numFmtId="164" fontId="38" fillId="7" borderId="2" xfId="0" applyNumberFormat="1" applyFont="1" applyFill="1" applyBorder="1" applyAlignment="1">
      <alignment horizontal="center" vertical="center" wrapText="1"/>
    </xf>
    <xf numFmtId="164" fontId="13" fillId="7" borderId="2" xfId="11" applyNumberFormat="1" applyFont="1" applyFill="1" applyBorder="1" applyAlignment="1">
      <alignment horizontal="center" vertical="center" wrapText="1"/>
    </xf>
    <xf numFmtId="0" fontId="11" fillId="0" borderId="0" xfId="12" applyFont="1"/>
    <xf numFmtId="0" fontId="13" fillId="0" borderId="0" xfId="12" applyFont="1" applyAlignment="1">
      <alignment horizontal="center"/>
    </xf>
    <xf numFmtId="0" fontId="11" fillId="0" borderId="0" xfId="12" applyFont="1" applyAlignment="1">
      <alignment horizontal="center" vertical="center" wrapText="1"/>
    </xf>
    <xf numFmtId="165" fontId="11" fillId="0" borderId="2" xfId="4" applyNumberFormat="1" applyFont="1" applyFill="1" applyBorder="1" applyAlignment="1">
      <alignment horizontal="center" vertical="center" wrapText="1"/>
    </xf>
    <xf numFmtId="0" fontId="11" fillId="0" borderId="2" xfId="4" applyFont="1" applyFill="1" applyBorder="1" applyAlignment="1">
      <alignment horizontal="center" vertical="center" wrapText="1"/>
    </xf>
    <xf numFmtId="1" fontId="11" fillId="13" borderId="2" xfId="4" applyNumberFormat="1" applyFont="1" applyFill="1" applyBorder="1" applyAlignment="1">
      <alignment horizontal="center" vertical="center" wrapText="1"/>
    </xf>
    <xf numFmtId="1" fontId="11" fillId="0" borderId="2" xfId="4" applyNumberFormat="1" applyFont="1" applyFill="1" applyBorder="1" applyAlignment="1">
      <alignment horizontal="center" vertical="center" wrapText="1"/>
    </xf>
    <xf numFmtId="1" fontId="11" fillId="13" borderId="2" xfId="12" applyNumberFormat="1" applyFont="1" applyFill="1" applyBorder="1" applyAlignment="1">
      <alignment horizontal="center" vertical="center" wrapText="1"/>
    </xf>
    <xf numFmtId="164" fontId="37" fillId="13" borderId="2" xfId="12" applyNumberFormat="1" applyFont="1" applyFill="1" applyBorder="1" applyAlignment="1">
      <alignment horizontal="center" vertical="center" wrapText="1"/>
    </xf>
    <xf numFmtId="164" fontId="37" fillId="4" borderId="2" xfId="12" applyNumberFormat="1" applyFont="1" applyFill="1" applyBorder="1" applyAlignment="1">
      <alignment horizontal="center" vertical="center" wrapText="1"/>
    </xf>
    <xf numFmtId="49" fontId="11" fillId="0" borderId="2" xfId="12" applyNumberFormat="1" applyFont="1" applyFill="1" applyBorder="1" applyAlignment="1">
      <alignment horizontal="center" vertical="center" wrapText="1"/>
    </xf>
    <xf numFmtId="0" fontId="11" fillId="0" borderId="2" xfId="12" applyFont="1" applyFill="1" applyBorder="1" applyAlignment="1">
      <alignment horizontal="center" vertical="center" wrapText="1"/>
    </xf>
    <xf numFmtId="164" fontId="11" fillId="13" borderId="2" xfId="12" applyNumberFormat="1" applyFont="1" applyFill="1" applyBorder="1" applyAlignment="1">
      <alignment horizontal="center" vertical="center" wrapText="1"/>
    </xf>
    <xf numFmtId="164" fontId="11" fillId="0" borderId="2" xfId="12" applyNumberFormat="1" applyFont="1" applyBorder="1" applyAlignment="1">
      <alignment horizontal="center" vertical="center" wrapText="1"/>
    </xf>
    <xf numFmtId="49" fontId="11" fillId="0" borderId="2" xfId="12" quotePrefix="1" applyNumberFormat="1" applyFont="1" applyFill="1" applyBorder="1" applyAlignment="1">
      <alignment horizontal="center" vertical="center" wrapText="1"/>
    </xf>
    <xf numFmtId="164" fontId="11" fillId="0" borderId="2" xfId="12" applyNumberFormat="1" applyFont="1" applyFill="1" applyBorder="1" applyAlignment="1">
      <alignment horizontal="center" vertical="center" wrapText="1"/>
    </xf>
    <xf numFmtId="164" fontId="13" fillId="13" borderId="2" xfId="12" applyNumberFormat="1" applyFont="1" applyFill="1" applyBorder="1" applyAlignment="1">
      <alignment horizontal="center" vertical="center" wrapText="1"/>
    </xf>
    <xf numFmtId="0" fontId="11" fillId="0" borderId="0" xfId="12" applyFont="1" applyAlignment="1">
      <alignment vertical="center" wrapText="1"/>
    </xf>
    <xf numFmtId="165" fontId="11" fillId="0" borderId="0" xfId="12" applyNumberFormat="1" applyFont="1"/>
    <xf numFmtId="164" fontId="11" fillId="0" borderId="0" xfId="12" applyNumberFormat="1" applyFont="1"/>
    <xf numFmtId="3" fontId="13" fillId="0" borderId="0" xfId="8" applyNumberFormat="1" applyFont="1" applyAlignment="1">
      <alignment horizontal="right"/>
    </xf>
    <xf numFmtId="165" fontId="13" fillId="0" borderId="0" xfId="3" applyNumberFormat="1" applyFont="1" applyAlignment="1">
      <alignment horizontal="right" vertical="center"/>
    </xf>
    <xf numFmtId="165" fontId="13" fillId="0" borderId="0" xfId="5" applyNumberFormat="1" applyFont="1" applyAlignment="1">
      <alignment horizontal="right" vertical="center"/>
    </xf>
    <xf numFmtId="164" fontId="11" fillId="0" borderId="0" xfId="12" applyNumberFormat="1" applyFont="1" applyAlignment="1">
      <alignment horizontal="center" vertical="center" wrapText="1"/>
    </xf>
    <xf numFmtId="0" fontId="23" fillId="0" borderId="2" xfId="5" applyFont="1" applyBorder="1" applyAlignment="1">
      <alignment horizontal="center" vertical="center" wrapText="1"/>
    </xf>
    <xf numFmtId="0" fontId="2" fillId="0" borderId="2" xfId="5" applyFont="1" applyBorder="1" applyAlignment="1">
      <alignment horizontal="center" vertical="center" wrapText="1"/>
    </xf>
    <xf numFmtId="165" fontId="9" fillId="10" borderId="2" xfId="5" applyNumberFormat="1" applyFont="1" applyFill="1" applyBorder="1" applyAlignment="1">
      <alignment horizontal="center" vertical="center" wrapText="1"/>
    </xf>
    <xf numFmtId="165" fontId="9" fillId="10" borderId="2" xfId="5" applyNumberFormat="1" applyFont="1" applyFill="1" applyBorder="1" applyAlignment="1">
      <alignment vertical="center" wrapText="1"/>
    </xf>
    <xf numFmtId="165" fontId="9" fillId="10" borderId="2" xfId="5" applyNumberFormat="1" applyFont="1" applyFill="1" applyBorder="1" applyAlignment="1">
      <alignment horizontal="left" vertical="center" wrapText="1"/>
    </xf>
    <xf numFmtId="0" fontId="6" fillId="0" borderId="0" xfId="2"/>
    <xf numFmtId="0" fontId="59" fillId="0" borderId="0" xfId="2" applyFont="1" applyAlignment="1">
      <alignment horizontal="right"/>
    </xf>
    <xf numFmtId="0" fontId="59" fillId="0" borderId="0" xfId="2" applyFont="1"/>
    <xf numFmtId="0" fontId="12" fillId="0" borderId="0" xfId="2" applyFont="1" applyAlignment="1">
      <alignment horizontal="right"/>
    </xf>
    <xf numFmtId="0" fontId="59" fillId="0" borderId="0" xfId="2" applyFont="1" applyFill="1"/>
    <xf numFmtId="0" fontId="45" fillId="0" borderId="0" xfId="2" applyFont="1" applyAlignment="1">
      <alignment horizontal="right"/>
    </xf>
    <xf numFmtId="0" fontId="18" fillId="0" borderId="4" xfId="2" applyFont="1" applyBorder="1" applyAlignment="1">
      <alignment horizontal="center" vertical="center" wrapText="1"/>
    </xf>
    <xf numFmtId="0" fontId="18" fillId="0" borderId="5" xfId="2" applyFont="1" applyBorder="1" applyAlignment="1">
      <alignment horizontal="center" vertical="center" wrapText="1"/>
    </xf>
    <xf numFmtId="0" fontId="18" fillId="0" borderId="6" xfId="2" applyFont="1" applyFill="1" applyBorder="1" applyAlignment="1">
      <alignment horizontal="center" vertical="center" wrapText="1"/>
    </xf>
    <xf numFmtId="0" fontId="18" fillId="14" borderId="7" xfId="2" applyFont="1" applyFill="1" applyBorder="1" applyAlignment="1">
      <alignment horizontal="center" vertical="center" wrapText="1"/>
    </xf>
    <xf numFmtId="0" fontId="18" fillId="15" borderId="7" xfId="2" applyFont="1" applyFill="1" applyBorder="1" applyAlignment="1">
      <alignment horizontal="center" vertical="center" wrapText="1"/>
    </xf>
    <xf numFmtId="0" fontId="18" fillId="14" borderId="8" xfId="2" applyFont="1" applyFill="1" applyBorder="1" applyAlignment="1">
      <alignment horizontal="center" vertical="center" wrapText="1"/>
    </xf>
    <xf numFmtId="0" fontId="18" fillId="14" borderId="5" xfId="2" applyFont="1" applyFill="1" applyBorder="1" applyAlignment="1">
      <alignment horizontal="center" vertical="center" wrapText="1"/>
    </xf>
    <xf numFmtId="0" fontId="18" fillId="13" borderId="9" xfId="2" quotePrefix="1" applyFont="1" applyFill="1" applyBorder="1" applyAlignment="1">
      <alignment horizontal="center" vertical="center" wrapText="1"/>
    </xf>
    <xf numFmtId="0" fontId="18" fillId="13" borderId="10" xfId="2" applyFont="1" applyFill="1" applyBorder="1" applyAlignment="1">
      <alignment vertical="center" wrapText="1"/>
    </xf>
    <xf numFmtId="164" fontId="18" fillId="13" borderId="11" xfId="2" applyNumberFormat="1" applyFont="1" applyFill="1" applyBorder="1" applyAlignment="1">
      <alignment vertical="center"/>
    </xf>
    <xf numFmtId="164" fontId="18" fillId="15" borderId="11" xfId="2" applyNumberFormat="1" applyFont="1" applyFill="1" applyBorder="1" applyAlignment="1">
      <alignment vertical="center"/>
    </xf>
    <xf numFmtId="164" fontId="18" fillId="13" borderId="12" xfId="2" applyNumberFormat="1" applyFont="1" applyFill="1" applyBorder="1" applyAlignment="1">
      <alignment vertical="center"/>
    </xf>
    <xf numFmtId="164" fontId="18" fillId="13" borderId="10" xfId="2" applyNumberFormat="1" applyFont="1" applyFill="1" applyBorder="1" applyAlignment="1">
      <alignment vertical="center"/>
    </xf>
    <xf numFmtId="164" fontId="18" fillId="16" borderId="10" xfId="2" applyNumberFormat="1" applyFont="1" applyFill="1" applyBorder="1" applyAlignment="1">
      <alignment vertical="center"/>
    </xf>
    <xf numFmtId="0" fontId="18" fillId="13" borderId="13" xfId="2" applyFont="1" applyFill="1" applyBorder="1" applyAlignment="1">
      <alignment horizontal="center" vertical="center" wrapText="1"/>
    </xf>
    <xf numFmtId="0" fontId="18" fillId="13" borderId="14" xfId="2" applyFont="1" applyFill="1" applyBorder="1" applyAlignment="1">
      <alignment horizontal="left" vertical="center" wrapText="1"/>
    </xf>
    <xf numFmtId="164" fontId="18" fillId="13" borderId="15" xfId="2" applyNumberFormat="1" applyFont="1" applyFill="1" applyBorder="1" applyAlignment="1">
      <alignment horizontal="right" vertical="center" wrapText="1"/>
    </xf>
    <xf numFmtId="164" fontId="18" fillId="15" borderId="15" xfId="2" applyNumberFormat="1" applyFont="1" applyFill="1" applyBorder="1" applyAlignment="1">
      <alignment horizontal="right" vertical="center" wrapText="1"/>
    </xf>
    <xf numFmtId="164" fontId="18" fillId="13" borderId="16" xfId="2" applyNumberFormat="1" applyFont="1" applyFill="1" applyBorder="1" applyAlignment="1">
      <alignment horizontal="right" vertical="center" wrapText="1"/>
    </xf>
    <xf numFmtId="164" fontId="18" fillId="13" borderId="14" xfId="2" applyNumberFormat="1" applyFont="1" applyFill="1" applyBorder="1" applyAlignment="1">
      <alignment horizontal="right" vertical="center" wrapText="1"/>
    </xf>
    <xf numFmtId="164" fontId="18" fillId="13" borderId="5" xfId="2" applyNumberFormat="1" applyFont="1" applyFill="1" applyBorder="1" applyAlignment="1">
      <alignment horizontal="right" vertical="center" wrapText="1"/>
    </xf>
    <xf numFmtId="16" fontId="45" fillId="0" borderId="17" xfId="2" quotePrefix="1" applyNumberFormat="1" applyFont="1" applyBorder="1" applyAlignment="1">
      <alignment horizontal="center" vertical="center" wrapText="1"/>
    </xf>
    <xf numFmtId="0" fontId="45" fillId="0" borderId="18" xfId="2" applyFont="1" applyBorder="1" applyAlignment="1">
      <alignment horizontal="left" vertical="center" wrapText="1"/>
    </xf>
    <xf numFmtId="164" fontId="45" fillId="13" borderId="19" xfId="2" applyNumberFormat="1" applyFont="1" applyFill="1" applyBorder="1" applyAlignment="1">
      <alignment horizontal="right" vertical="center" wrapText="1"/>
    </xf>
    <xf numFmtId="164" fontId="45" fillId="0" borderId="19" xfId="2" applyNumberFormat="1" applyFont="1" applyFill="1" applyBorder="1" applyAlignment="1">
      <alignment horizontal="right" vertical="center" wrapText="1"/>
    </xf>
    <xf numFmtId="164" fontId="45" fillId="15" borderId="19" xfId="2" applyNumberFormat="1" applyFont="1" applyFill="1" applyBorder="1" applyAlignment="1">
      <alignment horizontal="right" vertical="center" wrapText="1"/>
    </xf>
    <xf numFmtId="164" fontId="45" fillId="14" borderId="20" xfId="2" applyNumberFormat="1" applyFont="1" applyFill="1" applyBorder="1" applyAlignment="1">
      <alignment horizontal="right" vertical="center" wrapText="1"/>
    </xf>
    <xf numFmtId="164" fontId="45" fillId="14" borderId="18" xfId="2" applyNumberFormat="1" applyFont="1" applyFill="1" applyBorder="1" applyAlignment="1">
      <alignment horizontal="right" vertical="center" wrapText="1"/>
    </xf>
    <xf numFmtId="0" fontId="45" fillId="0" borderId="21" xfId="2" quotePrefix="1" applyFont="1" applyBorder="1" applyAlignment="1">
      <alignment horizontal="center" vertical="center" wrapText="1"/>
    </xf>
    <xf numFmtId="0" fontId="45" fillId="0" borderId="22" xfId="2" applyFont="1" applyBorder="1" applyAlignment="1">
      <alignment horizontal="left" vertical="center" wrapText="1"/>
    </xf>
    <xf numFmtId="164" fontId="45" fillId="13" borderId="23" xfId="2" applyNumberFormat="1" applyFont="1" applyFill="1" applyBorder="1" applyAlignment="1">
      <alignment horizontal="right" vertical="center" wrapText="1"/>
    </xf>
    <xf numFmtId="164" fontId="45" fillId="0" borderId="23" xfId="2" applyNumberFormat="1" applyFont="1" applyFill="1" applyBorder="1" applyAlignment="1">
      <alignment horizontal="right" vertical="center" wrapText="1"/>
    </xf>
    <xf numFmtId="164" fontId="45" fillId="15" borderId="23" xfId="2" applyNumberFormat="1" applyFont="1" applyFill="1" applyBorder="1" applyAlignment="1">
      <alignment horizontal="right" vertical="center" wrapText="1"/>
    </xf>
    <xf numFmtId="164" fontId="45" fillId="14" borderId="24" xfId="2" applyNumberFormat="1" applyFont="1" applyFill="1" applyBorder="1" applyAlignment="1">
      <alignment horizontal="right" vertical="center" wrapText="1"/>
    </xf>
    <xf numFmtId="164" fontId="45" fillId="14" borderId="22" xfId="2" applyNumberFormat="1" applyFont="1" applyFill="1" applyBorder="1" applyAlignment="1">
      <alignment horizontal="right" vertical="center" wrapText="1"/>
    </xf>
    <xf numFmtId="0" fontId="45" fillId="0" borderId="21" xfId="2" applyFont="1" applyBorder="1" applyAlignment="1">
      <alignment horizontal="center" vertical="center" wrapText="1"/>
    </xf>
    <xf numFmtId="0" fontId="45" fillId="0" borderId="17" xfId="2" applyFont="1" applyBorder="1" applyAlignment="1">
      <alignment horizontal="center" vertical="center" wrapText="1"/>
    </xf>
    <xf numFmtId="0" fontId="45" fillId="0" borderId="18" xfId="2" quotePrefix="1" applyFont="1" applyBorder="1" applyAlignment="1">
      <alignment horizontal="left" vertical="center" wrapText="1"/>
    </xf>
    <xf numFmtId="0" fontId="18" fillId="13" borderId="21" xfId="2" applyFont="1" applyFill="1" applyBorder="1" applyAlignment="1">
      <alignment horizontal="center" vertical="center" wrapText="1"/>
    </xf>
    <xf numFmtId="0" fontId="18" fillId="13" borderId="22" xfId="2" applyFont="1" applyFill="1" applyBorder="1" applyAlignment="1">
      <alignment horizontal="left" vertical="center" wrapText="1"/>
    </xf>
    <xf numFmtId="164" fontId="18" fillId="13" borderId="23" xfId="2" applyNumberFormat="1" applyFont="1" applyFill="1" applyBorder="1" applyAlignment="1">
      <alignment horizontal="right" vertical="center" wrapText="1"/>
    </xf>
    <xf numFmtId="164" fontId="18" fillId="15" borderId="23" xfId="2" applyNumberFormat="1" applyFont="1" applyFill="1" applyBorder="1" applyAlignment="1">
      <alignment horizontal="right" vertical="center" wrapText="1"/>
    </xf>
    <xf numFmtId="164" fontId="18" fillId="13" borderId="24" xfId="2" applyNumberFormat="1" applyFont="1" applyFill="1" applyBorder="1" applyAlignment="1">
      <alignment horizontal="right" vertical="center" wrapText="1"/>
    </xf>
    <xf numFmtId="164" fontId="18" fillId="13" borderId="22" xfId="2" applyNumberFormat="1" applyFont="1" applyFill="1" applyBorder="1" applyAlignment="1">
      <alignment horizontal="right" vertical="center" wrapText="1"/>
    </xf>
    <xf numFmtId="0" fontId="45" fillId="0" borderId="21" xfId="2" applyFont="1" applyFill="1" applyBorder="1" applyAlignment="1">
      <alignment horizontal="center" vertical="center" wrapText="1"/>
    </xf>
    <xf numFmtId="0" fontId="45" fillId="0" borderId="22" xfId="2" applyFont="1" applyFill="1" applyBorder="1" applyAlignment="1">
      <alignment horizontal="left" vertical="center" wrapText="1"/>
    </xf>
    <xf numFmtId="164" fontId="18" fillId="0" borderId="24" xfId="2" applyNumberFormat="1" applyFont="1" applyFill="1" applyBorder="1" applyAlignment="1">
      <alignment horizontal="right" vertical="center" wrapText="1"/>
    </xf>
    <xf numFmtId="164" fontId="18" fillId="0" borderId="22" xfId="2" applyNumberFormat="1" applyFont="1" applyFill="1" applyBorder="1" applyAlignment="1">
      <alignment horizontal="right" vertical="center" wrapText="1"/>
    </xf>
    <xf numFmtId="164" fontId="18" fillId="15" borderId="25" xfId="2" applyNumberFormat="1" applyFont="1" applyFill="1" applyBorder="1" applyAlignment="1">
      <alignment horizontal="right" vertical="center" wrapText="1"/>
    </xf>
    <xf numFmtId="164" fontId="18" fillId="0" borderId="26" xfId="2" applyNumberFormat="1" applyFont="1" applyFill="1" applyBorder="1" applyAlignment="1">
      <alignment horizontal="right" vertical="center" wrapText="1"/>
    </xf>
    <xf numFmtId="164" fontId="18" fillId="0" borderId="27" xfId="2" applyNumberFormat="1" applyFont="1" applyFill="1" applyBorder="1" applyAlignment="1">
      <alignment horizontal="right" vertical="center" wrapText="1"/>
    </xf>
    <xf numFmtId="0" fontId="18" fillId="16" borderId="4" xfId="2" applyFont="1" applyFill="1" applyBorder="1" applyAlignment="1">
      <alignment horizontal="center" vertical="center" wrapText="1"/>
    </xf>
    <xf numFmtId="0" fontId="18" fillId="16" borderId="5" xfId="2" applyFont="1" applyFill="1" applyBorder="1" applyAlignment="1">
      <alignment horizontal="left" vertical="center" wrapText="1"/>
    </xf>
    <xf numFmtId="164" fontId="18" fillId="13" borderId="28" xfId="2" applyNumberFormat="1" applyFont="1" applyFill="1" applyBorder="1" applyAlignment="1">
      <alignment horizontal="right" vertical="center" wrapText="1"/>
    </xf>
    <xf numFmtId="164" fontId="18" fillId="16" borderId="28" xfId="2" applyNumberFormat="1" applyFont="1" applyFill="1" applyBorder="1" applyAlignment="1">
      <alignment horizontal="right" vertical="center" wrapText="1"/>
    </xf>
    <xf numFmtId="164" fontId="18" fillId="15" borderId="28" xfId="2" applyNumberFormat="1" applyFont="1" applyFill="1" applyBorder="1" applyAlignment="1">
      <alignment horizontal="right" vertical="center" wrapText="1"/>
    </xf>
    <xf numFmtId="164" fontId="18" fillId="16" borderId="8" xfId="2" applyNumberFormat="1" applyFont="1" applyFill="1" applyBorder="1" applyAlignment="1">
      <alignment horizontal="right" vertical="center" wrapText="1"/>
    </xf>
    <xf numFmtId="164" fontId="18" fillId="16" borderId="5" xfId="2" applyNumberFormat="1" applyFont="1" applyFill="1" applyBorder="1" applyAlignment="1">
      <alignment horizontal="right" vertical="center" wrapText="1"/>
    </xf>
    <xf numFmtId="0" fontId="18" fillId="0" borderId="17" xfId="2" applyFont="1" applyFill="1" applyBorder="1" applyAlignment="1">
      <alignment horizontal="center" vertical="center" wrapText="1"/>
    </xf>
    <xf numFmtId="0" fontId="18" fillId="0" borderId="18" xfId="2" applyFont="1" applyFill="1" applyBorder="1" applyAlignment="1">
      <alignment horizontal="left" vertical="center" wrapText="1"/>
    </xf>
    <xf numFmtId="164" fontId="18" fillId="13" borderId="19" xfId="2" applyNumberFormat="1" applyFont="1" applyFill="1" applyBorder="1" applyAlignment="1">
      <alignment horizontal="right" vertical="center" wrapText="1"/>
    </xf>
    <xf numFmtId="164" fontId="18" fillId="0" borderId="19" xfId="2" applyNumberFormat="1" applyFont="1" applyFill="1" applyBorder="1" applyAlignment="1">
      <alignment horizontal="right" vertical="center" wrapText="1"/>
    </xf>
    <xf numFmtId="164" fontId="18" fillId="15" borderId="19" xfId="2" applyNumberFormat="1" applyFont="1" applyFill="1" applyBorder="1" applyAlignment="1">
      <alignment horizontal="right" vertical="center" wrapText="1"/>
    </xf>
    <xf numFmtId="164" fontId="18" fillId="0" borderId="20" xfId="2" applyNumberFormat="1" applyFont="1" applyFill="1" applyBorder="1" applyAlignment="1">
      <alignment horizontal="right" vertical="center" wrapText="1"/>
    </xf>
    <xf numFmtId="164" fontId="18" fillId="0" borderId="18" xfId="2" applyNumberFormat="1" applyFont="1" applyFill="1" applyBorder="1" applyAlignment="1">
      <alignment horizontal="right" vertical="center" wrapText="1"/>
    </xf>
    <xf numFmtId="0" fontId="18" fillId="0" borderId="21" xfId="2" applyFont="1" applyFill="1" applyBorder="1" applyAlignment="1">
      <alignment horizontal="center" vertical="center" wrapText="1"/>
    </xf>
    <xf numFmtId="0" fontId="18" fillId="0" borderId="22" xfId="2" applyFont="1" applyFill="1" applyBorder="1" applyAlignment="1">
      <alignment horizontal="left" vertical="center" wrapText="1"/>
    </xf>
    <xf numFmtId="164" fontId="18" fillId="13" borderId="18" xfId="2" applyNumberFormat="1" applyFont="1" applyFill="1" applyBorder="1" applyAlignment="1">
      <alignment horizontal="right" vertical="center" wrapText="1"/>
    </xf>
    <xf numFmtId="0" fontId="45" fillId="0" borderId="18" xfId="2" quotePrefix="1" applyFont="1" applyFill="1" applyBorder="1" applyAlignment="1">
      <alignment horizontal="left" vertical="center" wrapText="1"/>
    </xf>
    <xf numFmtId="164" fontId="45" fillId="0" borderId="24" xfId="2" applyNumberFormat="1" applyFont="1" applyFill="1" applyBorder="1" applyAlignment="1">
      <alignment horizontal="right" vertical="center" wrapText="1"/>
    </xf>
    <xf numFmtId="164" fontId="45" fillId="0" borderId="22" xfId="2" applyNumberFormat="1" applyFont="1" applyFill="1" applyBorder="1" applyAlignment="1">
      <alignment horizontal="right" vertical="center" wrapText="1"/>
    </xf>
    <xf numFmtId="0" fontId="45" fillId="0" borderId="2" xfId="2" quotePrefix="1" applyFont="1" applyFill="1" applyBorder="1" applyAlignment="1">
      <alignment vertical="center" wrapText="1"/>
    </xf>
    <xf numFmtId="164" fontId="45" fillId="0" borderId="2" xfId="2" applyNumberFormat="1" applyFont="1" applyFill="1" applyBorder="1" applyAlignment="1">
      <alignment horizontal="right" vertical="center" wrapText="1"/>
    </xf>
    <xf numFmtId="0" fontId="45" fillId="0" borderId="29" xfId="2" quotePrefix="1" applyFont="1" applyFill="1" applyBorder="1" applyAlignment="1">
      <alignment vertical="center" wrapText="1"/>
    </xf>
    <xf numFmtId="164" fontId="18" fillId="17" borderId="22" xfId="2" applyNumberFormat="1" applyFont="1" applyFill="1" applyBorder="1" applyAlignment="1">
      <alignment horizontal="right" vertical="center" wrapText="1"/>
    </xf>
    <xf numFmtId="0" fontId="18" fillId="0" borderId="21" xfId="2" quotePrefix="1" applyFont="1" applyFill="1" applyBorder="1" applyAlignment="1">
      <alignment horizontal="center" vertical="center"/>
    </xf>
    <xf numFmtId="164" fontId="18" fillId="0" borderId="23" xfId="2" applyNumberFormat="1" applyFont="1" applyFill="1" applyBorder="1" applyAlignment="1">
      <alignment horizontal="right" vertical="center"/>
    </xf>
    <xf numFmtId="164" fontId="18" fillId="15" borderId="23" xfId="2" applyNumberFormat="1" applyFont="1" applyFill="1" applyBorder="1" applyAlignment="1">
      <alignment horizontal="right" vertical="center"/>
    </xf>
    <xf numFmtId="164" fontId="18" fillId="0" borderId="24" xfId="2" applyNumberFormat="1" applyFont="1" applyFill="1" applyBorder="1" applyAlignment="1">
      <alignment horizontal="right" vertical="center"/>
    </xf>
    <xf numFmtId="164" fontId="18" fillId="0" borderId="22" xfId="2" applyNumberFormat="1" applyFont="1" applyFill="1" applyBorder="1" applyAlignment="1">
      <alignment horizontal="right" vertical="center"/>
    </xf>
    <xf numFmtId="164" fontId="13" fillId="0" borderId="30" xfId="2" applyNumberFormat="1" applyFont="1" applyFill="1" applyBorder="1" applyAlignment="1">
      <alignment horizontal="right" vertical="center"/>
    </xf>
    <xf numFmtId="0" fontId="18" fillId="0" borderId="21" xfId="2" quotePrefix="1" applyFont="1" applyFill="1" applyBorder="1" applyAlignment="1">
      <alignment horizontal="left" vertical="center"/>
    </xf>
    <xf numFmtId="0" fontId="18" fillId="0" borderId="30" xfId="2" applyFont="1" applyBorder="1" applyAlignment="1">
      <alignment horizontal="left" vertical="center" wrapText="1"/>
    </xf>
    <xf numFmtId="164" fontId="18" fillId="0" borderId="2" xfId="2" applyNumberFormat="1" applyFont="1" applyFill="1" applyBorder="1" applyAlignment="1">
      <alignment horizontal="right" vertical="center" wrapText="1"/>
    </xf>
    <xf numFmtId="164" fontId="18" fillId="15" borderId="2" xfId="2" applyNumberFormat="1" applyFont="1" applyFill="1" applyBorder="1" applyAlignment="1">
      <alignment horizontal="right" vertical="center" wrapText="1"/>
    </xf>
    <xf numFmtId="164" fontId="18" fillId="0" borderId="30" xfId="2" applyNumberFormat="1" applyFont="1" applyFill="1" applyBorder="1" applyAlignment="1">
      <alignment horizontal="right" vertical="center"/>
    </xf>
    <xf numFmtId="164" fontId="13" fillId="0" borderId="22" xfId="2" applyNumberFormat="1" applyFont="1" applyFill="1" applyBorder="1" applyAlignment="1">
      <alignment horizontal="right" vertical="center"/>
    </xf>
    <xf numFmtId="0" fontId="18" fillId="13" borderId="4" xfId="2" applyFont="1" applyFill="1" applyBorder="1" applyAlignment="1">
      <alignment horizontal="center" vertical="center" wrapText="1"/>
    </xf>
    <xf numFmtId="0" fontId="18" fillId="13" borderId="5" xfId="2" applyFont="1" applyFill="1" applyBorder="1" applyAlignment="1">
      <alignment horizontal="left" vertical="center" wrapText="1"/>
    </xf>
    <xf numFmtId="164" fontId="18" fillId="13" borderId="7" xfId="2" applyNumberFormat="1" applyFont="1" applyFill="1" applyBorder="1" applyAlignment="1">
      <alignment horizontal="right" vertical="center" wrapText="1"/>
    </xf>
    <xf numFmtId="164" fontId="18" fillId="13" borderId="8" xfId="2" applyNumberFormat="1" applyFont="1" applyFill="1" applyBorder="1" applyAlignment="1">
      <alignment horizontal="right" vertical="center" wrapText="1"/>
    </xf>
    <xf numFmtId="164" fontId="13" fillId="16" borderId="6" xfId="2" applyNumberFormat="1" applyFont="1" applyFill="1" applyBorder="1" applyAlignment="1">
      <alignment horizontal="right" vertical="center" wrapText="1"/>
    </xf>
    <xf numFmtId="0" fontId="13" fillId="0" borderId="31" xfId="2" applyFont="1" applyFill="1" applyBorder="1" applyAlignment="1">
      <alignment horizontal="center" vertical="center" wrapText="1"/>
    </xf>
    <xf numFmtId="0" fontId="13" fillId="0" borderId="25" xfId="2" applyFont="1" applyFill="1" applyBorder="1" applyAlignment="1">
      <alignment horizontal="left" vertical="center"/>
    </xf>
    <xf numFmtId="164" fontId="13" fillId="0" borderId="31" xfId="2" applyNumberFormat="1" applyFont="1" applyFill="1" applyBorder="1" applyAlignment="1">
      <alignment horizontal="right" vertical="center" wrapText="1"/>
    </xf>
    <xf numFmtId="164" fontId="13" fillId="0" borderId="25" xfId="2" applyNumberFormat="1" applyFont="1" applyFill="1" applyBorder="1" applyAlignment="1">
      <alignment horizontal="right" vertical="center" wrapText="1"/>
    </xf>
    <xf numFmtId="164" fontId="13" fillId="15" borderId="25" xfId="2" applyNumberFormat="1" applyFont="1" applyFill="1" applyBorder="1" applyAlignment="1">
      <alignment horizontal="right" vertical="center" wrapText="1"/>
    </xf>
    <xf numFmtId="164" fontId="13" fillId="0" borderId="26" xfId="2" applyNumberFormat="1" applyFont="1" applyFill="1" applyBorder="1" applyAlignment="1">
      <alignment horizontal="right" vertical="center" wrapText="1"/>
    </xf>
    <xf numFmtId="164" fontId="13" fillId="0" borderId="32" xfId="2" applyNumberFormat="1" applyFont="1" applyFill="1" applyBorder="1" applyAlignment="1">
      <alignment horizontal="right" vertical="center" wrapText="1"/>
    </xf>
    <xf numFmtId="164" fontId="13" fillId="0" borderId="33" xfId="2" applyNumberFormat="1" applyFont="1" applyFill="1" applyBorder="1" applyAlignment="1">
      <alignment horizontal="right" vertical="center" wrapText="1"/>
    </xf>
    <xf numFmtId="0" fontId="13" fillId="0" borderId="34" xfId="2" applyFont="1" applyFill="1" applyBorder="1" applyAlignment="1">
      <alignment horizontal="center" vertical="center" wrapText="1"/>
    </xf>
    <xf numFmtId="0" fontId="13" fillId="0" borderId="35" xfId="2" applyFont="1" applyFill="1" applyBorder="1" applyAlignment="1">
      <alignment horizontal="left" vertical="center" wrapText="1"/>
    </xf>
    <xf numFmtId="164" fontId="13" fillId="0" borderId="34" xfId="2" applyNumberFormat="1" applyFont="1" applyFill="1" applyBorder="1" applyAlignment="1">
      <alignment horizontal="right" vertical="center" wrapText="1"/>
    </xf>
    <xf numFmtId="164" fontId="13" fillId="0" borderId="35" xfId="2" applyNumberFormat="1" applyFont="1" applyFill="1" applyBorder="1" applyAlignment="1">
      <alignment horizontal="right" vertical="center" wrapText="1"/>
    </xf>
    <xf numFmtId="164" fontId="13" fillId="15" borderId="35" xfId="2" applyNumberFormat="1" applyFont="1" applyFill="1" applyBorder="1" applyAlignment="1">
      <alignment horizontal="right" vertical="center" wrapText="1"/>
    </xf>
    <xf numFmtId="164" fontId="13" fillId="0" borderId="36" xfId="2" applyNumberFormat="1" applyFont="1" applyFill="1" applyBorder="1" applyAlignment="1">
      <alignment horizontal="right" vertical="center" wrapText="1"/>
    </xf>
    <xf numFmtId="164" fontId="13" fillId="0" borderId="3" xfId="2" applyNumberFormat="1" applyFont="1" applyFill="1" applyBorder="1" applyAlignment="1">
      <alignment horizontal="right" vertical="center" wrapText="1"/>
    </xf>
    <xf numFmtId="0" fontId="45" fillId="0" borderId="2" xfId="2" applyFont="1" applyFill="1" applyBorder="1" applyAlignment="1">
      <alignment horizontal="center" vertical="center" wrapText="1"/>
    </xf>
    <xf numFmtId="0" fontId="45" fillId="0" borderId="23" xfId="2" applyFont="1" applyFill="1" applyBorder="1" applyAlignment="1">
      <alignment horizontal="left" vertical="center" wrapText="1"/>
    </xf>
    <xf numFmtId="164" fontId="45" fillId="0" borderId="30" xfId="2" applyNumberFormat="1" applyFont="1" applyFill="1" applyBorder="1" applyAlignment="1">
      <alignment horizontal="right" vertical="center" wrapText="1"/>
    </xf>
    <xf numFmtId="164" fontId="11" fillId="0" borderId="30" xfId="2" applyNumberFormat="1" applyFont="1" applyFill="1" applyBorder="1" applyAlignment="1">
      <alignment horizontal="right" vertical="center" wrapText="1"/>
    </xf>
    <xf numFmtId="0" fontId="45" fillId="0" borderId="34" xfId="2" applyFont="1" applyFill="1" applyBorder="1" applyAlignment="1">
      <alignment horizontal="center" vertical="center" wrapText="1"/>
    </xf>
    <xf numFmtId="0" fontId="45" fillId="0" borderId="3" xfId="2" applyFont="1" applyFill="1" applyBorder="1" applyAlignment="1">
      <alignment horizontal="left" vertical="center" wrapText="1"/>
    </xf>
    <xf numFmtId="164" fontId="45" fillId="0" borderId="34" xfId="2" applyNumberFormat="1" applyFont="1" applyFill="1" applyBorder="1" applyAlignment="1">
      <alignment horizontal="right" vertical="center" wrapText="1"/>
    </xf>
    <xf numFmtId="164" fontId="45" fillId="0" borderId="35" xfId="2" applyNumberFormat="1" applyFont="1" applyFill="1" applyBorder="1" applyAlignment="1">
      <alignment horizontal="right" vertical="center" wrapText="1"/>
    </xf>
    <xf numFmtId="164" fontId="45" fillId="15" borderId="35" xfId="2" applyNumberFormat="1" applyFont="1" applyFill="1" applyBorder="1" applyAlignment="1">
      <alignment horizontal="right" vertical="center" wrapText="1"/>
    </xf>
    <xf numFmtId="164" fontId="45" fillId="0" borderId="36" xfId="2" applyNumberFormat="1" applyFont="1" applyFill="1" applyBorder="1" applyAlignment="1">
      <alignment horizontal="right" vertical="center" wrapText="1"/>
    </xf>
    <xf numFmtId="164" fontId="45" fillId="0" borderId="3" xfId="2" applyNumberFormat="1" applyFont="1" applyFill="1" applyBorder="1" applyAlignment="1">
      <alignment horizontal="right" vertical="center" wrapText="1"/>
    </xf>
    <xf numFmtId="164" fontId="11" fillId="0" borderId="3" xfId="2" applyNumberFormat="1" applyFont="1" applyFill="1" applyBorder="1" applyAlignment="1">
      <alignment horizontal="right" vertical="center" wrapText="1"/>
    </xf>
    <xf numFmtId="0" fontId="45" fillId="0" borderId="30" xfId="2" applyFont="1" applyFill="1" applyBorder="1" applyAlignment="1">
      <alignment horizontal="left" vertical="center" wrapText="1"/>
    </xf>
    <xf numFmtId="164" fontId="11" fillId="0" borderId="37" xfId="2" applyNumberFormat="1" applyFont="1" applyFill="1" applyBorder="1" applyAlignment="1">
      <alignment horizontal="right" vertical="center" wrapText="1"/>
    </xf>
    <xf numFmtId="164" fontId="11" fillId="0" borderId="38" xfId="2" applyNumberFormat="1" applyFont="1" applyFill="1" applyBorder="1" applyAlignment="1">
      <alignment horizontal="right" vertical="center" wrapText="1"/>
    </xf>
    <xf numFmtId="0" fontId="45" fillId="0" borderId="34" xfId="2" quotePrefix="1" applyFont="1" applyFill="1" applyBorder="1" applyAlignment="1">
      <alignment vertical="center" wrapText="1"/>
    </xf>
    <xf numFmtId="164" fontId="45" fillId="0" borderId="25" xfId="2" applyNumberFormat="1" applyFont="1" applyFill="1" applyBorder="1" applyAlignment="1">
      <alignment horizontal="right" vertical="center" wrapText="1"/>
    </xf>
    <xf numFmtId="164" fontId="45" fillId="15" borderId="25" xfId="2" applyNumberFormat="1" applyFont="1" applyFill="1" applyBorder="1" applyAlignment="1">
      <alignment horizontal="right" vertical="center" wrapText="1"/>
    </xf>
    <xf numFmtId="164" fontId="45" fillId="0" borderId="26" xfId="2" applyNumberFormat="1" applyFont="1" applyFill="1" applyBorder="1" applyAlignment="1">
      <alignment horizontal="right" vertical="center" wrapText="1"/>
    </xf>
    <xf numFmtId="164" fontId="45" fillId="0" borderId="38" xfId="2" applyNumberFormat="1" applyFont="1" applyFill="1" applyBorder="1" applyAlignment="1">
      <alignment horizontal="right" vertical="center" wrapText="1"/>
    </xf>
    <xf numFmtId="164" fontId="45" fillId="0" borderId="12" xfId="2" applyNumberFormat="1" applyFont="1" applyFill="1" applyBorder="1" applyAlignment="1">
      <alignment horizontal="right" vertical="center" wrapText="1"/>
    </xf>
    <xf numFmtId="0" fontId="18" fillId="13" borderId="6" xfId="2" applyFont="1" applyFill="1" applyBorder="1" applyAlignment="1">
      <alignment horizontal="left" vertical="center" wrapText="1"/>
    </xf>
    <xf numFmtId="164" fontId="18" fillId="15" borderId="7" xfId="2" applyNumberFormat="1" applyFont="1" applyFill="1" applyBorder="1" applyAlignment="1">
      <alignment horizontal="right" vertical="center" wrapText="1"/>
    </xf>
    <xf numFmtId="164" fontId="18" fillId="13" borderId="6" xfId="2" applyNumberFormat="1" applyFont="1" applyFill="1" applyBorder="1" applyAlignment="1">
      <alignment horizontal="right" vertical="center" wrapText="1"/>
    </xf>
    <xf numFmtId="164" fontId="18" fillId="16" borderId="6" xfId="2" applyNumberFormat="1" applyFont="1" applyFill="1" applyBorder="1" applyAlignment="1">
      <alignment horizontal="right" vertical="center" wrapText="1"/>
    </xf>
    <xf numFmtId="0" fontId="18" fillId="13" borderId="9" xfId="2" applyFont="1" applyFill="1" applyBorder="1" applyAlignment="1">
      <alignment horizontal="center" vertical="center" wrapText="1"/>
    </xf>
    <xf numFmtId="0" fontId="18" fillId="13" borderId="38" xfId="2" applyFont="1" applyFill="1" applyBorder="1" applyAlignment="1">
      <alignment horizontal="left" vertical="center" wrapText="1"/>
    </xf>
    <xf numFmtId="164" fontId="18" fillId="13" borderId="39" xfId="2" applyNumberFormat="1" applyFont="1" applyFill="1" applyBorder="1" applyAlignment="1">
      <alignment horizontal="right" vertical="center" wrapText="1"/>
    </xf>
    <xf numFmtId="164" fontId="18" fillId="15" borderId="39" xfId="2" applyNumberFormat="1" applyFont="1" applyFill="1" applyBorder="1" applyAlignment="1">
      <alignment horizontal="right" vertical="center" wrapText="1"/>
    </xf>
    <xf numFmtId="164" fontId="18" fillId="13" borderId="12" xfId="2" applyNumberFormat="1" applyFont="1" applyFill="1" applyBorder="1" applyAlignment="1">
      <alignment horizontal="right" vertical="center" wrapText="1"/>
    </xf>
    <xf numFmtId="0" fontId="45" fillId="15" borderId="4" xfId="2" applyFont="1" applyFill="1" applyBorder="1" applyAlignment="1">
      <alignment horizontal="center" vertical="center" wrapText="1"/>
    </xf>
    <xf numFmtId="0" fontId="18" fillId="15" borderId="6" xfId="2" applyFont="1" applyFill="1" applyBorder="1" applyAlignment="1">
      <alignment horizontal="left" vertical="center"/>
    </xf>
    <xf numFmtId="164" fontId="18" fillId="15" borderId="7" xfId="2" applyNumberFormat="1" applyFont="1" applyFill="1" applyBorder="1" applyAlignment="1">
      <alignment horizontal="right" vertical="center"/>
    </xf>
    <xf numFmtId="164" fontId="18" fillId="15" borderId="8" xfId="2" applyNumberFormat="1" applyFont="1" applyFill="1" applyBorder="1" applyAlignment="1">
      <alignment horizontal="right" vertical="center"/>
    </xf>
    <xf numFmtId="164" fontId="18" fillId="15" borderId="6" xfId="2" applyNumberFormat="1" applyFont="1" applyFill="1" applyBorder="1" applyAlignment="1">
      <alignment horizontal="right" vertical="center"/>
    </xf>
    <xf numFmtId="164" fontId="18" fillId="13" borderId="6" xfId="2" applyNumberFormat="1" applyFont="1" applyFill="1" applyBorder="1" applyAlignment="1">
      <alignment horizontal="right" vertical="center"/>
    </xf>
    <xf numFmtId="164" fontId="61" fillId="0" borderId="0" xfId="2" applyNumberFormat="1" applyFont="1"/>
    <xf numFmtId="164" fontId="6" fillId="0" borderId="0" xfId="2" applyNumberFormat="1"/>
    <xf numFmtId="0" fontId="18" fillId="0" borderId="0" xfId="2" applyFont="1" applyAlignment="1">
      <alignment horizontal="right"/>
    </xf>
    <xf numFmtId="0" fontId="50" fillId="0" borderId="0" xfId="2" applyFont="1" applyAlignment="1">
      <alignment horizontal="right"/>
    </xf>
    <xf numFmtId="0" fontId="50" fillId="0" borderId="38" xfId="2" applyFont="1" applyBorder="1" applyAlignment="1">
      <alignment horizontal="right"/>
    </xf>
    <xf numFmtId="49" fontId="50" fillId="0" borderId="40" xfId="13" applyNumberFormat="1" applyFont="1" applyBorder="1" applyAlignment="1" applyProtection="1">
      <alignment horizontal="center" vertical="center" wrapText="1"/>
      <protection hidden="1"/>
    </xf>
    <xf numFmtId="49" fontId="18" fillId="0" borderId="7" xfId="13" applyNumberFormat="1" applyFont="1" applyBorder="1" applyAlignment="1" applyProtection="1">
      <alignment horizontal="center" vertical="center"/>
      <protection hidden="1"/>
    </xf>
    <xf numFmtId="0" fontId="18" fillId="0" borderId="28" xfId="2" applyFont="1" applyBorder="1" applyAlignment="1" applyProtection="1">
      <alignment horizontal="center" vertical="center" wrapText="1"/>
      <protection locked="0"/>
    </xf>
    <xf numFmtId="2" fontId="18" fillId="17" borderId="41" xfId="2" applyNumberFormat="1" applyFont="1" applyFill="1" applyBorder="1" applyAlignment="1" applyProtection="1">
      <alignment horizontal="center" vertical="center" wrapText="1"/>
      <protection locked="0"/>
    </xf>
    <xf numFmtId="0" fontId="18" fillId="0" borderId="5" xfId="2" applyFont="1" applyBorder="1" applyAlignment="1" applyProtection="1">
      <alignment horizontal="center" vertical="center" wrapText="1"/>
      <protection locked="0"/>
    </xf>
    <xf numFmtId="0" fontId="18" fillId="0" borderId="8" xfId="2" applyFont="1" applyFill="1" applyBorder="1" applyAlignment="1" applyProtection="1">
      <alignment horizontal="center" vertical="center" wrapText="1"/>
      <protection locked="0"/>
    </xf>
    <xf numFmtId="0" fontId="48" fillId="0" borderId="5" xfId="2" applyFont="1" applyBorder="1" applyAlignment="1" applyProtection="1">
      <alignment horizontal="center" vertical="center" wrapText="1"/>
      <protection locked="0"/>
    </xf>
    <xf numFmtId="0" fontId="48" fillId="0" borderId="7" xfId="2" applyFont="1" applyBorder="1" applyAlignment="1" applyProtection="1">
      <alignment horizontal="center" vertical="center" wrapText="1"/>
      <protection locked="0"/>
    </xf>
    <xf numFmtId="0" fontId="48" fillId="0" borderId="8" xfId="2" applyFont="1" applyBorder="1" applyAlignment="1" applyProtection="1">
      <alignment horizontal="center" vertical="center" wrapText="1"/>
      <protection locked="0"/>
    </xf>
    <xf numFmtId="0" fontId="65" fillId="0" borderId="5" xfId="2" applyFont="1" applyBorder="1" applyAlignment="1" applyProtection="1">
      <alignment horizontal="center" vertical="center" wrapText="1"/>
      <protection locked="0"/>
    </xf>
    <xf numFmtId="0" fontId="65" fillId="0" borderId="28" xfId="2" applyFont="1" applyBorder="1" applyAlignment="1" applyProtection="1">
      <alignment horizontal="center" vertical="center" wrapText="1"/>
      <protection locked="0"/>
    </xf>
    <xf numFmtId="0" fontId="67" fillId="0" borderId="8" xfId="2" applyFont="1" applyBorder="1" applyAlignment="1" applyProtection="1">
      <alignment horizontal="center" vertical="center" wrapText="1"/>
      <protection locked="0"/>
    </xf>
    <xf numFmtId="0" fontId="50" fillId="0" borderId="42" xfId="2" quotePrefix="1" applyFont="1" applyBorder="1" applyAlignment="1">
      <alignment horizontal="center" vertical="center"/>
    </xf>
    <xf numFmtId="164" fontId="45" fillId="0" borderId="44" xfId="2" applyNumberFormat="1" applyFont="1" applyFill="1" applyBorder="1" applyAlignment="1">
      <alignment horizontal="right" vertical="center"/>
    </xf>
    <xf numFmtId="164" fontId="45" fillId="17" borderId="45" xfId="2" applyNumberFormat="1" applyFont="1" applyFill="1" applyBorder="1" applyAlignment="1">
      <alignment horizontal="right" vertical="center"/>
    </xf>
    <xf numFmtId="164" fontId="45" fillId="14" borderId="32" xfId="2" applyNumberFormat="1" applyFont="1" applyFill="1" applyBorder="1" applyAlignment="1">
      <alignment horizontal="right" vertical="center"/>
    </xf>
    <xf numFmtId="164" fontId="45" fillId="0" borderId="33" xfId="2" applyNumberFormat="1" applyFont="1" applyFill="1" applyBorder="1" applyAlignment="1">
      <alignment horizontal="right" vertical="center"/>
    </xf>
    <xf numFmtId="164" fontId="59" fillId="0" borderId="46" xfId="2" applyNumberFormat="1" applyFont="1" applyBorder="1" applyAlignment="1">
      <alignment horizontal="right"/>
    </xf>
    <xf numFmtId="164" fontId="59" fillId="0" borderId="32" xfId="2" applyNumberFormat="1" applyFont="1" applyBorder="1" applyAlignment="1">
      <alignment horizontal="right"/>
    </xf>
    <xf numFmtId="164" fontId="59" fillId="0" borderId="43" xfId="2" applyNumberFormat="1" applyFont="1" applyBorder="1" applyAlignment="1">
      <alignment horizontal="right"/>
    </xf>
    <xf numFmtId="164" fontId="59" fillId="0" borderId="33" xfId="2" applyNumberFormat="1" applyFont="1" applyBorder="1" applyAlignment="1">
      <alignment horizontal="right"/>
    </xf>
    <xf numFmtId="3" fontId="69" fillId="0" borderId="32" xfId="2" applyNumberFormat="1" applyFont="1" applyBorder="1"/>
    <xf numFmtId="164" fontId="69" fillId="0" borderId="44" xfId="2" applyNumberFormat="1" applyFont="1" applyBorder="1"/>
    <xf numFmtId="164" fontId="69" fillId="0" borderId="33" xfId="2" applyNumberFormat="1" applyFont="1" applyBorder="1"/>
    <xf numFmtId="0" fontId="50" fillId="0" borderId="47" xfId="2" quotePrefix="1" applyFont="1" applyBorder="1" applyAlignment="1">
      <alignment horizontal="center" vertical="center"/>
    </xf>
    <xf numFmtId="164" fontId="45" fillId="0" borderId="25" xfId="2" applyNumberFormat="1" applyFont="1" applyFill="1" applyBorder="1" applyAlignment="1">
      <alignment horizontal="right" vertical="center"/>
    </xf>
    <xf numFmtId="164" fontId="45" fillId="17" borderId="48" xfId="2" applyNumberFormat="1" applyFont="1" applyFill="1" applyBorder="1" applyAlignment="1">
      <alignment horizontal="right" vertical="center"/>
    </xf>
    <xf numFmtId="164" fontId="45" fillId="14" borderId="0" xfId="2" applyNumberFormat="1" applyFont="1" applyFill="1" applyBorder="1" applyAlignment="1">
      <alignment horizontal="right" vertical="center"/>
    </xf>
    <xf numFmtId="164" fontId="45" fillId="0" borderId="26" xfId="2" applyNumberFormat="1" applyFont="1" applyFill="1" applyBorder="1" applyAlignment="1">
      <alignment horizontal="right" vertical="center"/>
    </xf>
    <xf numFmtId="164" fontId="59" fillId="0" borderId="27" xfId="2" applyNumberFormat="1" applyFont="1" applyBorder="1" applyAlignment="1">
      <alignment horizontal="right"/>
    </xf>
    <xf numFmtId="164" fontId="59" fillId="0" borderId="0" xfId="2" applyNumberFormat="1" applyFont="1" applyBorder="1" applyAlignment="1">
      <alignment horizontal="right"/>
    </xf>
    <xf numFmtId="164" fontId="59" fillId="0" borderId="31" xfId="2" applyNumberFormat="1" applyFont="1" applyBorder="1" applyAlignment="1">
      <alignment horizontal="right"/>
    </xf>
    <xf numFmtId="164" fontId="59" fillId="0" borderId="26" xfId="2" applyNumberFormat="1" applyFont="1" applyBorder="1" applyAlignment="1">
      <alignment horizontal="right"/>
    </xf>
    <xf numFmtId="164" fontId="69" fillId="0" borderId="0" xfId="2" applyNumberFormat="1" applyFont="1" applyBorder="1"/>
    <xf numFmtId="164" fontId="69" fillId="0" borderId="25" xfId="2" applyNumberFormat="1" applyFont="1" applyBorder="1"/>
    <xf numFmtId="164" fontId="69" fillId="0" borderId="26" xfId="2" applyNumberFormat="1" applyFont="1" applyBorder="1"/>
    <xf numFmtId="0" fontId="50" fillId="0" borderId="49" xfId="2" quotePrefix="1" applyFont="1" applyBorder="1" applyAlignment="1">
      <alignment horizontal="center" vertical="center"/>
    </xf>
    <xf numFmtId="49" fontId="25" fillId="0" borderId="34" xfId="13" applyNumberFormat="1" applyFont="1" applyBorder="1" applyAlignment="1" applyProtection="1">
      <alignment horizontal="left" vertical="center" wrapText="1"/>
      <protection hidden="1"/>
    </xf>
    <xf numFmtId="164" fontId="45" fillId="0" borderId="35" xfId="2" applyNumberFormat="1" applyFont="1" applyFill="1" applyBorder="1" applyAlignment="1">
      <alignment horizontal="right" vertical="center"/>
    </xf>
    <xf numFmtId="164" fontId="45" fillId="17" borderId="50" xfId="2" applyNumberFormat="1" applyFont="1" applyFill="1" applyBorder="1" applyAlignment="1">
      <alignment horizontal="right" vertical="center"/>
    </xf>
    <xf numFmtId="164" fontId="45" fillId="14" borderId="3" xfId="2" applyNumberFormat="1" applyFont="1" applyFill="1" applyBorder="1" applyAlignment="1">
      <alignment horizontal="right" vertical="center"/>
    </xf>
    <xf numFmtId="164" fontId="45" fillId="0" borderId="36" xfId="2" applyNumberFormat="1" applyFont="1" applyFill="1" applyBorder="1" applyAlignment="1">
      <alignment horizontal="right" vertical="center"/>
    </xf>
    <xf numFmtId="164" fontId="59" fillId="0" borderId="3" xfId="2" applyNumberFormat="1" applyFont="1" applyBorder="1" applyAlignment="1">
      <alignment horizontal="right"/>
    </xf>
    <xf numFmtId="164" fontId="59" fillId="0" borderId="34" xfId="2" applyNumberFormat="1" applyFont="1" applyBorder="1" applyAlignment="1">
      <alignment horizontal="right"/>
    </xf>
    <xf numFmtId="164" fontId="59" fillId="0" borderId="36" xfId="2" applyNumberFormat="1" applyFont="1" applyBorder="1" applyAlignment="1">
      <alignment horizontal="right"/>
    </xf>
    <xf numFmtId="3" fontId="69" fillId="0" borderId="51" xfId="2" applyNumberFormat="1" applyFont="1" applyBorder="1"/>
    <xf numFmtId="164" fontId="69" fillId="0" borderId="3" xfId="2" applyNumberFormat="1" applyFont="1" applyBorder="1"/>
    <xf numFmtId="164" fontId="69" fillId="0" borderId="36" xfId="2" applyNumberFormat="1" applyFont="1" applyBorder="1"/>
    <xf numFmtId="49" fontId="25" fillId="0" borderId="31" xfId="13" applyNumberFormat="1" applyFont="1" applyBorder="1" applyAlignment="1" applyProtection="1">
      <alignment horizontal="left" vertical="center" wrapText="1"/>
      <protection hidden="1"/>
    </xf>
    <xf numFmtId="4" fontId="45" fillId="0" borderId="25" xfId="2" applyNumberFormat="1" applyFont="1" applyFill="1" applyBorder="1" applyAlignment="1">
      <alignment horizontal="right" vertical="center"/>
    </xf>
    <xf numFmtId="4" fontId="45" fillId="17" borderId="48" xfId="2" applyNumberFormat="1" applyFont="1" applyFill="1" applyBorder="1" applyAlignment="1">
      <alignment horizontal="right" vertical="center"/>
    </xf>
    <xf numFmtId="4" fontId="45" fillId="14" borderId="0" xfId="2" applyNumberFormat="1" applyFont="1" applyFill="1" applyBorder="1" applyAlignment="1">
      <alignment horizontal="right" vertical="center"/>
    </xf>
    <xf numFmtId="164" fontId="59" fillId="0" borderId="1" xfId="2" applyNumberFormat="1" applyFont="1" applyBorder="1" applyAlignment="1">
      <alignment horizontal="right"/>
    </xf>
    <xf numFmtId="164" fontId="59" fillId="0" borderId="29" xfId="2" applyNumberFormat="1" applyFont="1" applyBorder="1" applyAlignment="1">
      <alignment horizontal="right"/>
    </xf>
    <xf numFmtId="164" fontId="59" fillId="0" borderId="20" xfId="2" applyNumberFormat="1" applyFont="1" applyBorder="1" applyAlignment="1">
      <alignment horizontal="right"/>
    </xf>
    <xf numFmtId="3" fontId="69" fillId="0" borderId="18" xfId="2" applyNumberFormat="1" applyFont="1" applyBorder="1"/>
    <xf numFmtId="164" fontId="69" fillId="0" borderId="1" xfId="2" applyNumberFormat="1" applyFont="1" applyBorder="1"/>
    <xf numFmtId="164" fontId="69" fillId="0" borderId="20" xfId="2" applyNumberFormat="1" applyFont="1" applyBorder="1"/>
    <xf numFmtId="164" fontId="45" fillId="17" borderId="50" xfId="2" applyNumberFormat="1" applyFont="1" applyFill="1" applyBorder="1" applyAlignment="1">
      <alignment horizontal="right" vertical="center" wrapText="1"/>
    </xf>
    <xf numFmtId="4" fontId="45" fillId="14" borderId="3" xfId="2" applyNumberFormat="1" applyFont="1" applyFill="1" applyBorder="1" applyAlignment="1">
      <alignment horizontal="right" vertical="center"/>
    </xf>
    <xf numFmtId="164" fontId="59" fillId="0" borderId="25" xfId="2" applyNumberFormat="1" applyFont="1" applyBorder="1" applyAlignment="1">
      <alignment horizontal="right"/>
    </xf>
    <xf numFmtId="3" fontId="69" fillId="0" borderId="0" xfId="2" applyNumberFormat="1" applyFont="1" applyBorder="1"/>
    <xf numFmtId="0" fontId="50" fillId="0" borderId="52" xfId="2" quotePrefix="1" applyFont="1" applyBorder="1" applyAlignment="1">
      <alignment horizontal="center" vertical="center"/>
    </xf>
    <xf numFmtId="49" fontId="25" fillId="0" borderId="29" xfId="13" applyNumberFormat="1" applyFont="1" applyBorder="1" applyAlignment="1" applyProtection="1">
      <alignment horizontal="left" vertical="center" wrapText="1"/>
      <protection hidden="1"/>
    </xf>
    <xf numFmtId="4" fontId="45" fillId="17" borderId="53" xfId="2" applyNumberFormat="1" applyFont="1" applyFill="1" applyBorder="1" applyAlignment="1">
      <alignment horizontal="right" vertical="center" wrapText="1"/>
    </xf>
    <xf numFmtId="4" fontId="45" fillId="14" borderId="1" xfId="2" applyNumberFormat="1" applyFont="1" applyFill="1" applyBorder="1" applyAlignment="1">
      <alignment horizontal="right" vertical="center"/>
    </xf>
    <xf numFmtId="164" fontId="45" fillId="0" borderId="20" xfId="2" applyNumberFormat="1" applyFont="1" applyFill="1" applyBorder="1" applyAlignment="1">
      <alignment horizontal="right" vertical="center"/>
    </xf>
    <xf numFmtId="3" fontId="25" fillId="0" borderId="3" xfId="2" applyNumberFormat="1" applyFont="1" applyFill="1" applyBorder="1" applyAlignment="1">
      <alignment horizontal="right" vertical="center"/>
    </xf>
    <xf numFmtId="3" fontId="25" fillId="17" borderId="50" xfId="2" applyNumberFormat="1" applyFont="1" applyFill="1" applyBorder="1" applyAlignment="1">
      <alignment horizontal="right" vertical="center"/>
    </xf>
    <xf numFmtId="164" fontId="25" fillId="14" borderId="3" xfId="2" applyNumberFormat="1" applyFont="1" applyFill="1" applyBorder="1" applyAlignment="1">
      <alignment horizontal="right" vertical="center"/>
    </xf>
    <xf numFmtId="164" fontId="25" fillId="0" borderId="36" xfId="2" applyNumberFormat="1" applyFont="1" applyFill="1" applyBorder="1" applyAlignment="1">
      <alignment horizontal="right" vertical="center"/>
    </xf>
    <xf numFmtId="4" fontId="25" fillId="0" borderId="0" xfId="2" applyNumberFormat="1" applyFont="1" applyFill="1" applyBorder="1" applyAlignment="1">
      <alignment horizontal="right" vertical="center"/>
    </xf>
    <xf numFmtId="4" fontId="25" fillId="17" borderId="48" xfId="2" applyNumberFormat="1" applyFont="1" applyFill="1" applyBorder="1" applyAlignment="1">
      <alignment horizontal="right" vertical="center" wrapText="1"/>
    </xf>
    <xf numFmtId="4" fontId="25" fillId="14" borderId="0" xfId="2" applyNumberFormat="1" applyFont="1" applyFill="1" applyBorder="1" applyAlignment="1">
      <alignment horizontal="right" vertical="center"/>
    </xf>
    <xf numFmtId="164" fontId="25" fillId="0" borderId="26" xfId="2" applyNumberFormat="1" applyFont="1" applyFill="1" applyBorder="1" applyAlignment="1">
      <alignment horizontal="right" vertical="center"/>
    </xf>
    <xf numFmtId="0" fontId="50" fillId="0" borderId="54" xfId="2" quotePrefix="1" applyFont="1" applyFill="1" applyBorder="1" applyAlignment="1">
      <alignment horizontal="center" vertical="center"/>
    </xf>
    <xf numFmtId="49" fontId="13" fillId="0" borderId="2" xfId="14" applyNumberFormat="1" applyFont="1" applyFill="1" applyBorder="1" applyAlignment="1" applyProtection="1">
      <alignment horizontal="left" vertical="center" wrapText="1"/>
      <protection hidden="1"/>
    </xf>
    <xf numFmtId="164" fontId="13" fillId="0" borderId="23" xfId="2" applyNumberFormat="1" applyFont="1" applyFill="1" applyBorder="1" applyAlignment="1">
      <alignment horizontal="right" vertical="center"/>
    </xf>
    <xf numFmtId="164" fontId="13" fillId="17" borderId="55" xfId="2" applyNumberFormat="1" applyFont="1" applyFill="1" applyBorder="1" applyAlignment="1">
      <alignment horizontal="right" vertical="center"/>
    </xf>
    <xf numFmtId="164" fontId="13" fillId="0" borderId="56" xfId="2" applyNumberFormat="1" applyFont="1" applyFill="1" applyBorder="1" applyAlignment="1">
      <alignment horizontal="right" vertical="center"/>
    </xf>
    <xf numFmtId="49" fontId="13" fillId="17" borderId="52" xfId="13" applyNumberFormat="1" applyFont="1" applyFill="1" applyBorder="1" applyAlignment="1" applyProtection="1">
      <alignment horizontal="center" vertical="center"/>
      <protection hidden="1"/>
    </xf>
    <xf numFmtId="49" fontId="13" fillId="17" borderId="29" xfId="14" applyNumberFormat="1" applyFont="1" applyFill="1" applyBorder="1" applyAlignment="1" applyProtection="1">
      <alignment horizontal="left" vertical="center" wrapText="1"/>
      <protection hidden="1"/>
    </xf>
    <xf numFmtId="164" fontId="13" fillId="17" borderId="1" xfId="2" applyNumberFormat="1" applyFont="1" applyFill="1" applyBorder="1" applyAlignment="1">
      <alignment horizontal="right" vertical="center"/>
    </xf>
    <xf numFmtId="164" fontId="13" fillId="17" borderId="53" xfId="2" applyNumberFormat="1" applyFont="1" applyFill="1" applyBorder="1" applyAlignment="1">
      <alignment horizontal="right" vertical="center"/>
    </xf>
    <xf numFmtId="4" fontId="13" fillId="17" borderId="1" xfId="2" applyNumberFormat="1" applyFont="1" applyFill="1" applyBorder="1" applyAlignment="1">
      <alignment horizontal="right" vertical="center"/>
    </xf>
    <xf numFmtId="165" fontId="13" fillId="17" borderId="20" xfId="2" applyNumberFormat="1" applyFont="1" applyFill="1" applyBorder="1" applyAlignment="1">
      <alignment horizontal="right" vertical="center"/>
    </xf>
    <xf numFmtId="0" fontId="9" fillId="17" borderId="47" xfId="2" quotePrefix="1" applyFont="1" applyFill="1" applyBorder="1" applyAlignment="1">
      <alignment horizontal="center" vertical="center"/>
    </xf>
    <xf numFmtId="164" fontId="11" fillId="17" borderId="0" xfId="2" applyNumberFormat="1" applyFont="1" applyFill="1" applyBorder="1" applyAlignment="1">
      <alignment horizontal="right" vertical="center"/>
    </xf>
    <xf numFmtId="164" fontId="11" fillId="17" borderId="48" xfId="2" applyNumberFormat="1" applyFont="1" applyFill="1" applyBorder="1" applyAlignment="1">
      <alignment horizontal="right" vertical="center"/>
    </xf>
    <xf numFmtId="165" fontId="11" fillId="17" borderId="26" xfId="2" applyNumberFormat="1" applyFont="1" applyFill="1" applyBorder="1" applyAlignment="1">
      <alignment horizontal="right" vertical="center"/>
    </xf>
    <xf numFmtId="164" fontId="59" fillId="18" borderId="3" xfId="2" applyNumberFormat="1" applyFont="1" applyFill="1" applyBorder="1" applyAlignment="1">
      <alignment horizontal="right"/>
    </xf>
    <xf numFmtId="164" fontId="59" fillId="18" borderId="34" xfId="2" applyNumberFormat="1" applyFont="1" applyFill="1" applyBorder="1" applyAlignment="1">
      <alignment horizontal="right"/>
    </xf>
    <xf numFmtId="164" fontId="59" fillId="18" borderId="51" xfId="2" applyNumberFormat="1" applyFont="1" applyFill="1" applyBorder="1" applyAlignment="1">
      <alignment horizontal="right"/>
    </xf>
    <xf numFmtId="49" fontId="9" fillId="17" borderId="52" xfId="13" applyNumberFormat="1" applyFont="1" applyFill="1" applyBorder="1" applyAlignment="1" applyProtection="1">
      <alignment horizontal="center" vertical="center"/>
      <protection hidden="1"/>
    </xf>
    <xf numFmtId="4" fontId="11" fillId="17" borderId="1" xfId="2" applyNumberFormat="1" applyFont="1" applyFill="1" applyBorder="1" applyAlignment="1">
      <alignment horizontal="right" vertical="center"/>
    </xf>
    <xf numFmtId="4" fontId="11" fillId="17" borderId="53" xfId="2" applyNumberFormat="1" applyFont="1" applyFill="1" applyBorder="1" applyAlignment="1">
      <alignment horizontal="right" vertical="center"/>
    </xf>
    <xf numFmtId="165" fontId="11" fillId="17" borderId="20" xfId="2" applyNumberFormat="1" applyFont="1" applyFill="1" applyBorder="1" applyAlignment="1">
      <alignment horizontal="right" vertical="center"/>
    </xf>
    <xf numFmtId="0" fontId="48" fillId="18" borderId="18" xfId="2" applyNumberFormat="1" applyFont="1" applyFill="1" applyBorder="1" applyAlignment="1">
      <alignment horizontal="right"/>
    </xf>
    <xf numFmtId="0" fontId="48" fillId="18" borderId="1" xfId="2" applyNumberFormat="1" applyFont="1" applyFill="1" applyBorder="1" applyAlignment="1">
      <alignment horizontal="right"/>
    </xf>
    <xf numFmtId="165" fontId="48" fillId="18" borderId="29" xfId="2" applyNumberFormat="1" applyFont="1" applyFill="1" applyBorder="1" applyAlignment="1">
      <alignment horizontal="right"/>
    </xf>
    <xf numFmtId="164" fontId="65" fillId="18" borderId="22" xfId="2" applyNumberFormat="1" applyFont="1" applyFill="1" applyBorder="1"/>
    <xf numFmtId="164" fontId="65" fillId="18" borderId="30" xfId="2" applyNumberFormat="1" applyFont="1" applyFill="1" applyBorder="1"/>
    <xf numFmtId="164" fontId="65" fillId="18" borderId="24" xfId="2" applyNumberFormat="1" applyFont="1" applyFill="1" applyBorder="1"/>
    <xf numFmtId="49" fontId="11" fillId="17" borderId="2" xfId="13" applyNumberFormat="1" applyFont="1" applyFill="1" applyBorder="1" applyAlignment="1" applyProtection="1">
      <alignment horizontal="left" vertical="center" wrapText="1"/>
      <protection hidden="1"/>
    </xf>
    <xf numFmtId="164" fontId="11" fillId="17" borderId="1" xfId="2" applyNumberFormat="1" applyFont="1" applyFill="1" applyBorder="1" applyAlignment="1">
      <alignment horizontal="right" vertical="center"/>
    </xf>
    <xf numFmtId="164" fontId="11" fillId="17" borderId="53" xfId="2" applyNumberFormat="1" applyFont="1" applyFill="1" applyBorder="1" applyAlignment="1">
      <alignment horizontal="right" vertical="center"/>
    </xf>
    <xf numFmtId="164" fontId="11" fillId="17" borderId="20" xfId="2" applyNumberFormat="1" applyFont="1" applyFill="1" applyBorder="1" applyAlignment="1">
      <alignment horizontal="right" vertical="center"/>
    </xf>
    <xf numFmtId="165" fontId="48" fillId="18" borderId="19" xfId="2" applyNumberFormat="1" applyFont="1" applyFill="1" applyBorder="1" applyAlignment="1">
      <alignment horizontal="right"/>
    </xf>
    <xf numFmtId="164" fontId="65" fillId="18" borderId="18" xfId="2" applyNumberFormat="1" applyFont="1" applyFill="1" applyBorder="1"/>
    <xf numFmtId="164" fontId="65" fillId="18" borderId="1" xfId="2" applyNumberFormat="1" applyFont="1" applyFill="1" applyBorder="1"/>
    <xf numFmtId="164" fontId="65" fillId="18" borderId="20" xfId="2" applyNumberFormat="1" applyFont="1" applyFill="1" applyBorder="1"/>
    <xf numFmtId="49" fontId="50" fillId="17" borderId="52" xfId="13" applyNumberFormat="1" applyFont="1" applyFill="1" applyBorder="1" applyAlignment="1" applyProtection="1">
      <alignment horizontal="center" vertical="center"/>
      <protection hidden="1"/>
    </xf>
    <xf numFmtId="49" fontId="13" fillId="17" borderId="2" xfId="13" applyNumberFormat="1" applyFont="1" applyFill="1" applyBorder="1" applyAlignment="1" applyProtection="1">
      <alignment horizontal="left" vertical="center" wrapText="1"/>
      <protection hidden="1"/>
    </xf>
    <xf numFmtId="49" fontId="50" fillId="0" borderId="52" xfId="13" applyNumberFormat="1" applyFont="1" applyBorder="1" applyAlignment="1" applyProtection="1">
      <alignment horizontal="center" vertical="center"/>
      <protection hidden="1"/>
    </xf>
    <xf numFmtId="49" fontId="18" fillId="0" borderId="29" xfId="13" applyNumberFormat="1" applyFont="1" applyBorder="1" applyAlignment="1" applyProtection="1">
      <alignment horizontal="left" vertical="center" wrapText="1"/>
      <protection hidden="1"/>
    </xf>
    <xf numFmtId="164" fontId="18" fillId="0" borderId="19" xfId="2" applyNumberFormat="1" applyFont="1" applyFill="1" applyBorder="1" applyAlignment="1">
      <alignment horizontal="right" vertical="center"/>
    </xf>
    <xf numFmtId="164" fontId="18" fillId="17" borderId="53" xfId="2" applyNumberFormat="1" applyFont="1" applyFill="1" applyBorder="1" applyAlignment="1">
      <alignment horizontal="right" vertical="center"/>
    </xf>
    <xf numFmtId="164" fontId="18" fillId="0" borderId="1" xfId="2" applyNumberFormat="1" applyFont="1" applyFill="1" applyBorder="1" applyAlignment="1">
      <alignment horizontal="right" vertical="center"/>
    </xf>
    <xf numFmtId="164" fontId="18" fillId="0" borderId="20" xfId="2" applyNumberFormat="1" applyFont="1" applyFill="1" applyBorder="1" applyAlignment="1">
      <alignment horizontal="right" vertical="center"/>
    </xf>
    <xf numFmtId="164" fontId="48" fillId="0" borderId="18" xfId="2" applyNumberFormat="1" applyFont="1" applyBorder="1" applyAlignment="1">
      <alignment horizontal="right"/>
    </xf>
    <xf numFmtId="164" fontId="48" fillId="0" borderId="19" xfId="2" applyNumberFormat="1" applyFont="1" applyBorder="1" applyAlignment="1">
      <alignment horizontal="right"/>
    </xf>
    <xf numFmtId="164" fontId="48" fillId="0" borderId="20" xfId="2" applyNumberFormat="1" applyFont="1" applyBorder="1" applyAlignment="1">
      <alignment horizontal="right"/>
    </xf>
    <xf numFmtId="164" fontId="65" fillId="0" borderId="18" xfId="2" applyNumberFormat="1" applyFont="1" applyBorder="1"/>
    <xf numFmtId="164" fontId="65" fillId="0" borderId="19" xfId="2" applyNumberFormat="1" applyFont="1" applyBorder="1"/>
    <xf numFmtId="164" fontId="65" fillId="0" borderId="20" xfId="2" applyNumberFormat="1" applyFont="1" applyBorder="1"/>
    <xf numFmtId="49" fontId="25" fillId="0" borderId="54" xfId="13" applyNumberFormat="1" applyFont="1" applyBorder="1" applyAlignment="1" applyProtection="1">
      <alignment horizontal="center" vertical="center"/>
      <protection hidden="1"/>
    </xf>
    <xf numFmtId="49" fontId="45" fillId="0" borderId="2" xfId="13" applyNumberFormat="1" applyFont="1" applyBorder="1" applyAlignment="1" applyProtection="1">
      <alignment vertical="center" wrapText="1"/>
      <protection hidden="1"/>
    </xf>
    <xf numFmtId="164" fontId="45" fillId="0" borderId="23" xfId="2" applyNumberFormat="1" applyFont="1" applyFill="1" applyBorder="1" applyAlignment="1">
      <alignment horizontal="right" vertical="center"/>
    </xf>
    <xf numFmtId="164" fontId="45" fillId="17" borderId="55" xfId="2" applyNumberFormat="1" applyFont="1" applyFill="1" applyBorder="1" applyAlignment="1">
      <alignment horizontal="right" vertical="center"/>
    </xf>
    <xf numFmtId="164" fontId="45" fillId="0" borderId="30" xfId="2" applyNumberFormat="1" applyFont="1" applyFill="1" applyBorder="1" applyAlignment="1">
      <alignment horizontal="right" vertical="center"/>
    </xf>
    <xf numFmtId="164" fontId="45" fillId="0" borderId="24" xfId="2" applyNumberFormat="1" applyFont="1" applyFill="1" applyBorder="1" applyAlignment="1">
      <alignment horizontal="right" vertical="center"/>
    </xf>
    <xf numFmtId="164" fontId="59" fillId="0" borderId="22" xfId="2" applyNumberFormat="1" applyFont="1" applyBorder="1" applyAlignment="1">
      <alignment horizontal="right"/>
    </xf>
    <xf numFmtId="164" fontId="59" fillId="0" borderId="23" xfId="2" applyNumberFormat="1" applyFont="1" applyBorder="1" applyAlignment="1">
      <alignment horizontal="right"/>
    </xf>
    <xf numFmtId="164" fontId="59" fillId="0" borderId="24" xfId="2" applyNumberFormat="1" applyFont="1" applyBorder="1" applyAlignment="1">
      <alignment horizontal="right"/>
    </xf>
    <xf numFmtId="164" fontId="69" fillId="0" borderId="22" xfId="2" applyNumberFormat="1" applyFont="1" applyBorder="1"/>
    <xf numFmtId="164" fontId="69" fillId="0" borderId="23" xfId="2" applyNumberFormat="1" applyFont="1" applyBorder="1"/>
    <xf numFmtId="164" fontId="69" fillId="0" borderId="24" xfId="2" applyNumberFormat="1" applyFont="1" applyBorder="1"/>
    <xf numFmtId="49" fontId="45" fillId="0" borderId="2" xfId="13" applyNumberFormat="1" applyFont="1" applyBorder="1" applyAlignment="1" applyProtection="1">
      <alignment horizontal="left" vertical="center" wrapText="1"/>
      <protection hidden="1"/>
    </xf>
    <xf numFmtId="49" fontId="45" fillId="0" borderId="2" xfId="14" applyNumberFormat="1" applyFont="1" applyBorder="1" applyAlignment="1" applyProtection="1">
      <alignment horizontal="left" vertical="center" wrapText="1"/>
      <protection hidden="1"/>
    </xf>
    <xf numFmtId="0" fontId="45" fillId="14" borderId="2" xfId="2" applyFont="1" applyFill="1" applyBorder="1" applyAlignment="1">
      <alignment horizontal="left" vertical="center" wrapText="1"/>
    </xf>
    <xf numFmtId="49" fontId="50" fillId="0" borderId="54" xfId="13" applyNumberFormat="1" applyFont="1" applyBorder="1" applyAlignment="1" applyProtection="1">
      <alignment horizontal="center" vertical="center"/>
      <protection hidden="1"/>
    </xf>
    <xf numFmtId="164" fontId="18" fillId="17" borderId="55" xfId="2" applyNumberFormat="1" applyFont="1" applyFill="1" applyBorder="1" applyAlignment="1">
      <alignment horizontal="right" vertical="center"/>
    </xf>
    <xf numFmtId="164" fontId="48" fillId="0" borderId="22" xfId="2" applyNumberFormat="1" applyFont="1" applyBorder="1" applyAlignment="1">
      <alignment horizontal="right"/>
    </xf>
    <xf numFmtId="164" fontId="48" fillId="0" borderId="23" xfId="2" applyNumberFormat="1" applyFont="1" applyBorder="1" applyAlignment="1">
      <alignment horizontal="right"/>
    </xf>
    <xf numFmtId="164" fontId="48" fillId="0" borderId="24" xfId="2" applyNumberFormat="1" applyFont="1" applyBorder="1" applyAlignment="1">
      <alignment horizontal="right"/>
    </xf>
    <xf numFmtId="164" fontId="65" fillId="0" borderId="22" xfId="2" applyNumberFormat="1" applyFont="1" applyBorder="1"/>
    <xf numFmtId="164" fontId="65" fillId="0" borderId="23" xfId="2" applyNumberFormat="1" applyFont="1" applyBorder="1"/>
    <xf numFmtId="164" fontId="65" fillId="0" borderId="24" xfId="2" applyNumberFormat="1" applyFont="1" applyBorder="1"/>
    <xf numFmtId="49" fontId="45" fillId="0" borderId="2" xfId="13" applyNumberFormat="1" applyFont="1" applyBorder="1" applyAlignment="1" applyProtection="1">
      <alignment horizontal="left" vertical="center"/>
      <protection hidden="1"/>
    </xf>
    <xf numFmtId="164" fontId="59" fillId="0" borderId="57" xfId="2" applyNumberFormat="1" applyFont="1" applyBorder="1" applyAlignment="1">
      <alignment horizontal="right"/>
    </xf>
    <xf numFmtId="164" fontId="59" fillId="0" borderId="58" xfId="2" applyNumberFormat="1" applyFont="1" applyBorder="1" applyAlignment="1">
      <alignment horizontal="right"/>
    </xf>
    <xf numFmtId="164" fontId="59" fillId="0" borderId="59" xfId="2" applyNumberFormat="1" applyFont="1" applyBorder="1" applyAlignment="1">
      <alignment horizontal="right"/>
    </xf>
    <xf numFmtId="164" fontId="69" fillId="0" borderId="57" xfId="2" applyNumberFormat="1" applyFont="1" applyBorder="1"/>
    <xf numFmtId="164" fontId="69" fillId="0" borderId="58" xfId="2" applyNumberFormat="1" applyFont="1" applyBorder="1"/>
    <xf numFmtId="164" fontId="69" fillId="0" borderId="59" xfId="2" applyNumberFormat="1" applyFont="1" applyBorder="1"/>
    <xf numFmtId="0" fontId="9" fillId="0" borderId="52" xfId="2" applyFont="1" applyFill="1" applyBorder="1" applyAlignment="1">
      <alignment horizontal="center" vertical="center"/>
    </xf>
    <xf numFmtId="0" fontId="45" fillId="0" borderId="2" xfId="2" applyFont="1" applyBorder="1" applyAlignment="1">
      <alignment vertical="center"/>
    </xf>
    <xf numFmtId="164" fontId="48" fillId="18" borderId="5" xfId="2" applyNumberFormat="1" applyFont="1" applyFill="1" applyBorder="1" applyAlignment="1">
      <alignment horizontal="right"/>
    </xf>
    <xf numFmtId="164" fontId="48" fillId="18" borderId="28" xfId="2" applyNumberFormat="1" applyFont="1" applyFill="1" applyBorder="1" applyAlignment="1">
      <alignment horizontal="right"/>
    </xf>
    <xf numFmtId="164" fontId="48" fillId="18" borderId="8" xfId="2" applyNumberFormat="1" applyFont="1" applyFill="1" applyBorder="1" applyAlignment="1">
      <alignment horizontal="right"/>
    </xf>
    <xf numFmtId="164" fontId="65" fillId="18" borderId="5" xfId="2" applyNumberFormat="1" applyFont="1" applyFill="1" applyBorder="1"/>
    <xf numFmtId="164" fontId="65" fillId="18" borderId="28" xfId="2" applyNumberFormat="1" applyFont="1" applyFill="1" applyBorder="1"/>
    <xf numFmtId="164" fontId="65" fillId="18" borderId="8" xfId="2" applyNumberFormat="1" applyFont="1" applyFill="1" applyBorder="1"/>
    <xf numFmtId="49" fontId="9" fillId="0" borderId="52" xfId="13" applyNumberFormat="1" applyFont="1" applyFill="1" applyBorder="1" applyAlignment="1" applyProtection="1">
      <alignment horizontal="center" vertical="center"/>
      <protection hidden="1"/>
    </xf>
    <xf numFmtId="0" fontId="45" fillId="14" borderId="2" xfId="2" applyFont="1" applyFill="1" applyBorder="1" applyAlignment="1">
      <alignment vertical="center"/>
    </xf>
    <xf numFmtId="164" fontId="69" fillId="0" borderId="18" xfId="2" applyNumberFormat="1" applyFont="1" applyBorder="1"/>
    <xf numFmtId="164" fontId="69" fillId="0" borderId="19" xfId="2" applyNumberFormat="1" applyFont="1" applyBorder="1"/>
    <xf numFmtId="49" fontId="25" fillId="0" borderId="60" xfId="13" applyNumberFormat="1" applyFont="1" applyBorder="1" applyAlignment="1" applyProtection="1">
      <alignment horizontal="center" vertical="center"/>
      <protection hidden="1"/>
    </xf>
    <xf numFmtId="0" fontId="45" fillId="14" borderId="61" xfId="2" applyFont="1" applyFill="1" applyBorder="1" applyAlignment="1">
      <alignment horizontal="left" vertical="center" wrapText="1"/>
    </xf>
    <xf numFmtId="164" fontId="45" fillId="0" borderId="58" xfId="2" applyNumberFormat="1" applyFont="1" applyFill="1" applyBorder="1" applyAlignment="1">
      <alignment horizontal="right" vertical="center"/>
    </xf>
    <xf numFmtId="164" fontId="45" fillId="17" borderId="62" xfId="2" applyNumberFormat="1" applyFont="1" applyFill="1" applyBorder="1" applyAlignment="1">
      <alignment horizontal="right" vertical="center"/>
    </xf>
    <xf numFmtId="164" fontId="45" fillId="0" borderId="37" xfId="2" applyNumberFormat="1" applyFont="1" applyFill="1" applyBorder="1" applyAlignment="1">
      <alignment horizontal="right" vertical="center"/>
    </xf>
    <xf numFmtId="164" fontId="45" fillId="0" borderId="59" xfId="2" applyNumberFormat="1" applyFont="1" applyFill="1" applyBorder="1" applyAlignment="1">
      <alignment horizontal="right" vertical="center"/>
    </xf>
    <xf numFmtId="49" fontId="25" fillId="0" borderId="47" xfId="13" applyNumberFormat="1" applyFont="1" applyBorder="1" applyAlignment="1" applyProtection="1">
      <alignment horizontal="center" vertical="center"/>
      <protection hidden="1"/>
    </xf>
    <xf numFmtId="0" fontId="45" fillId="14" borderId="31" xfId="2" applyFont="1" applyFill="1" applyBorder="1" applyAlignment="1">
      <alignment horizontal="left" vertical="center" wrapText="1"/>
    </xf>
    <xf numFmtId="164" fontId="45" fillId="0" borderId="0" xfId="2" applyNumberFormat="1" applyFont="1" applyFill="1" applyBorder="1" applyAlignment="1">
      <alignment horizontal="right" vertical="center"/>
    </xf>
    <xf numFmtId="49" fontId="25" fillId="19" borderId="40" xfId="13" applyNumberFormat="1" applyFont="1" applyFill="1" applyBorder="1" applyAlignment="1" applyProtection="1">
      <alignment horizontal="center" vertical="center"/>
      <protection hidden="1"/>
    </xf>
    <xf numFmtId="0" fontId="18" fillId="19" borderId="7" xfId="2" applyFont="1" applyFill="1" applyBorder="1" applyAlignment="1">
      <alignment horizontal="left" vertical="center" wrapText="1"/>
    </xf>
    <xf numFmtId="164" fontId="18" fillId="19" borderId="28" xfId="2" applyNumberFormat="1" applyFont="1" applyFill="1" applyBorder="1" applyAlignment="1">
      <alignment horizontal="right" vertical="center"/>
    </xf>
    <xf numFmtId="164" fontId="18" fillId="19" borderId="41" xfId="2" applyNumberFormat="1" applyFont="1" applyFill="1" applyBorder="1" applyAlignment="1">
      <alignment horizontal="right" vertical="center"/>
    </xf>
    <xf numFmtId="164" fontId="18" fillId="19" borderId="6" xfId="2" applyNumberFormat="1" applyFont="1" applyFill="1" applyBorder="1" applyAlignment="1">
      <alignment horizontal="right" vertical="center"/>
    </xf>
    <xf numFmtId="164" fontId="18" fillId="19" borderId="8" xfId="2" applyNumberFormat="1" applyFont="1" applyFill="1" applyBorder="1" applyAlignment="1">
      <alignment horizontal="right" vertical="center"/>
    </xf>
    <xf numFmtId="49" fontId="8" fillId="0" borderId="40" xfId="13" applyNumberFormat="1" applyFont="1" applyBorder="1" applyAlignment="1" applyProtection="1">
      <alignment horizontal="center" vertical="center"/>
      <protection hidden="1"/>
    </xf>
    <xf numFmtId="0" fontId="13" fillId="0" borderId="7" xfId="2" applyFont="1" applyFill="1" applyBorder="1" applyAlignment="1">
      <alignment horizontal="left" vertical="center" wrapText="1"/>
    </xf>
    <xf numFmtId="164" fontId="18" fillId="0" borderId="28" xfId="2" applyNumberFormat="1" applyFont="1" applyFill="1" applyBorder="1" applyAlignment="1">
      <alignment horizontal="right" vertical="center" wrapText="1"/>
    </xf>
    <xf numFmtId="164" fontId="70" fillId="13" borderId="41" xfId="2" applyNumberFormat="1" applyFont="1" applyFill="1" applyBorder="1" applyAlignment="1">
      <alignment horizontal="right" vertical="center"/>
    </xf>
    <xf numFmtId="164" fontId="18" fillId="0" borderId="5" xfId="2" applyNumberFormat="1" applyFont="1" applyFill="1" applyBorder="1" applyAlignment="1">
      <alignment horizontal="right" vertical="center"/>
    </xf>
    <xf numFmtId="164" fontId="18" fillId="0" borderId="8" xfId="2" applyNumberFormat="1" applyFont="1" applyFill="1" applyBorder="1" applyAlignment="1">
      <alignment horizontal="right" vertical="center"/>
    </xf>
    <xf numFmtId="49" fontId="25" fillId="0" borderId="52" xfId="13" applyNumberFormat="1" applyFont="1" applyBorder="1" applyAlignment="1" applyProtection="1">
      <alignment horizontal="center" vertical="center"/>
      <protection hidden="1"/>
    </xf>
    <xf numFmtId="0" fontId="11" fillId="0" borderId="29" xfId="2" applyFont="1" applyFill="1" applyBorder="1" applyAlignment="1">
      <alignment horizontal="left" vertical="center" wrapText="1"/>
    </xf>
    <xf numFmtId="164" fontId="11" fillId="0" borderId="19" xfId="2" applyNumberFormat="1" applyFont="1" applyFill="1" applyBorder="1" applyAlignment="1">
      <alignment horizontal="right" vertical="center" wrapText="1"/>
    </xf>
    <xf numFmtId="164" fontId="71" fillId="13" borderId="53" xfId="2" applyNumberFormat="1" applyFont="1" applyFill="1" applyBorder="1" applyAlignment="1">
      <alignment horizontal="right" vertical="center"/>
    </xf>
    <xf numFmtId="164" fontId="11" fillId="0" borderId="18" xfId="2" applyNumberFormat="1" applyFont="1" applyFill="1" applyBorder="1" applyAlignment="1">
      <alignment horizontal="right" vertical="center"/>
    </xf>
    <xf numFmtId="164" fontId="11" fillId="0" borderId="20" xfId="2" applyNumberFormat="1" applyFont="1" applyFill="1" applyBorder="1" applyAlignment="1">
      <alignment horizontal="right" vertical="center"/>
    </xf>
    <xf numFmtId="49" fontId="25" fillId="0" borderId="49" xfId="13" applyNumberFormat="1" applyFont="1" applyBorder="1" applyAlignment="1" applyProtection="1">
      <alignment horizontal="center" vertical="center"/>
      <protection hidden="1"/>
    </xf>
    <xf numFmtId="0" fontId="11" fillId="0" borderId="34" xfId="2" applyFont="1" applyFill="1" applyBorder="1" applyAlignment="1">
      <alignment horizontal="left" vertical="center" wrapText="1"/>
    </xf>
    <xf numFmtId="164" fontId="11" fillId="0" borderId="35" xfId="2" applyNumberFormat="1" applyFont="1" applyFill="1" applyBorder="1" applyAlignment="1">
      <alignment horizontal="right" vertical="center" wrapText="1"/>
    </xf>
    <xf numFmtId="164" fontId="71" fillId="13" borderId="50" xfId="2" applyNumberFormat="1" applyFont="1" applyFill="1" applyBorder="1" applyAlignment="1">
      <alignment horizontal="right" vertical="center"/>
    </xf>
    <xf numFmtId="164" fontId="11" fillId="0" borderId="51" xfId="2" applyNumberFormat="1" applyFont="1" applyFill="1" applyBorder="1" applyAlignment="1">
      <alignment horizontal="right" vertical="center"/>
    </xf>
    <xf numFmtId="164" fontId="11" fillId="0" borderId="36" xfId="2" applyNumberFormat="1" applyFont="1" applyFill="1" applyBorder="1" applyAlignment="1">
      <alignment horizontal="right" vertical="center"/>
    </xf>
    <xf numFmtId="49" fontId="25" fillId="0" borderId="47" xfId="13" applyNumberFormat="1" applyFont="1" applyFill="1" applyBorder="1" applyAlignment="1" applyProtection="1">
      <alignment vertical="center"/>
      <protection hidden="1"/>
    </xf>
    <xf numFmtId="49" fontId="25" fillId="0" borderId="0" xfId="13" applyNumberFormat="1" applyFont="1" applyFill="1" applyBorder="1" applyAlignment="1" applyProtection="1">
      <alignment vertical="center"/>
      <protection hidden="1"/>
    </xf>
    <xf numFmtId="49" fontId="25" fillId="0" borderId="63" xfId="13" applyNumberFormat="1" applyFont="1" applyFill="1" applyBorder="1" applyAlignment="1" applyProtection="1">
      <alignment vertical="center"/>
      <protection hidden="1"/>
    </xf>
    <xf numFmtId="49" fontId="25" fillId="0" borderId="54" xfId="13" applyNumberFormat="1" applyFont="1" applyBorder="1" applyAlignment="1" applyProtection="1">
      <alignment horizontal="left"/>
      <protection hidden="1"/>
    </xf>
    <xf numFmtId="49" fontId="50" fillId="0" borderId="54" xfId="13" applyNumberFormat="1" applyFont="1" applyBorder="1" applyAlignment="1" applyProtection="1">
      <alignment horizontal="left"/>
      <protection hidden="1"/>
    </xf>
    <xf numFmtId="49" fontId="18" fillId="0" borderId="52" xfId="13" applyNumberFormat="1" applyFont="1" applyBorder="1" applyAlignment="1" applyProtection="1">
      <alignment horizontal="left" vertical="center"/>
      <protection hidden="1"/>
    </xf>
    <xf numFmtId="164" fontId="18" fillId="0" borderId="16" xfId="2" applyNumberFormat="1" applyFont="1" applyFill="1" applyBorder="1" applyAlignment="1">
      <alignment horizontal="right" vertical="center"/>
    </xf>
    <xf numFmtId="49" fontId="45" fillId="0" borderId="54" xfId="13" applyNumberFormat="1" applyFont="1" applyBorder="1" applyAlignment="1" applyProtection="1">
      <alignment vertical="center" wrapText="1"/>
      <protection hidden="1"/>
    </xf>
    <xf numFmtId="49" fontId="45" fillId="0" borderId="54" xfId="13" applyNumberFormat="1" applyFont="1" applyBorder="1" applyAlignment="1" applyProtection="1">
      <alignment vertical="center"/>
      <protection hidden="1"/>
    </xf>
    <xf numFmtId="49" fontId="25" fillId="0" borderId="54" xfId="13" applyNumberFormat="1" applyFont="1" applyBorder="1" applyAlignment="1" applyProtection="1">
      <alignment horizontal="left" vertical="center"/>
      <protection hidden="1"/>
    </xf>
    <xf numFmtId="49" fontId="18" fillId="0" borderId="54" xfId="13" applyNumberFormat="1" applyFont="1" applyBorder="1" applyAlignment="1" applyProtection="1">
      <alignment horizontal="left" vertical="center" wrapText="1"/>
      <protection hidden="1"/>
    </xf>
    <xf numFmtId="0" fontId="50" fillId="0" borderId="54" xfId="2" applyFont="1" applyBorder="1"/>
    <xf numFmtId="0" fontId="45" fillId="0" borderId="54" xfId="2" applyFont="1" applyBorder="1" applyAlignment="1">
      <alignment vertical="center"/>
    </xf>
    <xf numFmtId="0" fontId="25" fillId="0" borderId="54" xfId="2" applyFont="1" applyBorder="1"/>
    <xf numFmtId="164" fontId="73" fillId="0" borderId="22" xfId="2" applyNumberFormat="1" applyFont="1" applyBorder="1" applyAlignment="1">
      <alignment horizontal="right"/>
    </xf>
    <xf numFmtId="164" fontId="73" fillId="0" borderId="23" xfId="2" applyNumberFormat="1" applyFont="1" applyBorder="1" applyAlignment="1">
      <alignment horizontal="right"/>
    </xf>
    <xf numFmtId="164" fontId="73" fillId="0" borderId="24" xfId="2" applyNumberFormat="1" applyFont="1" applyBorder="1" applyAlignment="1">
      <alignment horizontal="right"/>
    </xf>
    <xf numFmtId="164" fontId="74" fillId="0" borderId="22" xfId="2" applyNumberFormat="1" applyFont="1" applyBorder="1"/>
    <xf numFmtId="164" fontId="74" fillId="0" borderId="23" xfId="2" applyNumberFormat="1" applyFont="1" applyBorder="1"/>
    <xf numFmtId="164" fontId="74" fillId="0" borderId="24" xfId="2" applyNumberFormat="1" applyFont="1" applyBorder="1"/>
    <xf numFmtId="164" fontId="73" fillId="0" borderId="10" xfId="2" applyNumberFormat="1" applyFont="1" applyBorder="1" applyAlignment="1">
      <alignment horizontal="right"/>
    </xf>
    <xf numFmtId="164" fontId="73" fillId="0" borderId="11" xfId="2" applyNumberFormat="1" applyFont="1" applyBorder="1" applyAlignment="1">
      <alignment horizontal="right"/>
    </xf>
    <xf numFmtId="164" fontId="73" fillId="0" borderId="12" xfId="2" applyNumberFormat="1" applyFont="1" applyBorder="1" applyAlignment="1">
      <alignment horizontal="right"/>
    </xf>
    <xf numFmtId="164" fontId="74" fillId="0" borderId="10" xfId="2" applyNumberFormat="1" applyFont="1" applyBorder="1"/>
    <xf numFmtId="164" fontId="74" fillId="0" borderId="11" xfId="2" applyNumberFormat="1" applyFont="1" applyBorder="1"/>
    <xf numFmtId="164" fontId="74" fillId="0" borderId="12" xfId="2" applyNumberFormat="1" applyFont="1" applyBorder="1"/>
    <xf numFmtId="0" fontId="25" fillId="0" borderId="47" xfId="2" applyFont="1" applyBorder="1"/>
    <xf numFmtId="0" fontId="18" fillId="0" borderId="47" xfId="2" applyFont="1" applyBorder="1" applyAlignment="1">
      <alignment vertical="center"/>
    </xf>
    <xf numFmtId="164" fontId="18" fillId="0" borderId="26" xfId="2" applyNumberFormat="1" applyFont="1" applyFill="1" applyBorder="1" applyAlignment="1">
      <alignment horizontal="right" vertical="center"/>
    </xf>
    <xf numFmtId="164" fontId="18" fillId="17" borderId="48" xfId="2" applyNumberFormat="1" applyFont="1" applyFill="1" applyBorder="1" applyAlignment="1">
      <alignment horizontal="right" vertical="center"/>
    </xf>
    <xf numFmtId="164" fontId="18" fillId="0" borderId="25" xfId="2" applyNumberFormat="1" applyFont="1" applyFill="1" applyBorder="1" applyAlignment="1">
      <alignment horizontal="right" vertical="center"/>
    </xf>
    <xf numFmtId="0" fontId="18" fillId="20" borderId="40" xfId="2" applyFont="1" applyFill="1" applyBorder="1" applyAlignment="1">
      <alignment horizontal="left" vertical="center"/>
    </xf>
    <xf numFmtId="164" fontId="18" fillId="20" borderId="8" xfId="2" applyNumberFormat="1" applyFont="1" applyFill="1" applyBorder="1" applyAlignment="1">
      <alignment horizontal="right" vertical="center"/>
    </xf>
    <xf numFmtId="164" fontId="18" fillId="20" borderId="41" xfId="2" applyNumberFormat="1" applyFont="1" applyFill="1" applyBorder="1" applyAlignment="1">
      <alignment horizontal="right" vertical="center"/>
    </xf>
    <xf numFmtId="164" fontId="18" fillId="20" borderId="28" xfId="2" applyNumberFormat="1" applyFont="1" applyFill="1" applyBorder="1" applyAlignment="1">
      <alignment horizontal="right" vertical="center"/>
    </xf>
    <xf numFmtId="0" fontId="18" fillId="0" borderId="64" xfId="2" applyFont="1" applyFill="1" applyBorder="1" applyAlignment="1">
      <alignment horizontal="left" vertical="center"/>
    </xf>
    <xf numFmtId="164" fontId="18" fillId="0" borderId="12" xfId="2" applyNumberFormat="1" applyFont="1" applyFill="1" applyBorder="1" applyAlignment="1">
      <alignment horizontal="right" vertical="center"/>
    </xf>
    <xf numFmtId="164" fontId="18" fillId="0" borderId="66" xfId="2" applyNumberFormat="1" applyFont="1" applyFill="1" applyBorder="1" applyAlignment="1">
      <alignment horizontal="right" vertical="center"/>
    </xf>
    <xf numFmtId="164" fontId="18" fillId="0" borderId="11" xfId="2" applyNumberFormat="1" applyFont="1" applyFill="1" applyBorder="1" applyAlignment="1">
      <alignment horizontal="right" vertical="center"/>
    </xf>
    <xf numFmtId="0" fontId="25" fillId="21" borderId="40" xfId="2" applyFont="1" applyFill="1" applyBorder="1"/>
    <xf numFmtId="0" fontId="18" fillId="20" borderId="64" xfId="2" applyFont="1" applyFill="1" applyBorder="1" applyAlignment="1">
      <alignment horizontal="left" vertical="center" wrapText="1"/>
    </xf>
    <xf numFmtId="164" fontId="18" fillId="20" borderId="12" xfId="2" applyNumberFormat="1" applyFont="1" applyFill="1" applyBorder="1" applyAlignment="1">
      <alignment horizontal="right" vertical="center"/>
    </xf>
    <xf numFmtId="164" fontId="18" fillId="20" borderId="66" xfId="2" applyNumberFormat="1" applyFont="1" applyFill="1" applyBorder="1" applyAlignment="1">
      <alignment horizontal="right" vertical="center"/>
    </xf>
    <xf numFmtId="164" fontId="18" fillId="20" borderId="11" xfId="2" applyNumberFormat="1" applyFont="1" applyFill="1" applyBorder="1" applyAlignment="1">
      <alignment horizontal="right" vertical="center"/>
    </xf>
    <xf numFmtId="0" fontId="32" fillId="0" borderId="0" xfId="2" applyFont="1"/>
    <xf numFmtId="0" fontId="32" fillId="0" borderId="0" xfId="2" applyFont="1" applyAlignment="1">
      <alignment vertical="center"/>
    </xf>
    <xf numFmtId="0" fontId="6" fillId="0" borderId="0" xfId="2" applyAlignment="1">
      <alignment vertical="center"/>
    </xf>
    <xf numFmtId="0" fontId="61" fillId="0" borderId="0" xfId="2" applyFont="1"/>
    <xf numFmtId="0" fontId="48" fillId="0" borderId="0" xfId="2" applyFont="1" applyAlignment="1">
      <alignment horizontal="right"/>
    </xf>
    <xf numFmtId="0" fontId="18" fillId="0" borderId="0" xfId="2" applyFont="1" applyAlignment="1">
      <alignment horizontal="center"/>
    </xf>
    <xf numFmtId="49" fontId="18" fillId="0" borderId="4" xfId="14" applyNumberFormat="1" applyFont="1" applyBorder="1" applyAlignment="1" applyProtection="1">
      <alignment horizontal="center" vertical="center" wrapText="1"/>
      <protection hidden="1"/>
    </xf>
    <xf numFmtId="49" fontId="18" fillId="0" borderId="28" xfId="14" applyNumberFormat="1" applyFont="1" applyBorder="1" applyAlignment="1" applyProtection="1">
      <alignment horizontal="center" vertical="center"/>
      <protection hidden="1"/>
    </xf>
    <xf numFmtId="2" fontId="18" fillId="0" borderId="4" xfId="15" applyNumberFormat="1" applyFont="1" applyFill="1" applyBorder="1" applyAlignment="1" applyProtection="1">
      <alignment horizontal="center" vertical="center" wrapText="1"/>
      <protection locked="0"/>
    </xf>
    <xf numFmtId="2" fontId="18" fillId="0" borderId="28" xfId="15" applyNumberFormat="1" applyFont="1" applyFill="1" applyBorder="1" applyAlignment="1" applyProtection="1">
      <alignment horizontal="center" vertical="center" wrapText="1"/>
      <protection locked="0"/>
    </xf>
    <xf numFmtId="2" fontId="18" fillId="13" borderId="8" xfId="15" applyNumberFormat="1" applyFont="1" applyFill="1" applyBorder="1" applyAlignment="1" applyProtection="1">
      <alignment horizontal="center" vertical="center" wrapText="1"/>
      <protection locked="0"/>
    </xf>
    <xf numFmtId="2" fontId="51" fillId="0" borderId="67" xfId="2" applyNumberFormat="1" applyFont="1" applyFill="1" applyBorder="1" applyAlignment="1" applyProtection="1">
      <alignment horizontal="center" vertical="center" wrapText="1"/>
      <protection locked="0"/>
    </xf>
    <xf numFmtId="2" fontId="51" fillId="22" borderId="41" xfId="2" applyNumberFormat="1" applyFont="1" applyFill="1" applyBorder="1" applyAlignment="1" applyProtection="1">
      <alignment horizontal="center" vertical="center" wrapText="1"/>
      <protection locked="0"/>
    </xf>
    <xf numFmtId="2" fontId="51" fillId="0" borderId="41" xfId="2" applyNumberFormat="1" applyFont="1" applyFill="1" applyBorder="1" applyAlignment="1" applyProtection="1">
      <alignment horizontal="center" vertical="center" wrapText="1"/>
      <protection locked="0"/>
    </xf>
    <xf numFmtId="49" fontId="45" fillId="0" borderId="4" xfId="14" applyNumberFormat="1" applyFont="1" applyBorder="1" applyAlignment="1" applyProtection="1">
      <alignment horizontal="center" vertical="center" wrapText="1"/>
      <protection hidden="1"/>
    </xf>
    <xf numFmtId="49" fontId="45" fillId="0" borderId="28" xfId="14" applyNumberFormat="1" applyFont="1" applyBorder="1" applyAlignment="1" applyProtection="1">
      <alignment horizontal="center" vertical="center"/>
      <protection hidden="1"/>
    </xf>
    <xf numFmtId="1" fontId="45" fillId="0" borderId="4" xfId="2" applyNumberFormat="1" applyFont="1" applyFill="1" applyBorder="1" applyAlignment="1" applyProtection="1">
      <alignment horizontal="center" vertical="center" wrapText="1"/>
      <protection locked="0"/>
    </xf>
    <xf numFmtId="1" fontId="45" fillId="0" borderId="7" xfId="2" applyNumberFormat="1" applyFont="1" applyFill="1" applyBorder="1" applyAlignment="1" applyProtection="1">
      <alignment horizontal="center" vertical="center" wrapText="1"/>
      <protection locked="0"/>
    </xf>
    <xf numFmtId="1" fontId="45" fillId="13" borderId="8" xfId="2" applyNumberFormat="1" applyFont="1" applyFill="1" applyBorder="1" applyAlignment="1" applyProtection="1">
      <alignment horizontal="center" vertical="center" wrapText="1"/>
      <protection locked="0"/>
    </xf>
    <xf numFmtId="1" fontId="25" fillId="0" borderId="6" xfId="2" applyNumberFormat="1" applyFont="1" applyFill="1" applyBorder="1" applyAlignment="1" applyProtection="1">
      <alignment horizontal="center" vertical="center" wrapText="1"/>
      <protection locked="0"/>
    </xf>
    <xf numFmtId="1" fontId="25" fillId="22" borderId="41" xfId="2" applyNumberFormat="1" applyFont="1" applyFill="1" applyBorder="1" applyAlignment="1" applyProtection="1">
      <alignment horizontal="center" vertical="center" wrapText="1"/>
      <protection locked="0"/>
    </xf>
    <xf numFmtId="1" fontId="25" fillId="0" borderId="41" xfId="2" applyNumberFormat="1" applyFont="1" applyFill="1" applyBorder="1" applyAlignment="1" applyProtection="1">
      <alignment horizontal="center" vertical="center" wrapText="1"/>
      <protection locked="0"/>
    </xf>
    <xf numFmtId="16" fontId="18" fillId="13" borderId="4" xfId="2" quotePrefix="1" applyNumberFormat="1" applyFont="1" applyFill="1" applyBorder="1" applyAlignment="1">
      <alignment horizontal="center" vertical="center"/>
    </xf>
    <xf numFmtId="0" fontId="18" fillId="13" borderId="8" xfId="2" applyFont="1" applyFill="1" applyBorder="1" applyAlignment="1">
      <alignment horizontal="left" vertical="center"/>
    </xf>
    <xf numFmtId="164" fontId="18" fillId="13" borderId="9" xfId="2" applyNumberFormat="1" applyFont="1" applyFill="1" applyBorder="1" applyAlignment="1">
      <alignment horizontal="right" vertical="center"/>
    </xf>
    <xf numFmtId="164" fontId="18" fillId="13" borderId="11" xfId="2" applyNumberFormat="1" applyFont="1" applyFill="1" applyBorder="1" applyAlignment="1">
      <alignment horizontal="right" vertical="center"/>
    </xf>
    <xf numFmtId="164" fontId="18" fillId="13" borderId="8" xfId="2" applyNumberFormat="1" applyFont="1" applyFill="1" applyBorder="1" applyAlignment="1">
      <alignment horizontal="right" vertical="center"/>
    </xf>
    <xf numFmtId="3" fontId="50" fillId="18" borderId="38" xfId="2" applyNumberFormat="1" applyFont="1" applyFill="1" applyBorder="1" applyAlignment="1">
      <alignment horizontal="right"/>
    </xf>
    <xf numFmtId="3" fontId="50" fillId="22" borderId="66" xfId="2" applyNumberFormat="1" applyFont="1" applyFill="1" applyBorder="1" applyAlignment="1">
      <alignment horizontal="right"/>
    </xf>
    <xf numFmtId="0" fontId="18" fillId="0" borderId="68" xfId="2" quotePrefix="1" applyFont="1" applyBorder="1" applyAlignment="1">
      <alignment horizontal="center" vertical="center"/>
    </xf>
    <xf numFmtId="164" fontId="45" fillId="0" borderId="68" xfId="2" applyNumberFormat="1" applyFont="1" applyFill="1" applyBorder="1" applyAlignment="1">
      <alignment horizontal="right" vertical="center"/>
    </xf>
    <xf numFmtId="164" fontId="45" fillId="13" borderId="33" xfId="2" applyNumberFormat="1" applyFont="1" applyFill="1" applyBorder="1" applyAlignment="1">
      <alignment horizontal="right" vertical="center"/>
    </xf>
    <xf numFmtId="3" fontId="25" fillId="0" borderId="32" xfId="2" applyNumberFormat="1" applyFont="1" applyFill="1" applyBorder="1" applyAlignment="1">
      <alignment horizontal="right"/>
    </xf>
    <xf numFmtId="3" fontId="25" fillId="22" borderId="45" xfId="2" applyNumberFormat="1" applyFont="1" applyFill="1" applyBorder="1" applyAlignment="1">
      <alignment horizontal="right"/>
    </xf>
    <xf numFmtId="3" fontId="25" fillId="0" borderId="45" xfId="2" applyNumberFormat="1" applyFont="1" applyFill="1" applyBorder="1" applyAlignment="1">
      <alignment horizontal="right"/>
    </xf>
    <xf numFmtId="0" fontId="18" fillId="0" borderId="69" xfId="2" quotePrefix="1" applyFont="1" applyBorder="1" applyAlignment="1">
      <alignment horizontal="center" vertical="center"/>
    </xf>
    <xf numFmtId="3" fontId="45" fillId="0" borderId="69" xfId="2" applyNumberFormat="1" applyFont="1" applyFill="1" applyBorder="1" applyAlignment="1">
      <alignment horizontal="right" vertical="center"/>
    </xf>
    <xf numFmtId="3" fontId="45" fillId="13" borderId="26" xfId="2" applyNumberFormat="1" applyFont="1" applyFill="1" applyBorder="1" applyAlignment="1">
      <alignment horizontal="right" vertical="center"/>
    </xf>
    <xf numFmtId="3" fontId="25" fillId="0" borderId="0" xfId="2" applyNumberFormat="1" applyFont="1" applyFill="1" applyBorder="1" applyAlignment="1">
      <alignment horizontal="right"/>
    </xf>
    <xf numFmtId="3" fontId="25" fillId="22" borderId="48" xfId="2" applyNumberFormat="1" applyFont="1" applyFill="1" applyBorder="1" applyAlignment="1">
      <alignment horizontal="right"/>
    </xf>
    <xf numFmtId="3" fontId="25" fillId="0" borderId="48" xfId="2" applyNumberFormat="1" applyFont="1" applyFill="1" applyBorder="1" applyAlignment="1">
      <alignment horizontal="right"/>
    </xf>
    <xf numFmtId="0" fontId="18" fillId="0" borderId="49" xfId="2" quotePrefix="1" applyFont="1" applyBorder="1" applyAlignment="1">
      <alignment horizontal="center" vertical="center"/>
    </xf>
    <xf numFmtId="49" fontId="45" fillId="0" borderId="36" xfId="14" applyNumberFormat="1" applyFont="1" applyBorder="1" applyAlignment="1" applyProtection="1">
      <alignment horizontal="left" vertical="center" wrapText="1"/>
      <protection hidden="1"/>
    </xf>
    <xf numFmtId="164" fontId="45" fillId="0" borderId="70" xfId="2" applyNumberFormat="1" applyFont="1" applyFill="1" applyBorder="1" applyAlignment="1">
      <alignment horizontal="right" vertical="center"/>
    </xf>
    <xf numFmtId="164" fontId="45" fillId="13" borderId="36" xfId="2" applyNumberFormat="1" applyFont="1" applyFill="1" applyBorder="1" applyAlignment="1">
      <alignment horizontal="right" vertical="center"/>
    </xf>
    <xf numFmtId="3" fontId="25" fillId="0" borderId="3" xfId="2" applyNumberFormat="1" applyFont="1" applyFill="1" applyBorder="1" applyAlignment="1">
      <alignment horizontal="right"/>
    </xf>
    <xf numFmtId="3" fontId="25" fillId="22" borderId="50" xfId="2" applyNumberFormat="1" applyFont="1" applyFill="1" applyBorder="1" applyAlignment="1">
      <alignment horizontal="right"/>
    </xf>
    <xf numFmtId="3" fontId="25" fillId="0" borderId="50" xfId="2" applyNumberFormat="1" applyFont="1" applyFill="1" applyBorder="1" applyAlignment="1">
      <alignment horizontal="right"/>
    </xf>
    <xf numFmtId="0" fontId="18" fillId="0" borderId="52" xfId="2" quotePrefix="1" applyFont="1" applyBorder="1" applyAlignment="1">
      <alignment horizontal="center" vertical="center"/>
    </xf>
    <xf numFmtId="49" fontId="45" fillId="0" borderId="20" xfId="14" applyNumberFormat="1" applyFont="1" applyBorder="1" applyAlignment="1" applyProtection="1">
      <alignment horizontal="left" vertical="center" wrapText="1"/>
      <protection hidden="1"/>
    </xf>
    <xf numFmtId="4" fontId="45" fillId="0" borderId="17" xfId="2" applyNumberFormat="1" applyFont="1" applyFill="1" applyBorder="1" applyAlignment="1">
      <alignment horizontal="right" vertical="center"/>
    </xf>
    <xf numFmtId="164" fontId="45" fillId="0" borderId="19" xfId="2" applyNumberFormat="1" applyFont="1" applyFill="1" applyBorder="1" applyAlignment="1">
      <alignment horizontal="right" vertical="center"/>
    </xf>
    <xf numFmtId="4" fontId="45" fillId="13" borderId="20" xfId="2" applyNumberFormat="1" applyFont="1" applyFill="1" applyBorder="1" applyAlignment="1">
      <alignment horizontal="right" vertical="center"/>
    </xf>
    <xf numFmtId="4" fontId="25" fillId="0" borderId="1" xfId="2" applyNumberFormat="1" applyFont="1" applyFill="1" applyBorder="1" applyAlignment="1">
      <alignment horizontal="right"/>
    </xf>
    <xf numFmtId="4" fontId="25" fillId="22" borderId="53" xfId="2" applyNumberFormat="1" applyFont="1" applyFill="1" applyBorder="1" applyAlignment="1">
      <alignment horizontal="right"/>
    </xf>
    <xf numFmtId="4" fontId="25" fillId="0" borderId="53" xfId="2" applyNumberFormat="1" applyFont="1" applyFill="1" applyBorder="1" applyAlignment="1">
      <alignment horizontal="right"/>
    </xf>
    <xf numFmtId="164" fontId="45" fillId="0" borderId="49" xfId="2" applyNumberFormat="1" applyFont="1" applyFill="1" applyBorder="1" applyAlignment="1">
      <alignment horizontal="right" vertical="center" wrapText="1"/>
    </xf>
    <xf numFmtId="164" fontId="45" fillId="0" borderId="34" xfId="2" applyNumberFormat="1" applyFont="1" applyFill="1" applyBorder="1" applyAlignment="1">
      <alignment horizontal="right" vertical="center"/>
    </xf>
    <xf numFmtId="4" fontId="25" fillId="0" borderId="0" xfId="2" applyNumberFormat="1" applyFont="1" applyFill="1" applyBorder="1" applyAlignment="1">
      <alignment horizontal="right"/>
    </xf>
    <xf numFmtId="4" fontId="25" fillId="22" borderId="48" xfId="2" applyNumberFormat="1" applyFont="1" applyFill="1" applyBorder="1" applyAlignment="1">
      <alignment horizontal="right"/>
    </xf>
    <xf numFmtId="4" fontId="25" fillId="0" borderId="48" xfId="2" applyNumberFormat="1" applyFont="1" applyFill="1" applyBorder="1" applyAlignment="1">
      <alignment horizontal="right"/>
    </xf>
    <xf numFmtId="4" fontId="45" fillId="0" borderId="52" xfId="2" applyNumberFormat="1" applyFont="1" applyFill="1" applyBorder="1" applyAlignment="1">
      <alignment horizontal="right" vertical="center" wrapText="1"/>
    </xf>
    <xf numFmtId="164" fontId="45" fillId="0" borderId="29" xfId="2" applyNumberFormat="1" applyFont="1" applyFill="1" applyBorder="1" applyAlignment="1">
      <alignment horizontal="right" vertical="center"/>
    </xf>
    <xf numFmtId="164" fontId="25" fillId="0" borderId="49" xfId="2" applyNumberFormat="1" applyFont="1" applyFill="1" applyBorder="1" applyAlignment="1">
      <alignment horizontal="right" vertical="center"/>
    </xf>
    <xf numFmtId="164" fontId="45" fillId="0" borderId="31" xfId="2" applyNumberFormat="1" applyFont="1" applyFill="1" applyBorder="1" applyAlignment="1">
      <alignment horizontal="right" vertical="center"/>
    </xf>
    <xf numFmtId="164" fontId="45" fillId="13" borderId="26" xfId="2" applyNumberFormat="1" applyFont="1" applyFill="1" applyBorder="1" applyAlignment="1">
      <alignment horizontal="right" vertical="center"/>
    </xf>
    <xf numFmtId="4" fontId="25" fillId="0" borderId="47" xfId="2" applyNumberFormat="1" applyFont="1" applyFill="1" applyBorder="1" applyAlignment="1">
      <alignment horizontal="right" vertical="center" wrapText="1"/>
    </xf>
    <xf numFmtId="4" fontId="45" fillId="13" borderId="26" xfId="2" applyNumberFormat="1" applyFont="1" applyFill="1" applyBorder="1" applyAlignment="1">
      <alignment horizontal="right" vertical="center"/>
    </xf>
    <xf numFmtId="3" fontId="25" fillId="22" borderId="0" xfId="2" applyNumberFormat="1" applyFont="1" applyFill="1" applyBorder="1" applyAlignment="1">
      <alignment horizontal="right"/>
    </xf>
    <xf numFmtId="0" fontId="18" fillId="0" borderId="54" xfId="2" quotePrefix="1" applyFont="1" applyFill="1" applyBorder="1" applyAlignment="1">
      <alignment horizontal="center" vertical="center"/>
    </xf>
    <xf numFmtId="49" fontId="13" fillId="0" borderId="24" xfId="14" applyNumberFormat="1" applyFont="1" applyFill="1" applyBorder="1" applyAlignment="1" applyProtection="1">
      <alignment horizontal="left" vertical="center" wrapText="1"/>
      <protection hidden="1"/>
    </xf>
    <xf numFmtId="164" fontId="13" fillId="0" borderId="21" xfId="2" applyNumberFormat="1" applyFont="1" applyFill="1" applyBorder="1" applyAlignment="1">
      <alignment horizontal="right" vertical="center"/>
    </xf>
    <xf numFmtId="164" fontId="13" fillId="17" borderId="24" xfId="2" applyNumberFormat="1" applyFont="1" applyFill="1" applyBorder="1" applyAlignment="1">
      <alignment horizontal="right" vertical="center"/>
    </xf>
    <xf numFmtId="164" fontId="13" fillId="17" borderId="70" xfId="2" applyNumberFormat="1" applyFont="1" applyFill="1" applyBorder="1" applyAlignment="1">
      <alignment horizontal="right" vertical="center"/>
    </xf>
    <xf numFmtId="164" fontId="13" fillId="17" borderId="35" xfId="2" applyNumberFormat="1" applyFont="1" applyFill="1" applyBorder="1" applyAlignment="1">
      <alignment horizontal="right" vertical="center"/>
    </xf>
    <xf numFmtId="49" fontId="13" fillId="17" borderId="49" xfId="14" applyNumberFormat="1" applyFont="1" applyFill="1" applyBorder="1" applyAlignment="1" applyProtection="1">
      <alignment horizontal="center" vertical="center"/>
      <protection hidden="1"/>
    </xf>
    <xf numFmtId="164" fontId="13" fillId="17" borderId="34" xfId="2" applyNumberFormat="1" applyFont="1" applyFill="1" applyBorder="1" applyAlignment="1">
      <alignment horizontal="right" vertical="center"/>
    </xf>
    <xf numFmtId="164" fontId="13" fillId="17" borderId="71" xfId="2" applyNumberFormat="1" applyFont="1" applyFill="1" applyBorder="1" applyAlignment="1">
      <alignment horizontal="right" vertical="center"/>
    </xf>
    <xf numFmtId="3" fontId="50" fillId="22" borderId="3" xfId="2" applyNumberFormat="1" applyFont="1" applyFill="1" applyBorder="1" applyAlignment="1">
      <alignment horizontal="right"/>
    </xf>
    <xf numFmtId="3" fontId="50" fillId="22" borderId="50" xfId="2" applyNumberFormat="1" applyFont="1" applyFill="1" applyBorder="1" applyAlignment="1">
      <alignment horizontal="right"/>
    </xf>
    <xf numFmtId="49" fontId="13" fillId="17" borderId="52" xfId="14" applyNumberFormat="1" applyFont="1" applyFill="1" applyBorder="1" applyAlignment="1" applyProtection="1">
      <alignment horizontal="center" vertical="center"/>
      <protection hidden="1"/>
    </xf>
    <xf numFmtId="4" fontId="13" fillId="17" borderId="17" xfId="2" applyNumberFormat="1" applyFont="1" applyFill="1" applyBorder="1" applyAlignment="1">
      <alignment horizontal="right" vertical="center"/>
    </xf>
    <xf numFmtId="164" fontId="13" fillId="17" borderId="29" xfId="2" applyNumberFormat="1" applyFont="1" applyFill="1" applyBorder="1" applyAlignment="1">
      <alignment horizontal="right" vertical="center"/>
    </xf>
    <xf numFmtId="4" fontId="13" fillId="17" borderId="72" xfId="2" applyNumberFormat="1" applyFont="1" applyFill="1" applyBorder="1" applyAlignment="1">
      <alignment horizontal="right" vertical="center"/>
    </xf>
    <xf numFmtId="3" fontId="50" fillId="0" borderId="1" xfId="2" applyNumberFormat="1" applyFont="1" applyFill="1" applyBorder="1" applyAlignment="1">
      <alignment horizontal="right"/>
    </xf>
    <xf numFmtId="3" fontId="50" fillId="22" borderId="53" xfId="2" applyNumberFormat="1" applyFont="1" applyFill="1" applyBorder="1" applyAlignment="1">
      <alignment horizontal="right"/>
    </xf>
    <xf numFmtId="3" fontId="50" fillId="0" borderId="53" xfId="2" applyNumberFormat="1" applyFont="1" applyFill="1" applyBorder="1" applyAlignment="1">
      <alignment horizontal="right"/>
    </xf>
    <xf numFmtId="49" fontId="13" fillId="17" borderId="21" xfId="14" applyNumberFormat="1" applyFont="1" applyFill="1" applyBorder="1" applyAlignment="1" applyProtection="1">
      <alignment horizontal="center" vertical="center"/>
      <protection hidden="1"/>
    </xf>
    <xf numFmtId="49" fontId="13" fillId="17" borderId="24" xfId="13" applyNumberFormat="1" applyFont="1" applyFill="1" applyBorder="1" applyAlignment="1" applyProtection="1">
      <alignment horizontal="left" vertical="center" wrapText="1"/>
      <protection hidden="1"/>
    </xf>
    <xf numFmtId="164" fontId="13" fillId="17" borderId="21" xfId="2" applyNumberFormat="1" applyFont="1" applyFill="1" applyBorder="1" applyAlignment="1">
      <alignment horizontal="right" vertical="center"/>
    </xf>
    <xf numFmtId="164" fontId="13" fillId="17" borderId="23" xfId="2" applyNumberFormat="1" applyFont="1" applyFill="1" applyBorder="1" applyAlignment="1">
      <alignment horizontal="right" vertical="center"/>
    </xf>
    <xf numFmtId="164" fontId="13" fillId="17" borderId="17" xfId="2" applyNumberFormat="1" applyFont="1" applyFill="1" applyBorder="1" applyAlignment="1">
      <alignment horizontal="right" vertical="center"/>
    </xf>
    <xf numFmtId="164" fontId="13" fillId="17" borderId="19" xfId="2" applyNumberFormat="1" applyFont="1" applyFill="1" applyBorder="1" applyAlignment="1">
      <alignment horizontal="right" vertical="center"/>
    </xf>
    <xf numFmtId="164" fontId="13" fillId="17" borderId="20" xfId="2" applyNumberFormat="1" applyFont="1" applyFill="1" applyBorder="1" applyAlignment="1">
      <alignment horizontal="right" vertical="center"/>
    </xf>
    <xf numFmtId="49" fontId="18" fillId="0" borderId="17" xfId="14" applyNumberFormat="1" applyFont="1" applyBorder="1" applyAlignment="1" applyProtection="1">
      <alignment horizontal="center" vertical="center"/>
      <protection hidden="1"/>
    </xf>
    <xf numFmtId="49" fontId="18" fillId="0" borderId="20" xfId="14" applyNumberFormat="1" applyFont="1" applyBorder="1" applyAlignment="1" applyProtection="1">
      <alignment horizontal="left" vertical="center" wrapText="1"/>
      <protection hidden="1"/>
    </xf>
    <xf numFmtId="164" fontId="18" fillId="0" borderId="17" xfId="2" applyNumberFormat="1" applyFont="1" applyFill="1" applyBorder="1" applyAlignment="1">
      <alignment horizontal="right" vertical="center"/>
    </xf>
    <xf numFmtId="164" fontId="18" fillId="13" borderId="20" xfId="2" applyNumberFormat="1" applyFont="1" applyFill="1" applyBorder="1" applyAlignment="1">
      <alignment horizontal="right" vertical="center"/>
    </xf>
    <xf numFmtId="49" fontId="45" fillId="0" borderId="21" xfId="14" applyNumberFormat="1" applyFont="1" applyBorder="1" applyAlignment="1" applyProtection="1">
      <alignment horizontal="center" vertical="center"/>
      <protection hidden="1"/>
    </xf>
    <xf numFmtId="49" fontId="45" fillId="0" borderId="24" xfId="14" applyNumberFormat="1" applyFont="1" applyBorder="1" applyAlignment="1" applyProtection="1">
      <alignment vertical="center" wrapText="1"/>
      <protection hidden="1"/>
    </xf>
    <xf numFmtId="164" fontId="45" fillId="0" borderId="21" xfId="2" applyNumberFormat="1" applyFont="1" applyFill="1" applyBorder="1" applyAlignment="1">
      <alignment horizontal="right" vertical="center"/>
    </xf>
    <xf numFmtId="164" fontId="45" fillId="13" borderId="24" xfId="2" applyNumberFormat="1" applyFont="1" applyFill="1" applyBorder="1" applyAlignment="1">
      <alignment horizontal="right" vertical="center"/>
    </xf>
    <xf numFmtId="3" fontId="25" fillId="0" borderId="30" xfId="2" applyNumberFormat="1" applyFont="1" applyFill="1" applyBorder="1" applyAlignment="1">
      <alignment horizontal="right"/>
    </xf>
    <xf numFmtId="3" fontId="25" fillId="22" borderId="55" xfId="2" applyNumberFormat="1" applyFont="1" applyFill="1" applyBorder="1" applyAlignment="1">
      <alignment horizontal="right"/>
    </xf>
    <xf numFmtId="3" fontId="25" fillId="0" borderId="55" xfId="2" applyNumberFormat="1" applyFont="1" applyFill="1" applyBorder="1" applyAlignment="1">
      <alignment horizontal="right"/>
    </xf>
    <xf numFmtId="49" fontId="18" fillId="0" borderId="21" xfId="14" applyNumberFormat="1" applyFont="1" applyBorder="1" applyAlignment="1" applyProtection="1">
      <alignment horizontal="center" vertical="center"/>
      <protection hidden="1"/>
    </xf>
    <xf numFmtId="49" fontId="18" fillId="0" borderId="24" xfId="14" applyNumberFormat="1" applyFont="1" applyBorder="1" applyAlignment="1" applyProtection="1">
      <alignment horizontal="left" vertical="center" wrapText="1"/>
      <protection hidden="1"/>
    </xf>
    <xf numFmtId="164" fontId="18" fillId="0" borderId="21" xfId="2" applyNumberFormat="1" applyFont="1" applyFill="1" applyBorder="1" applyAlignment="1">
      <alignment horizontal="right" vertical="center"/>
    </xf>
    <xf numFmtId="164" fontId="18" fillId="13" borderId="24" xfId="2" applyNumberFormat="1" applyFont="1" applyFill="1" applyBorder="1" applyAlignment="1">
      <alignment horizontal="right" vertical="center"/>
    </xf>
    <xf numFmtId="3" fontId="50" fillId="0" borderId="30" xfId="2" applyNumberFormat="1" applyFont="1" applyFill="1" applyBorder="1" applyAlignment="1">
      <alignment horizontal="right"/>
    </xf>
    <xf numFmtId="3" fontId="50" fillId="22" borderId="55" xfId="2" applyNumberFormat="1" applyFont="1" applyFill="1" applyBorder="1" applyAlignment="1">
      <alignment horizontal="right"/>
    </xf>
    <xf numFmtId="3" fontId="50" fillId="0" borderId="55" xfId="2" applyNumberFormat="1" applyFont="1" applyFill="1" applyBorder="1" applyAlignment="1">
      <alignment horizontal="right"/>
    </xf>
    <xf numFmtId="49" fontId="45" fillId="0" borderId="24" xfId="14" applyNumberFormat="1" applyFont="1" applyBorder="1" applyAlignment="1" applyProtection="1">
      <alignment horizontal="left" vertical="center" wrapText="1"/>
      <protection hidden="1"/>
    </xf>
    <xf numFmtId="49" fontId="45" fillId="0" borderId="73" xfId="14" applyNumberFormat="1" applyFont="1" applyBorder="1" applyAlignment="1" applyProtection="1">
      <alignment horizontal="center" vertical="center"/>
      <protection hidden="1"/>
    </xf>
    <xf numFmtId="49" fontId="45" fillId="0" borderId="59" xfId="14" applyNumberFormat="1" applyFont="1" applyBorder="1" applyAlignment="1" applyProtection="1">
      <alignment vertical="center"/>
      <protection hidden="1"/>
    </xf>
    <xf numFmtId="164" fontId="45" fillId="0" borderId="73" xfId="2" applyNumberFormat="1" applyFont="1" applyFill="1" applyBorder="1" applyAlignment="1">
      <alignment horizontal="right" vertical="center"/>
    </xf>
    <xf numFmtId="164" fontId="45" fillId="13" borderId="59" xfId="2" applyNumberFormat="1" applyFont="1" applyFill="1" applyBorder="1" applyAlignment="1">
      <alignment horizontal="right" vertical="center"/>
    </xf>
    <xf numFmtId="3" fontId="25" fillId="0" borderId="37" xfId="2" applyNumberFormat="1" applyFont="1" applyFill="1" applyBorder="1" applyAlignment="1">
      <alignment horizontal="right"/>
    </xf>
    <xf numFmtId="3" fontId="25" fillId="22" borderId="62" xfId="2" applyNumberFormat="1" applyFont="1" applyFill="1" applyBorder="1" applyAlignment="1">
      <alignment horizontal="right"/>
    </xf>
    <xf numFmtId="3" fontId="25" fillId="0" borderId="62" xfId="2" applyNumberFormat="1" applyFont="1" applyFill="1" applyBorder="1" applyAlignment="1">
      <alignment horizontal="right"/>
    </xf>
    <xf numFmtId="0" fontId="18" fillId="13" borderId="4" xfId="2" applyFont="1" applyFill="1" applyBorder="1" applyAlignment="1">
      <alignment horizontal="center" vertical="center"/>
    </xf>
    <xf numFmtId="0" fontId="18" fillId="13" borderId="8" xfId="2" applyFont="1" applyFill="1" applyBorder="1" applyAlignment="1">
      <alignment vertical="center"/>
    </xf>
    <xf numFmtId="164" fontId="18" fillId="13" borderId="5" xfId="2" applyNumberFormat="1" applyFont="1" applyFill="1" applyBorder="1" applyAlignment="1">
      <alignment horizontal="right" vertical="center"/>
    </xf>
    <xf numFmtId="164" fontId="18" fillId="13" borderId="28" xfId="2" applyNumberFormat="1" applyFont="1" applyFill="1" applyBorder="1" applyAlignment="1">
      <alignment horizontal="right" vertical="center"/>
    </xf>
    <xf numFmtId="3" fontId="50" fillId="22" borderId="6" xfId="2" applyNumberFormat="1" applyFont="1" applyFill="1" applyBorder="1" applyAlignment="1">
      <alignment horizontal="right"/>
    </xf>
    <xf numFmtId="3" fontId="50" fillId="22" borderId="41" xfId="2" applyNumberFormat="1" applyFont="1" applyFill="1" applyBorder="1" applyAlignment="1">
      <alignment horizontal="right"/>
    </xf>
    <xf numFmtId="49" fontId="18" fillId="0" borderId="20" xfId="14" applyNumberFormat="1" applyFont="1" applyBorder="1" applyAlignment="1" applyProtection="1">
      <alignment horizontal="left" vertical="center"/>
      <protection hidden="1"/>
    </xf>
    <xf numFmtId="164" fontId="18" fillId="0" borderId="18" xfId="2" applyNumberFormat="1" applyFont="1" applyFill="1" applyBorder="1" applyAlignment="1">
      <alignment horizontal="right" vertical="center"/>
    </xf>
    <xf numFmtId="164" fontId="45" fillId="0" borderId="22" xfId="2" applyNumberFormat="1" applyFont="1" applyFill="1" applyBorder="1" applyAlignment="1">
      <alignment horizontal="right" vertical="center"/>
    </xf>
    <xf numFmtId="49" fontId="18" fillId="0" borderId="21" xfId="14" applyNumberFormat="1" applyFont="1" applyFill="1" applyBorder="1" applyAlignment="1" applyProtection="1">
      <alignment horizontal="center" vertical="center"/>
      <protection hidden="1"/>
    </xf>
    <xf numFmtId="49" fontId="18" fillId="0" borderId="24" xfId="14" applyNumberFormat="1" applyFont="1" applyFill="1" applyBorder="1" applyAlignment="1" applyProtection="1">
      <alignment horizontal="left" vertical="center"/>
      <protection hidden="1"/>
    </xf>
    <xf numFmtId="49" fontId="45" fillId="0" borderId="21" xfId="14" applyNumberFormat="1" applyFont="1" applyFill="1" applyBorder="1" applyAlignment="1" applyProtection="1">
      <alignment horizontal="center" vertical="center"/>
      <protection hidden="1"/>
    </xf>
    <xf numFmtId="49" fontId="45" fillId="0" borderId="24" xfId="14" applyNumberFormat="1" applyFont="1" applyFill="1" applyBorder="1" applyAlignment="1" applyProtection="1">
      <alignment vertical="center" wrapText="1"/>
      <protection hidden="1"/>
    </xf>
    <xf numFmtId="49" fontId="45" fillId="0" borderId="24" xfId="14" applyNumberFormat="1" applyFont="1" applyFill="1" applyBorder="1" applyAlignment="1" applyProtection="1">
      <alignment vertical="center"/>
      <protection hidden="1"/>
    </xf>
    <xf numFmtId="49" fontId="45" fillId="0" borderId="24" xfId="14" applyNumberFormat="1" applyFont="1" applyBorder="1" applyAlignment="1" applyProtection="1">
      <alignment vertical="center"/>
      <protection hidden="1"/>
    </xf>
    <xf numFmtId="49" fontId="18" fillId="0" borderId="24" xfId="14" applyNumberFormat="1" applyFont="1" applyBorder="1" applyAlignment="1" applyProtection="1">
      <alignment horizontal="left" vertical="center"/>
      <protection hidden="1"/>
    </xf>
    <xf numFmtId="0" fontId="18" fillId="0" borderId="21" xfId="2" applyFont="1" applyBorder="1" applyAlignment="1">
      <alignment horizontal="center" vertical="center"/>
    </xf>
    <xf numFmtId="0" fontId="18" fillId="0" borderId="24" xfId="2" applyFont="1" applyBorder="1" applyAlignment="1">
      <alignment vertical="center"/>
    </xf>
    <xf numFmtId="0" fontId="45" fillId="0" borderId="24" xfId="2" applyFont="1" applyBorder="1" applyAlignment="1">
      <alignment vertical="center"/>
    </xf>
    <xf numFmtId="0" fontId="45" fillId="0" borderId="21" xfId="2" applyFont="1" applyBorder="1" applyAlignment="1">
      <alignment horizontal="center" vertical="center"/>
    </xf>
    <xf numFmtId="0" fontId="45" fillId="0" borderId="9" xfId="2" applyFont="1" applyBorder="1" applyAlignment="1">
      <alignment horizontal="center" vertical="center"/>
    </xf>
    <xf numFmtId="0" fontId="45" fillId="0" borderId="12" xfId="2" applyFont="1" applyBorder="1" applyAlignment="1">
      <alignment vertical="center"/>
    </xf>
    <xf numFmtId="164" fontId="45" fillId="0" borderId="10" xfId="2" applyNumberFormat="1" applyFont="1" applyFill="1" applyBorder="1" applyAlignment="1">
      <alignment horizontal="right" vertical="center"/>
    </xf>
    <xf numFmtId="164" fontId="45" fillId="0" borderId="11" xfId="2" applyNumberFormat="1" applyFont="1" applyFill="1" applyBorder="1" applyAlignment="1">
      <alignment horizontal="right" vertical="center"/>
    </xf>
    <xf numFmtId="164" fontId="45" fillId="13" borderId="12" xfId="2" applyNumberFormat="1" applyFont="1" applyFill="1" applyBorder="1" applyAlignment="1">
      <alignment horizontal="right" vertical="center"/>
    </xf>
    <xf numFmtId="3" fontId="25" fillId="0" borderId="38" xfId="2" applyNumberFormat="1" applyFont="1" applyFill="1" applyBorder="1" applyAlignment="1">
      <alignment horizontal="right"/>
    </xf>
    <xf numFmtId="3" fontId="25" fillId="22" borderId="66" xfId="2" applyNumberFormat="1" applyFont="1" applyFill="1" applyBorder="1" applyAlignment="1">
      <alignment horizontal="right"/>
    </xf>
    <xf numFmtId="3" fontId="25" fillId="0" borderId="66" xfId="2" applyNumberFormat="1" applyFont="1" applyFill="1" applyBorder="1" applyAlignment="1">
      <alignment horizontal="right"/>
    </xf>
    <xf numFmtId="0" fontId="18" fillId="13" borderId="8" xfId="2" applyFont="1" applyFill="1" applyBorder="1" applyAlignment="1">
      <alignment vertical="center" wrapText="1"/>
    </xf>
    <xf numFmtId="0" fontId="45" fillId="14" borderId="24" xfId="2" applyFont="1" applyFill="1" applyBorder="1" applyAlignment="1">
      <alignment vertical="center"/>
    </xf>
    <xf numFmtId="14" fontId="45" fillId="0" borderId="21" xfId="2" quotePrefix="1" applyNumberFormat="1" applyFont="1" applyBorder="1" applyAlignment="1">
      <alignment horizontal="center" vertical="center"/>
    </xf>
    <xf numFmtId="0" fontId="45" fillId="14" borderId="24" xfId="2" applyFont="1" applyFill="1" applyBorder="1" applyAlignment="1">
      <alignment vertical="center" wrapText="1"/>
    </xf>
    <xf numFmtId="0" fontId="45" fillId="0" borderId="69" xfId="2" applyFont="1" applyBorder="1" applyAlignment="1">
      <alignment horizontal="center" vertical="center"/>
    </xf>
    <xf numFmtId="0" fontId="45" fillId="14" borderId="26" xfId="2" applyFont="1" applyFill="1" applyBorder="1" applyAlignment="1">
      <alignment vertical="center" wrapText="1"/>
    </xf>
    <xf numFmtId="0" fontId="45" fillId="23" borderId="40" xfId="2" applyFont="1" applyFill="1" applyBorder="1" applyAlignment="1">
      <alignment horizontal="center" vertical="center"/>
    </xf>
    <xf numFmtId="0" fontId="18" fillId="23" borderId="28" xfId="2" applyFont="1" applyFill="1" applyBorder="1" applyAlignment="1">
      <alignment horizontal="left" vertical="center" wrapText="1"/>
    </xf>
    <xf numFmtId="164" fontId="18" fillId="23" borderId="4" xfId="2" applyNumberFormat="1" applyFont="1" applyFill="1" applyBorder="1" applyAlignment="1">
      <alignment horizontal="right" vertical="center"/>
    </xf>
    <xf numFmtId="164" fontId="18" fillId="23" borderId="28" xfId="2" applyNumberFormat="1" applyFont="1" applyFill="1" applyBorder="1" applyAlignment="1">
      <alignment horizontal="right" vertical="center"/>
    </xf>
    <xf numFmtId="164" fontId="18" fillId="23" borderId="8" xfId="2" applyNumberFormat="1" applyFont="1" applyFill="1" applyBorder="1" applyAlignment="1">
      <alignment horizontal="right" vertical="center"/>
    </xf>
    <xf numFmtId="0" fontId="13" fillId="13" borderId="40" xfId="2" applyFont="1" applyFill="1" applyBorder="1" applyAlignment="1">
      <alignment horizontal="center" vertical="center"/>
    </xf>
    <xf numFmtId="0" fontId="18" fillId="13" borderId="7" xfId="2" applyFont="1" applyFill="1" applyBorder="1" applyAlignment="1">
      <alignment horizontal="left" vertical="center" wrapText="1"/>
    </xf>
    <xf numFmtId="164" fontId="38" fillId="13" borderId="4" xfId="2" applyNumberFormat="1" applyFont="1" applyFill="1" applyBorder="1" applyAlignment="1">
      <alignment horizontal="right" vertical="center"/>
    </xf>
    <xf numFmtId="164" fontId="13" fillId="13" borderId="28" xfId="2" applyNumberFormat="1" applyFont="1" applyFill="1" applyBorder="1" applyAlignment="1">
      <alignment horizontal="right" vertical="center"/>
    </xf>
    <xf numFmtId="164" fontId="38" fillId="13" borderId="8" xfId="2" applyNumberFormat="1" applyFont="1" applyFill="1" applyBorder="1" applyAlignment="1">
      <alignment horizontal="right" vertical="center"/>
    </xf>
    <xf numFmtId="14" fontId="45" fillId="0" borderId="52" xfId="2" quotePrefix="1" applyNumberFormat="1" applyFont="1" applyBorder="1" applyAlignment="1">
      <alignment horizontal="center" vertical="center"/>
    </xf>
    <xf numFmtId="0" fontId="11" fillId="0" borderId="20" xfId="2" applyFont="1" applyFill="1" applyBorder="1" applyAlignment="1">
      <alignment horizontal="left" vertical="center" wrapText="1"/>
    </xf>
    <xf numFmtId="164" fontId="71" fillId="0" borderId="17" xfId="2" applyNumberFormat="1" applyFont="1" applyFill="1" applyBorder="1" applyAlignment="1">
      <alignment horizontal="right" vertical="center"/>
    </xf>
    <xf numFmtId="164" fontId="39" fillId="13" borderId="20" xfId="2" applyNumberFormat="1" applyFont="1" applyFill="1" applyBorder="1" applyAlignment="1">
      <alignment horizontal="right" vertical="center"/>
    </xf>
    <xf numFmtId="0" fontId="45" fillId="0" borderId="47" xfId="2" applyFont="1" applyBorder="1" applyAlignment="1">
      <alignment horizontal="center" vertical="center"/>
    </xf>
    <xf numFmtId="0" fontId="11" fillId="0" borderId="24" xfId="2" applyFont="1" applyFill="1" applyBorder="1" applyAlignment="1">
      <alignment horizontal="left" vertical="center" wrapText="1"/>
    </xf>
    <xf numFmtId="164" fontId="71" fillId="0" borderId="9" xfId="2" applyNumberFormat="1" applyFont="1" applyFill="1" applyBorder="1" applyAlignment="1">
      <alignment horizontal="right" vertical="center"/>
    </xf>
    <xf numFmtId="164" fontId="39" fillId="13" borderId="12" xfId="2" applyNumberFormat="1" applyFont="1" applyFill="1" applyBorder="1" applyAlignment="1">
      <alignment horizontal="right" vertical="center"/>
    </xf>
    <xf numFmtId="0" fontId="18" fillId="23" borderId="8" xfId="2" applyFont="1" applyFill="1" applyBorder="1" applyAlignment="1">
      <alignment horizontal="left" vertical="center" wrapText="1"/>
    </xf>
    <xf numFmtId="0" fontId="6" fillId="0" borderId="0" xfId="2" applyFill="1"/>
    <xf numFmtId="0" fontId="8" fillId="0" borderId="0" xfId="2" applyFont="1" applyAlignment="1">
      <alignment horizontal="right"/>
    </xf>
    <xf numFmtId="49" fontId="50" fillId="0" borderId="4" xfId="16" applyNumberFormat="1" applyFont="1" applyBorder="1" applyAlignment="1" applyProtection="1">
      <alignment horizontal="center" vertical="center" wrapText="1"/>
      <protection hidden="1"/>
    </xf>
    <xf numFmtId="49" fontId="50" fillId="0" borderId="7" xfId="16" applyNumberFormat="1" applyFont="1" applyBorder="1" applyAlignment="1" applyProtection="1">
      <alignment horizontal="center" vertical="center"/>
      <protection hidden="1"/>
    </xf>
    <xf numFmtId="0" fontId="50" fillId="0" borderId="7" xfId="2" applyFont="1" applyBorder="1" applyAlignment="1" applyProtection="1">
      <alignment horizontal="center" vertical="center" wrapText="1"/>
      <protection locked="0"/>
    </xf>
    <xf numFmtId="2" fontId="50" fillId="24" borderId="7" xfId="15" applyNumberFormat="1" applyFont="1" applyFill="1" applyBorder="1" applyAlignment="1" applyProtection="1">
      <alignment horizontal="center" vertical="center" wrapText="1"/>
      <protection locked="0"/>
    </xf>
    <xf numFmtId="0" fontId="50" fillId="0" borderId="8" xfId="2" applyFont="1" applyBorder="1" applyAlignment="1" applyProtection="1">
      <alignment horizontal="center" vertical="center" wrapText="1"/>
      <protection locked="0"/>
    </xf>
    <xf numFmtId="49" fontId="9" fillId="0" borderId="4" xfId="16" applyNumberFormat="1" applyFont="1" applyBorder="1" applyAlignment="1" applyProtection="1">
      <alignment horizontal="center" vertical="center" wrapText="1"/>
      <protection hidden="1"/>
    </xf>
    <xf numFmtId="49" fontId="9" fillId="0" borderId="7" xfId="16" applyNumberFormat="1" applyFont="1" applyBorder="1" applyAlignment="1" applyProtection="1">
      <alignment horizontal="center" vertical="center"/>
      <protection hidden="1"/>
    </xf>
    <xf numFmtId="0" fontId="9" fillId="0" borderId="7" xfId="2" applyFont="1" applyBorder="1" applyAlignment="1" applyProtection="1">
      <alignment horizontal="center" vertical="center" wrapText="1"/>
      <protection locked="0"/>
    </xf>
    <xf numFmtId="1" fontId="9" fillId="24" borderId="7" xfId="2" applyNumberFormat="1" applyFont="1" applyFill="1" applyBorder="1" applyAlignment="1" applyProtection="1">
      <alignment horizontal="center" vertical="center" wrapText="1"/>
      <protection locked="0"/>
    </xf>
    <xf numFmtId="0" fontId="9" fillId="0" borderId="8" xfId="2" applyFont="1" applyBorder="1" applyAlignment="1" applyProtection="1">
      <alignment horizontal="center" vertical="center" wrapText="1"/>
      <protection locked="0"/>
    </xf>
    <xf numFmtId="16" fontId="50" fillId="13" borderId="9" xfId="2" quotePrefix="1" applyNumberFormat="1" applyFont="1" applyFill="1" applyBorder="1" applyAlignment="1">
      <alignment horizontal="center" vertical="center"/>
    </xf>
    <xf numFmtId="0" fontId="50" fillId="13" borderId="39" xfId="2" applyFont="1" applyFill="1" applyBorder="1" applyAlignment="1">
      <alignment horizontal="left" vertical="center"/>
    </xf>
    <xf numFmtId="164" fontId="50" fillId="13" borderId="39" xfId="2" applyNumberFormat="1" applyFont="1" applyFill="1" applyBorder="1" applyAlignment="1">
      <alignment horizontal="right" vertical="center"/>
    </xf>
    <xf numFmtId="164" fontId="50" fillId="24" borderId="7" xfId="2" applyNumberFormat="1" applyFont="1" applyFill="1" applyBorder="1" applyAlignment="1">
      <alignment horizontal="right" vertical="center"/>
    </xf>
    <xf numFmtId="164" fontId="50" fillId="13" borderId="12" xfId="2" applyNumberFormat="1" applyFont="1" applyFill="1" applyBorder="1" applyAlignment="1">
      <alignment horizontal="right" vertical="center"/>
    </xf>
    <xf numFmtId="0" fontId="51" fillId="0" borderId="68" xfId="2" quotePrefix="1" applyFont="1" applyBorder="1" applyAlignment="1">
      <alignment horizontal="center" vertical="center"/>
    </xf>
    <xf numFmtId="164" fontId="25" fillId="0" borderId="43" xfId="2" applyNumberFormat="1" applyFont="1" applyFill="1" applyBorder="1" applyAlignment="1">
      <alignment horizontal="right" vertical="center"/>
    </xf>
    <xf numFmtId="164" fontId="45" fillId="24" borderId="43" xfId="2" applyNumberFormat="1" applyFont="1" applyFill="1" applyBorder="1" applyAlignment="1">
      <alignment horizontal="right" vertical="center"/>
    </xf>
    <xf numFmtId="3" fontId="25" fillId="0" borderId="43" xfId="2" applyNumberFormat="1" applyFont="1" applyBorder="1" applyAlignment="1">
      <alignment horizontal="right" vertical="center"/>
    </xf>
    <xf numFmtId="164" fontId="25" fillId="0" borderId="74" xfId="2" applyNumberFormat="1" applyFont="1" applyBorder="1" applyAlignment="1">
      <alignment horizontal="right" vertical="center"/>
    </xf>
    <xf numFmtId="0" fontId="51" fillId="0" borderId="69" xfId="2" quotePrefix="1" applyFont="1" applyBorder="1" applyAlignment="1">
      <alignment horizontal="center" vertical="center"/>
    </xf>
    <xf numFmtId="3" fontId="32" fillId="0" borderId="31" xfId="2" applyNumberFormat="1" applyFont="1" applyFill="1" applyBorder="1" applyAlignment="1">
      <alignment horizontal="right" vertical="center"/>
    </xf>
    <xf numFmtId="3" fontId="45" fillId="24" borderId="31" xfId="2" applyNumberFormat="1" applyFont="1" applyFill="1" applyBorder="1" applyAlignment="1">
      <alignment horizontal="right" vertical="center"/>
    </xf>
    <xf numFmtId="3" fontId="25" fillId="0" borderId="31" xfId="2" applyNumberFormat="1" applyFont="1" applyBorder="1" applyAlignment="1">
      <alignment horizontal="right" vertical="center"/>
    </xf>
    <xf numFmtId="164" fontId="25" fillId="0" borderId="63" xfId="2" applyNumberFormat="1" applyFont="1" applyBorder="1" applyAlignment="1">
      <alignment horizontal="right" vertical="center"/>
    </xf>
    <xf numFmtId="0" fontId="51" fillId="0" borderId="49" xfId="2" quotePrefix="1" applyFont="1" applyBorder="1" applyAlignment="1">
      <alignment horizontal="center" vertical="center"/>
    </xf>
    <xf numFmtId="49" fontId="76" fillId="0" borderId="34" xfId="16" applyNumberFormat="1" applyFont="1" applyBorder="1" applyAlignment="1" applyProtection="1">
      <alignment horizontal="left" vertical="center" wrapText="1"/>
      <protection hidden="1"/>
    </xf>
    <xf numFmtId="164" fontId="25" fillId="0" borderId="34" xfId="2" applyNumberFormat="1" applyFont="1" applyFill="1" applyBorder="1" applyAlignment="1">
      <alignment horizontal="right" vertical="center"/>
    </xf>
    <xf numFmtId="164" fontId="45" fillId="24" borderId="34" xfId="2" applyNumberFormat="1" applyFont="1" applyFill="1" applyBorder="1" applyAlignment="1">
      <alignment horizontal="right" vertical="center"/>
    </xf>
    <xf numFmtId="3" fontId="25" fillId="0" borderId="35" xfId="2" applyNumberFormat="1" applyFont="1" applyBorder="1" applyAlignment="1">
      <alignment horizontal="right" vertical="center"/>
    </xf>
    <xf numFmtId="164" fontId="25" fillId="0" borderId="36" xfId="2" applyNumberFormat="1" applyFont="1" applyBorder="1" applyAlignment="1">
      <alignment horizontal="right" vertical="center"/>
    </xf>
    <xf numFmtId="0" fontId="51" fillId="0" borderId="52" xfId="2" quotePrefix="1" applyFont="1" applyBorder="1" applyAlignment="1">
      <alignment horizontal="center" vertical="center"/>
    </xf>
    <xf numFmtId="49" fontId="32" fillId="0" borderId="29" xfId="16" applyNumberFormat="1" applyFont="1" applyBorder="1" applyAlignment="1" applyProtection="1">
      <alignment horizontal="left" vertical="center" wrapText="1"/>
      <protection hidden="1"/>
    </xf>
    <xf numFmtId="4" fontId="25" fillId="0" borderId="29" xfId="2" applyNumberFormat="1" applyFont="1" applyFill="1" applyBorder="1" applyAlignment="1">
      <alignment horizontal="right" vertical="center"/>
    </xf>
    <xf numFmtId="4" fontId="45" fillId="24" borderId="29" xfId="2" applyNumberFormat="1" applyFont="1" applyFill="1" applyBorder="1" applyAlignment="1">
      <alignment horizontal="right" vertical="center"/>
    </xf>
    <xf numFmtId="4" fontId="25" fillId="0" borderId="19" xfId="2" applyNumberFormat="1" applyFont="1" applyBorder="1" applyAlignment="1">
      <alignment horizontal="right" vertical="center"/>
    </xf>
    <xf numFmtId="4" fontId="25" fillId="0" borderId="20" xfId="2" applyNumberFormat="1" applyFont="1" applyBorder="1" applyAlignment="1">
      <alignment horizontal="right" vertical="center"/>
    </xf>
    <xf numFmtId="164" fontId="45" fillId="24" borderId="34" xfId="2" applyNumberFormat="1" applyFont="1" applyFill="1" applyBorder="1" applyAlignment="1">
      <alignment horizontal="right" vertical="center" wrapText="1"/>
    </xf>
    <xf numFmtId="3" fontId="45" fillId="0" borderId="34" xfId="2" applyNumberFormat="1" applyFont="1" applyFill="1" applyBorder="1" applyAlignment="1">
      <alignment horizontal="right" vertical="center" wrapText="1"/>
    </xf>
    <xf numFmtId="4" fontId="45" fillId="24" borderId="29" xfId="2" applyNumberFormat="1" applyFont="1" applyFill="1" applyBorder="1" applyAlignment="1">
      <alignment horizontal="right" vertical="center" wrapText="1"/>
    </xf>
    <xf numFmtId="4" fontId="45" fillId="0" borderId="29" xfId="2" applyNumberFormat="1" applyFont="1" applyFill="1" applyBorder="1" applyAlignment="1">
      <alignment horizontal="right" vertical="center" wrapText="1"/>
    </xf>
    <xf numFmtId="4" fontId="45" fillId="0" borderId="20" xfId="2" applyNumberFormat="1" applyFont="1" applyFill="1" applyBorder="1" applyAlignment="1">
      <alignment horizontal="right" vertical="center" wrapText="1"/>
    </xf>
    <xf numFmtId="3" fontId="25" fillId="0" borderId="34" xfId="2" applyNumberFormat="1" applyFont="1" applyFill="1" applyBorder="1" applyAlignment="1">
      <alignment horizontal="right" vertical="center"/>
    </xf>
    <xf numFmtId="164" fontId="25" fillId="24" borderId="34" xfId="2" applyNumberFormat="1" applyFont="1" applyFill="1" applyBorder="1" applyAlignment="1">
      <alignment horizontal="right" vertical="center"/>
    </xf>
    <xf numFmtId="3" fontId="25" fillId="0" borderId="36" xfId="2" applyNumberFormat="1" applyFont="1" applyFill="1" applyBorder="1" applyAlignment="1">
      <alignment horizontal="right" vertical="center"/>
    </xf>
    <xf numFmtId="4" fontId="25" fillId="0" borderId="31" xfId="2" applyNumberFormat="1" applyFont="1" applyFill="1" applyBorder="1" applyAlignment="1">
      <alignment horizontal="right" vertical="center" wrapText="1"/>
    </xf>
    <xf numFmtId="4" fontId="25" fillId="24" borderId="31" xfId="2" applyNumberFormat="1" applyFont="1" applyFill="1" applyBorder="1" applyAlignment="1">
      <alignment horizontal="right" vertical="center" wrapText="1"/>
    </xf>
    <xf numFmtId="4" fontId="25" fillId="0" borderId="26" xfId="2" applyNumberFormat="1" applyFont="1" applyFill="1" applyBorder="1" applyAlignment="1">
      <alignment horizontal="right" vertical="center" wrapText="1"/>
    </xf>
    <xf numFmtId="49" fontId="50" fillId="0" borderId="54" xfId="16" applyNumberFormat="1" applyFont="1" applyFill="1" applyBorder="1" applyAlignment="1" applyProtection="1">
      <alignment horizontal="center" vertical="center"/>
      <protection hidden="1"/>
    </xf>
    <xf numFmtId="164" fontId="8" fillId="0" borderId="2" xfId="2" applyNumberFormat="1" applyFont="1" applyFill="1" applyBorder="1" applyAlignment="1">
      <alignment horizontal="right" vertical="center"/>
    </xf>
    <xf numFmtId="164" fontId="8" fillId="24" borderId="2" xfId="2" applyNumberFormat="1" applyFont="1" applyFill="1" applyBorder="1" applyAlignment="1">
      <alignment horizontal="right" vertical="center"/>
    </xf>
    <xf numFmtId="164" fontId="8" fillId="0" borderId="24" xfId="2" applyNumberFormat="1" applyFont="1" applyFill="1" applyBorder="1" applyAlignment="1">
      <alignment horizontal="right" vertical="center"/>
    </xf>
    <xf numFmtId="164" fontId="8" fillId="17" borderId="34" xfId="2" applyNumberFormat="1" applyFont="1" applyFill="1" applyBorder="1" applyAlignment="1">
      <alignment horizontal="right" vertical="center"/>
    </xf>
    <xf numFmtId="164" fontId="8" fillId="17" borderId="2" xfId="2" applyNumberFormat="1" applyFont="1" applyFill="1" applyBorder="1" applyAlignment="1">
      <alignment horizontal="right" vertical="center"/>
    </xf>
    <xf numFmtId="164" fontId="8" fillId="17" borderId="36" xfId="2" applyNumberFormat="1" applyFont="1" applyFill="1" applyBorder="1" applyAlignment="1">
      <alignment horizontal="right" vertical="center"/>
    </xf>
    <xf numFmtId="164" fontId="50" fillId="17" borderId="34" xfId="2" applyNumberFormat="1" applyFont="1" applyFill="1" applyBorder="1" applyAlignment="1">
      <alignment horizontal="right" vertical="center"/>
    </xf>
    <xf numFmtId="164" fontId="50" fillId="24" borderId="27" xfId="2" applyNumberFormat="1" applyFont="1" applyFill="1" applyBorder="1" applyAlignment="1">
      <alignment horizontal="right" vertical="center"/>
    </xf>
    <xf numFmtId="164" fontId="50" fillId="17" borderId="25" xfId="2" applyNumberFormat="1" applyFont="1" applyFill="1" applyBorder="1" applyAlignment="1">
      <alignment horizontal="right" vertical="center"/>
    </xf>
    <xf numFmtId="164" fontId="50" fillId="17" borderId="36" xfId="2" applyNumberFormat="1" applyFont="1" applyFill="1" applyBorder="1" applyAlignment="1">
      <alignment horizontal="right" vertical="center"/>
    </xf>
    <xf numFmtId="4" fontId="50" fillId="17" borderId="29" xfId="2" applyNumberFormat="1" applyFont="1" applyFill="1" applyBorder="1" applyAlignment="1">
      <alignment horizontal="right" vertical="center"/>
    </xf>
    <xf numFmtId="4" fontId="50" fillId="24" borderId="18" xfId="2" applyNumberFormat="1" applyFont="1" applyFill="1" applyBorder="1" applyAlignment="1">
      <alignment horizontal="right" vertical="center"/>
    </xf>
    <xf numFmtId="4" fontId="50" fillId="17" borderId="19" xfId="2" applyNumberFormat="1" applyFont="1" applyFill="1" applyBorder="1" applyAlignment="1">
      <alignment horizontal="right" vertical="center"/>
    </xf>
    <xf numFmtId="4" fontId="50" fillId="17" borderId="20" xfId="2" applyNumberFormat="1" applyFont="1" applyFill="1" applyBorder="1" applyAlignment="1">
      <alignment horizontal="right" vertical="center"/>
    </xf>
    <xf numFmtId="49" fontId="8" fillId="17" borderId="21" xfId="14" applyNumberFormat="1" applyFont="1" applyFill="1" applyBorder="1" applyAlignment="1" applyProtection="1">
      <alignment horizontal="center" vertical="center"/>
      <protection hidden="1"/>
    </xf>
    <xf numFmtId="49" fontId="18" fillId="17" borderId="2" xfId="13" applyNumberFormat="1" applyFont="1" applyFill="1" applyBorder="1" applyAlignment="1" applyProtection="1">
      <alignment horizontal="left" vertical="center" wrapText="1"/>
      <protection hidden="1"/>
    </xf>
    <xf numFmtId="164" fontId="8" fillId="17" borderId="29" xfId="2" applyNumberFormat="1" applyFont="1" applyFill="1" applyBorder="1" applyAlignment="1">
      <alignment horizontal="right" vertical="center"/>
    </xf>
    <xf numFmtId="164" fontId="8" fillId="24" borderId="29" xfId="2" applyNumberFormat="1" applyFont="1" applyFill="1" applyBorder="1" applyAlignment="1">
      <alignment horizontal="right" vertical="center"/>
    </xf>
    <xf numFmtId="164" fontId="50" fillId="17" borderId="24" xfId="2" applyNumberFormat="1" applyFont="1" applyFill="1" applyBorder="1" applyAlignment="1">
      <alignment horizontal="right" vertical="center"/>
    </xf>
    <xf numFmtId="49" fontId="8" fillId="13" borderId="21" xfId="14" applyNumberFormat="1" applyFont="1" applyFill="1" applyBorder="1" applyAlignment="1" applyProtection="1">
      <alignment horizontal="center" vertical="center"/>
      <protection hidden="1"/>
    </xf>
    <xf numFmtId="49" fontId="18" fillId="13" borderId="2" xfId="13" applyNumberFormat="1" applyFont="1" applyFill="1" applyBorder="1" applyAlignment="1" applyProtection="1">
      <alignment horizontal="left" vertical="center" wrapText="1"/>
      <protection hidden="1"/>
    </xf>
    <xf numFmtId="164" fontId="8" fillId="13" borderId="2" xfId="2" applyNumberFormat="1" applyFont="1" applyFill="1" applyBorder="1" applyAlignment="1">
      <alignment horizontal="right" vertical="center"/>
    </xf>
    <xf numFmtId="164" fontId="8" fillId="13" borderId="24" xfId="2" applyNumberFormat="1" applyFont="1" applyFill="1" applyBorder="1" applyAlignment="1">
      <alignment horizontal="right" vertical="center"/>
    </xf>
    <xf numFmtId="164" fontId="8" fillId="13" borderId="29" xfId="2" applyNumberFormat="1" applyFont="1" applyFill="1" applyBorder="1" applyAlignment="1">
      <alignment horizontal="right" vertical="center"/>
    </xf>
    <xf numFmtId="164" fontId="8" fillId="13" borderId="20" xfId="2" applyNumberFormat="1" applyFont="1" applyFill="1" applyBorder="1" applyAlignment="1">
      <alignment horizontal="right" vertical="center"/>
    </xf>
    <xf numFmtId="49" fontId="50" fillId="0" borderId="17" xfId="16" applyNumberFormat="1" applyFont="1" applyBorder="1" applyAlignment="1" applyProtection="1">
      <alignment horizontal="center" vertical="center"/>
      <protection hidden="1"/>
    </xf>
    <xf numFmtId="49" fontId="50" fillId="0" borderId="29" xfId="16" applyNumberFormat="1" applyFont="1" applyBorder="1" applyAlignment="1" applyProtection="1">
      <alignment horizontal="left" vertical="center" wrapText="1"/>
      <protection hidden="1"/>
    </xf>
    <xf numFmtId="164" fontId="50" fillId="0" borderId="29" xfId="2" applyNumberFormat="1" applyFont="1" applyFill="1" applyBorder="1" applyAlignment="1">
      <alignment horizontal="right" vertical="center"/>
    </xf>
    <xf numFmtId="164" fontId="50" fillId="24" borderId="29" xfId="2" applyNumberFormat="1" applyFont="1" applyFill="1" applyBorder="1" applyAlignment="1">
      <alignment horizontal="right" vertical="center"/>
    </xf>
    <xf numFmtId="164" fontId="50" fillId="0" borderId="29" xfId="2" applyNumberFormat="1" applyFont="1" applyBorder="1" applyAlignment="1">
      <alignment horizontal="right" vertical="center"/>
    </xf>
    <xf numFmtId="164" fontId="50" fillId="0" borderId="20" xfId="2" applyNumberFormat="1" applyFont="1" applyBorder="1" applyAlignment="1">
      <alignment horizontal="right" vertical="center"/>
    </xf>
    <xf numFmtId="49" fontId="25" fillId="0" borderId="21" xfId="16" applyNumberFormat="1" applyFont="1" applyBorder="1" applyAlignment="1" applyProtection="1">
      <alignment horizontal="center" vertical="center"/>
      <protection hidden="1"/>
    </xf>
    <xf numFmtId="49" fontId="25" fillId="0" borderId="2" xfId="16" applyNumberFormat="1" applyFont="1" applyBorder="1" applyAlignment="1" applyProtection="1">
      <alignment vertical="center" wrapText="1"/>
      <protection hidden="1"/>
    </xf>
    <xf numFmtId="164" fontId="25" fillId="0" borderId="2" xfId="2" applyNumberFormat="1" applyFont="1" applyFill="1" applyBorder="1" applyAlignment="1">
      <alignment horizontal="right" vertical="center"/>
    </xf>
    <xf numFmtId="164" fontId="25" fillId="24" borderId="2" xfId="2" applyNumberFormat="1" applyFont="1" applyFill="1" applyBorder="1" applyAlignment="1">
      <alignment horizontal="right" vertical="center"/>
    </xf>
    <xf numFmtId="164" fontId="25" fillId="0" borderId="2" xfId="2" applyNumberFormat="1" applyFont="1" applyBorder="1" applyAlignment="1">
      <alignment horizontal="right" vertical="center"/>
    </xf>
    <xf numFmtId="164" fontId="25" fillId="0" borderId="24" xfId="2" applyNumberFormat="1" applyFont="1" applyBorder="1" applyAlignment="1">
      <alignment horizontal="right" vertical="center"/>
    </xf>
    <xf numFmtId="49" fontId="50" fillId="0" borderId="21" xfId="16" applyNumberFormat="1" applyFont="1" applyBorder="1" applyAlignment="1" applyProtection="1">
      <alignment horizontal="center" vertical="center"/>
      <protection hidden="1"/>
    </xf>
    <xf numFmtId="49" fontId="50" fillId="0" borderId="2" xfId="16" applyNumberFormat="1" applyFont="1" applyBorder="1" applyAlignment="1" applyProtection="1">
      <alignment horizontal="left" vertical="center" wrapText="1"/>
      <protection hidden="1"/>
    </xf>
    <xf numFmtId="164" fontId="50" fillId="0" borderId="2" xfId="2" applyNumberFormat="1" applyFont="1" applyFill="1" applyBorder="1" applyAlignment="1">
      <alignment horizontal="right" vertical="center"/>
    </xf>
    <xf numFmtId="164" fontId="50" fillId="24" borderId="2" xfId="2" applyNumberFormat="1" applyFont="1" applyFill="1" applyBorder="1" applyAlignment="1">
      <alignment horizontal="right" vertical="center"/>
    </xf>
    <xf numFmtId="164" fontId="50" fillId="0" borderId="2" xfId="2" applyNumberFormat="1" applyFont="1" applyBorder="1" applyAlignment="1">
      <alignment horizontal="right" vertical="center"/>
    </xf>
    <xf numFmtId="164" fontId="50" fillId="0" borderId="24" xfId="2" applyNumberFormat="1" applyFont="1" applyBorder="1" applyAlignment="1">
      <alignment horizontal="right" vertical="center"/>
    </xf>
    <xf numFmtId="49" fontId="25" fillId="0" borderId="2" xfId="16" applyNumberFormat="1" applyFont="1" applyBorder="1" applyAlignment="1" applyProtection="1">
      <alignment horizontal="left" vertical="center" wrapText="1"/>
      <protection hidden="1"/>
    </xf>
    <xf numFmtId="49" fontId="25" fillId="0" borderId="73" xfId="16" applyNumberFormat="1" applyFont="1" applyBorder="1" applyAlignment="1" applyProtection="1">
      <alignment horizontal="center" vertical="center"/>
      <protection hidden="1"/>
    </xf>
    <xf numFmtId="49" fontId="25" fillId="0" borderId="61" xfId="16" applyNumberFormat="1" applyFont="1" applyBorder="1" applyAlignment="1" applyProtection="1">
      <alignment vertical="center"/>
      <protection hidden="1"/>
    </xf>
    <xf numFmtId="164" fontId="25" fillId="24" borderId="61" xfId="2" applyNumberFormat="1" applyFont="1" applyFill="1" applyBorder="1" applyAlignment="1">
      <alignment horizontal="right" vertical="center"/>
    </xf>
    <xf numFmtId="164" fontId="25" fillId="0" borderId="61" xfId="2" applyNumberFormat="1" applyFont="1" applyBorder="1" applyAlignment="1">
      <alignment horizontal="right" vertical="center"/>
    </xf>
    <xf numFmtId="164" fontId="25" fillId="0" borderId="59" xfId="2" applyNumberFormat="1" applyFont="1" applyBorder="1" applyAlignment="1">
      <alignment horizontal="right" vertical="center"/>
    </xf>
    <xf numFmtId="0" fontId="50" fillId="13" borderId="4" xfId="2" applyFont="1" applyFill="1" applyBorder="1" applyAlignment="1">
      <alignment horizontal="center" vertical="center"/>
    </xf>
    <xf numFmtId="0" fontId="50" fillId="13" borderId="28" xfId="2" applyFont="1" applyFill="1" applyBorder="1" applyAlignment="1">
      <alignment vertical="center"/>
    </xf>
    <xf numFmtId="164" fontId="50" fillId="13" borderId="7" xfId="2" applyNumberFormat="1" applyFont="1" applyFill="1" applyBorder="1" applyAlignment="1">
      <alignment horizontal="right" vertical="center"/>
    </xf>
    <xf numFmtId="164" fontId="50" fillId="13" borderId="8" xfId="2" applyNumberFormat="1" applyFont="1" applyFill="1" applyBorder="1" applyAlignment="1">
      <alignment horizontal="right" vertical="center"/>
    </xf>
    <xf numFmtId="49" fontId="50" fillId="0" borderId="19" xfId="16" applyNumberFormat="1" applyFont="1" applyBorder="1" applyAlignment="1" applyProtection="1">
      <alignment horizontal="left" vertical="center"/>
      <protection hidden="1"/>
    </xf>
    <xf numFmtId="49" fontId="25" fillId="0" borderId="23" xfId="16" applyNumberFormat="1" applyFont="1" applyBorder="1" applyAlignment="1" applyProtection="1">
      <alignment horizontal="left" vertical="center" wrapText="1"/>
      <protection hidden="1"/>
    </xf>
    <xf numFmtId="49" fontId="25" fillId="0" borderId="21" xfId="14" applyNumberFormat="1" applyFont="1" applyBorder="1" applyAlignment="1" applyProtection="1">
      <alignment horizontal="center" vertical="center"/>
      <protection hidden="1"/>
    </xf>
    <xf numFmtId="49" fontId="25" fillId="0" borderId="23" xfId="14" applyNumberFormat="1" applyFont="1" applyBorder="1" applyAlignment="1" applyProtection="1">
      <alignment horizontal="left" vertical="center" wrapText="1"/>
      <protection hidden="1"/>
    </xf>
    <xf numFmtId="49" fontId="50" fillId="0" borderId="23" xfId="16" applyNumberFormat="1" applyFont="1" applyBorder="1" applyAlignment="1" applyProtection="1">
      <alignment horizontal="left" vertical="center" wrapText="1"/>
      <protection hidden="1"/>
    </xf>
    <xf numFmtId="49" fontId="25" fillId="0" borderId="21" xfId="14" applyNumberFormat="1" applyFont="1" applyFill="1" applyBorder="1" applyAlignment="1" applyProtection="1">
      <alignment horizontal="center" vertical="center"/>
      <protection hidden="1"/>
    </xf>
    <xf numFmtId="49" fontId="25" fillId="0" borderId="23" xfId="14" applyNumberFormat="1" applyFont="1" applyFill="1" applyBorder="1" applyAlignment="1" applyProtection="1">
      <alignment vertical="center" wrapText="1"/>
      <protection hidden="1"/>
    </xf>
    <xf numFmtId="49" fontId="25" fillId="0" borderId="23" xfId="16" applyNumberFormat="1" applyFont="1" applyBorder="1" applyAlignment="1" applyProtection="1">
      <alignment vertical="center" wrapText="1"/>
      <protection hidden="1"/>
    </xf>
    <xf numFmtId="49" fontId="25" fillId="0" borderId="23" xfId="16" applyNumberFormat="1" applyFont="1" applyBorder="1" applyAlignment="1" applyProtection="1">
      <alignment vertical="center"/>
      <protection hidden="1"/>
    </xf>
    <xf numFmtId="49" fontId="25" fillId="0" borderId="23" xfId="14" applyNumberFormat="1" applyFont="1" applyBorder="1" applyAlignment="1" applyProtection="1">
      <alignment vertical="center" wrapText="1"/>
      <protection hidden="1"/>
    </xf>
    <xf numFmtId="49" fontId="25" fillId="0" borderId="23" xfId="14" applyNumberFormat="1" applyFont="1" applyBorder="1" applyAlignment="1" applyProtection="1">
      <alignment vertical="center"/>
      <protection hidden="1"/>
    </xf>
    <xf numFmtId="49" fontId="50" fillId="0" borderId="21" xfId="14" applyNumberFormat="1" applyFont="1" applyBorder="1" applyAlignment="1" applyProtection="1">
      <alignment horizontal="center" vertical="center"/>
      <protection hidden="1"/>
    </xf>
    <xf numFmtId="49" fontId="50" fillId="0" borderId="23" xfId="14" applyNumberFormat="1" applyFont="1" applyBorder="1" applyAlignment="1" applyProtection="1">
      <alignment horizontal="left" vertical="center"/>
      <protection hidden="1"/>
    </xf>
    <xf numFmtId="0" fontId="50" fillId="0" borderId="21" xfId="2" applyFont="1" applyBorder="1" applyAlignment="1">
      <alignment horizontal="center" vertical="center"/>
    </xf>
    <xf numFmtId="0" fontId="50" fillId="0" borderId="23" xfId="2" applyFont="1" applyBorder="1" applyAlignment="1">
      <alignment vertical="center"/>
    </xf>
    <xf numFmtId="0" fontId="25" fillId="0" borderId="21" xfId="2" applyFont="1" applyBorder="1" applyAlignment="1">
      <alignment horizontal="center" vertical="center"/>
    </xf>
    <xf numFmtId="0" fontId="25" fillId="0" borderId="23" xfId="2" applyFont="1" applyBorder="1" applyAlignment="1">
      <alignment vertical="center"/>
    </xf>
    <xf numFmtId="0" fontId="25" fillId="0" borderId="9" xfId="2" applyFont="1" applyBorder="1" applyAlignment="1">
      <alignment horizontal="center" vertical="center"/>
    </xf>
    <xf numFmtId="0" fontId="25" fillId="0" borderId="11" xfId="2" applyFont="1" applyBorder="1" applyAlignment="1">
      <alignment vertical="center"/>
    </xf>
    <xf numFmtId="164" fontId="25" fillId="0" borderId="39" xfId="2" applyNumberFormat="1" applyFont="1" applyFill="1" applyBorder="1" applyAlignment="1">
      <alignment horizontal="right" vertical="center"/>
    </xf>
    <xf numFmtId="164" fontId="25" fillId="24" borderId="39" xfId="2" applyNumberFormat="1" applyFont="1" applyFill="1" applyBorder="1" applyAlignment="1">
      <alignment horizontal="right" vertical="center"/>
    </xf>
    <xf numFmtId="164" fontId="25" fillId="0" borderId="39" xfId="2" applyNumberFormat="1" applyFont="1" applyBorder="1" applyAlignment="1">
      <alignment horizontal="right" vertical="center"/>
    </xf>
    <xf numFmtId="164" fontId="25" fillId="0" borderId="12" xfId="2" applyNumberFormat="1" applyFont="1" applyBorder="1" applyAlignment="1">
      <alignment horizontal="right" vertical="center"/>
    </xf>
    <xf numFmtId="0" fontId="50" fillId="13" borderId="28" xfId="2" applyFont="1" applyFill="1" applyBorder="1" applyAlignment="1">
      <alignment vertical="center" wrapText="1"/>
    </xf>
    <xf numFmtId="0" fontId="50" fillId="0" borderId="13" xfId="2" applyFont="1" applyBorder="1" applyAlignment="1">
      <alignment horizontal="center" vertical="center"/>
    </xf>
    <xf numFmtId="0" fontId="50" fillId="0" borderId="15" xfId="2" applyFont="1" applyBorder="1" applyAlignment="1">
      <alignment vertical="center"/>
    </xf>
    <xf numFmtId="164" fontId="50" fillId="0" borderId="75" xfId="2" applyNumberFormat="1" applyFont="1" applyFill="1" applyBorder="1" applyAlignment="1">
      <alignment horizontal="right" vertical="center"/>
    </xf>
    <xf numFmtId="164" fontId="50" fillId="24" borderId="75" xfId="2" applyNumberFormat="1" applyFont="1" applyFill="1" applyBorder="1" applyAlignment="1">
      <alignment horizontal="right" vertical="center"/>
    </xf>
    <xf numFmtId="164" fontId="50" fillId="0" borderId="75" xfId="2" applyNumberFormat="1" applyFont="1" applyBorder="1" applyAlignment="1">
      <alignment horizontal="right" vertical="center"/>
    </xf>
    <xf numFmtId="164" fontId="50" fillId="0" borderId="16" xfId="2" applyNumberFormat="1" applyFont="1" applyBorder="1" applyAlignment="1">
      <alignment horizontal="right" vertical="center"/>
    </xf>
    <xf numFmtId="0" fontId="25" fillId="14" borderId="23" xfId="2" applyFont="1" applyFill="1" applyBorder="1" applyAlignment="1">
      <alignment vertical="center"/>
    </xf>
    <xf numFmtId="0" fontId="25" fillId="14" borderId="23" xfId="2" applyFont="1" applyFill="1" applyBorder="1" applyAlignment="1">
      <alignment vertical="center" wrapText="1"/>
    </xf>
    <xf numFmtId="0" fontId="25" fillId="0" borderId="69" xfId="2" applyFont="1" applyBorder="1" applyAlignment="1">
      <alignment horizontal="center" vertical="center"/>
    </xf>
    <xf numFmtId="0" fontId="25" fillId="14" borderId="25" xfId="2" applyFont="1" applyFill="1" applyBorder="1" applyAlignment="1">
      <alignment vertical="center" wrapText="1"/>
    </xf>
    <xf numFmtId="164" fontId="25" fillId="0" borderId="31" xfId="2" applyNumberFormat="1" applyFont="1" applyFill="1" applyBorder="1" applyAlignment="1">
      <alignment horizontal="right" vertical="center"/>
    </xf>
    <xf numFmtId="164" fontId="25" fillId="24" borderId="31" xfId="2" applyNumberFormat="1" applyFont="1" applyFill="1" applyBorder="1" applyAlignment="1">
      <alignment horizontal="right" vertical="center"/>
    </xf>
    <xf numFmtId="164" fontId="25" fillId="0" borderId="31" xfId="2" applyNumberFormat="1" applyFont="1" applyBorder="1" applyAlignment="1">
      <alignment horizontal="right" vertical="center"/>
    </xf>
    <xf numFmtId="164" fontId="25" fillId="0" borderId="26" xfId="2" applyNumberFormat="1" applyFont="1" applyBorder="1" applyAlignment="1">
      <alignment horizontal="right" vertical="center"/>
    </xf>
    <xf numFmtId="0" fontId="45" fillId="23" borderId="4" xfId="2" applyFont="1" applyFill="1" applyBorder="1" applyAlignment="1">
      <alignment horizontal="center" vertical="center"/>
    </xf>
    <xf numFmtId="0" fontId="18" fillId="23" borderId="7" xfId="2" applyFont="1" applyFill="1" applyBorder="1" applyAlignment="1">
      <alignment horizontal="left" vertical="center" wrapText="1"/>
    </xf>
    <xf numFmtId="164" fontId="18" fillId="23" borderId="7" xfId="2" applyNumberFormat="1" applyFont="1" applyFill="1" applyBorder="1" applyAlignment="1">
      <alignment horizontal="right" vertical="center"/>
    </xf>
    <xf numFmtId="0" fontId="50" fillId="0" borderId="40" xfId="2" applyFont="1" applyFill="1" applyBorder="1" applyAlignment="1">
      <alignment horizontal="center" vertical="center"/>
    </xf>
    <xf numFmtId="0" fontId="18" fillId="0" borderId="7" xfId="2" applyFont="1" applyFill="1" applyBorder="1" applyAlignment="1">
      <alignment horizontal="left" vertical="center" wrapText="1"/>
    </xf>
    <xf numFmtId="164" fontId="50" fillId="0" borderId="7" xfId="2" applyNumberFormat="1" applyFont="1" applyFill="1" applyBorder="1" applyAlignment="1">
      <alignment horizontal="right" vertical="center"/>
    </xf>
    <xf numFmtId="164" fontId="50" fillId="0" borderId="8" xfId="2" applyNumberFormat="1" applyFont="1" applyFill="1" applyBorder="1" applyAlignment="1">
      <alignment horizontal="right" vertical="center"/>
    </xf>
    <xf numFmtId="14" fontId="25" fillId="0" borderId="52" xfId="2" quotePrefix="1" applyNumberFormat="1" applyFont="1" applyBorder="1" applyAlignment="1">
      <alignment horizontal="center" vertical="center"/>
    </xf>
    <xf numFmtId="0" fontId="25" fillId="0" borderId="29" xfId="2" applyFont="1" applyFill="1" applyBorder="1" applyAlignment="1">
      <alignment horizontal="left" vertical="center" wrapText="1"/>
    </xf>
    <xf numFmtId="164" fontId="25" fillId="0" borderId="29" xfId="2" applyNumberFormat="1" applyFont="1" applyFill="1" applyBorder="1" applyAlignment="1">
      <alignment horizontal="right" vertical="center"/>
    </xf>
    <xf numFmtId="164" fontId="25" fillId="24" borderId="29" xfId="2" applyNumberFormat="1" applyFont="1" applyFill="1" applyBorder="1" applyAlignment="1">
      <alignment horizontal="right" vertical="center"/>
    </xf>
    <xf numFmtId="164" fontId="25" fillId="0" borderId="20" xfId="2" applyNumberFormat="1" applyFont="1" applyFill="1" applyBorder="1" applyAlignment="1">
      <alignment horizontal="right" vertical="center"/>
    </xf>
    <xf numFmtId="0" fontId="25" fillId="0" borderId="54" xfId="2" applyFont="1" applyBorder="1" applyAlignment="1">
      <alignment horizontal="center" vertical="center"/>
    </xf>
    <xf numFmtId="0" fontId="25" fillId="0" borderId="2" xfId="2" applyFont="1" applyFill="1" applyBorder="1" applyAlignment="1">
      <alignment horizontal="left" vertical="center" wrapText="1"/>
    </xf>
    <xf numFmtId="164" fontId="25" fillId="0" borderId="24" xfId="2" applyNumberFormat="1" applyFont="1" applyFill="1" applyBorder="1" applyAlignment="1">
      <alignment horizontal="right" vertical="center"/>
    </xf>
    <xf numFmtId="0" fontId="45" fillId="23" borderId="64" xfId="2" applyFont="1" applyFill="1" applyBorder="1" applyAlignment="1">
      <alignment horizontal="center" vertical="center"/>
    </xf>
    <xf numFmtId="0" fontId="18" fillId="23" borderId="39" xfId="2" applyFont="1" applyFill="1" applyBorder="1" applyAlignment="1">
      <alignment horizontal="left" vertical="center" wrapText="1"/>
    </xf>
    <xf numFmtId="164" fontId="18" fillId="23" borderId="39" xfId="2" applyNumberFormat="1" applyFont="1" applyFill="1" applyBorder="1" applyAlignment="1">
      <alignment horizontal="right" vertical="center"/>
    </xf>
    <xf numFmtId="164" fontId="18" fillId="23" borderId="12" xfId="2" applyNumberFormat="1" applyFont="1" applyFill="1" applyBorder="1" applyAlignment="1">
      <alignment horizontal="right" vertical="center"/>
    </xf>
    <xf numFmtId="49" fontId="50" fillId="13" borderId="4" xfId="16" applyNumberFormat="1" applyFont="1" applyFill="1" applyBorder="1" applyAlignment="1" applyProtection="1">
      <alignment horizontal="center" vertical="center"/>
      <protection hidden="1"/>
    </xf>
    <xf numFmtId="49" fontId="50" fillId="13" borderId="28" xfId="16" applyNumberFormat="1" applyFont="1" applyFill="1" applyBorder="1" applyAlignment="1" applyProtection="1">
      <alignment vertical="center" wrapText="1"/>
      <protection hidden="1"/>
    </xf>
    <xf numFmtId="49" fontId="50" fillId="0" borderId="4" xfId="16" applyNumberFormat="1" applyFont="1" applyFill="1" applyBorder="1" applyAlignment="1" applyProtection="1">
      <alignment horizontal="center" vertical="center"/>
      <protection hidden="1"/>
    </xf>
    <xf numFmtId="49" fontId="50" fillId="0" borderId="28" xfId="16" applyNumberFormat="1" applyFont="1" applyFill="1" applyBorder="1" applyAlignment="1" applyProtection="1">
      <alignment vertical="center" wrapText="1"/>
      <protection hidden="1"/>
    </xf>
    <xf numFmtId="164" fontId="50" fillId="24" borderId="28" xfId="2" applyNumberFormat="1" applyFont="1" applyFill="1" applyBorder="1" applyAlignment="1">
      <alignment horizontal="right" vertical="center"/>
    </xf>
    <xf numFmtId="49" fontId="25" fillId="0" borderId="52" xfId="16" applyNumberFormat="1" applyFont="1" applyBorder="1" applyAlignment="1" applyProtection="1">
      <alignment horizontal="center" vertical="center"/>
      <protection hidden="1"/>
    </xf>
    <xf numFmtId="0" fontId="25" fillId="0" borderId="19" xfId="2" applyFont="1" applyBorder="1" applyAlignment="1" applyProtection="1">
      <alignment horizontal="left" vertical="center" wrapText="1"/>
      <protection locked="0"/>
    </xf>
    <xf numFmtId="164" fontId="25" fillId="0" borderId="75" xfId="2" applyNumberFormat="1" applyFont="1" applyFill="1" applyBorder="1" applyAlignment="1" applyProtection="1">
      <alignment vertical="center"/>
      <protection locked="0"/>
    </xf>
    <xf numFmtId="164" fontId="25" fillId="24" borderId="75" xfId="2" applyNumberFormat="1" applyFont="1" applyFill="1" applyBorder="1" applyAlignment="1" applyProtection="1">
      <alignment vertical="center"/>
      <protection locked="0"/>
    </xf>
    <xf numFmtId="164" fontId="25" fillId="0" borderId="29" xfId="2" applyNumberFormat="1" applyFont="1" applyBorder="1" applyAlignment="1">
      <alignment horizontal="right" vertical="center"/>
    </xf>
    <xf numFmtId="164" fontId="25" fillId="0" borderId="20" xfId="2" applyNumberFormat="1" applyFont="1" applyBorder="1" applyAlignment="1">
      <alignment horizontal="right" vertical="center"/>
    </xf>
    <xf numFmtId="0" fontId="25" fillId="0" borderId="23" xfId="2" applyFont="1" applyBorder="1" applyAlignment="1" applyProtection="1">
      <alignment horizontal="left" vertical="center"/>
      <protection locked="0"/>
    </xf>
    <xf numFmtId="164" fontId="25" fillId="0" borderId="2" xfId="2" applyNumberFormat="1" applyFont="1" applyFill="1" applyBorder="1" applyAlignment="1" applyProtection="1">
      <alignment vertical="center"/>
      <protection locked="0"/>
    </xf>
    <xf numFmtId="164" fontId="25" fillId="24" borderId="2" xfId="2" applyNumberFormat="1" applyFont="1" applyFill="1" applyBorder="1" applyAlignment="1" applyProtection="1">
      <alignment vertical="center"/>
      <protection locked="0"/>
    </xf>
    <xf numFmtId="0" fontId="25" fillId="0" borderId="2" xfId="2" applyFont="1" applyBorder="1" applyAlignment="1" applyProtection="1">
      <alignment horizontal="left" vertical="center" wrapText="1"/>
      <protection locked="0"/>
    </xf>
    <xf numFmtId="164" fontId="25" fillId="24" borderId="29" xfId="2" applyNumberFormat="1" applyFont="1" applyFill="1" applyBorder="1" applyAlignment="1" applyProtection="1">
      <alignment vertical="center"/>
      <protection locked="0"/>
    </xf>
    <xf numFmtId="0" fontId="25" fillId="0" borderId="52" xfId="2" applyFont="1" applyBorder="1" applyAlignment="1">
      <alignment horizontal="center" vertical="center"/>
    </xf>
    <xf numFmtId="0" fontId="25" fillId="0" borderId="29" xfId="2" applyFont="1" applyBorder="1" applyAlignment="1" applyProtection="1">
      <alignment horizontal="left" vertical="center" wrapText="1"/>
      <protection locked="0"/>
    </xf>
    <xf numFmtId="164" fontId="25" fillId="0" borderId="29" xfId="2" applyNumberFormat="1" applyFont="1" applyFill="1" applyBorder="1" applyAlignment="1" applyProtection="1">
      <alignment vertical="center"/>
      <protection locked="0"/>
    </xf>
    <xf numFmtId="0" fontId="25" fillId="0" borderId="23" xfId="2" applyFont="1" applyBorder="1" applyAlignment="1" applyProtection="1">
      <alignment horizontal="left" vertical="center" wrapText="1"/>
      <protection locked="0"/>
    </xf>
    <xf numFmtId="0" fontId="25" fillId="0" borderId="49" xfId="2" applyFont="1" applyBorder="1" applyAlignment="1">
      <alignment horizontal="center" vertical="center"/>
    </xf>
    <xf numFmtId="0" fontId="25" fillId="0" borderId="35" xfId="2" applyFont="1" applyBorder="1" applyAlignment="1" applyProtection="1">
      <alignment horizontal="left" vertical="center" wrapText="1"/>
      <protection locked="0"/>
    </xf>
    <xf numFmtId="164" fontId="25" fillId="0" borderId="34" xfId="2" applyNumberFormat="1" applyFont="1" applyFill="1" applyBorder="1" applyAlignment="1" applyProtection="1">
      <alignment vertical="center"/>
      <protection locked="0"/>
    </xf>
    <xf numFmtId="164" fontId="25" fillId="24" borderId="34" xfId="2" applyNumberFormat="1" applyFont="1" applyFill="1" applyBorder="1" applyAlignment="1" applyProtection="1">
      <alignment vertical="center"/>
      <protection locked="0"/>
    </xf>
    <xf numFmtId="164" fontId="25" fillId="0" borderId="34" xfId="2" applyNumberFormat="1" applyFont="1" applyBorder="1" applyAlignment="1">
      <alignment horizontal="right" vertical="center"/>
    </xf>
    <xf numFmtId="164" fontId="25" fillId="24" borderId="23" xfId="2" applyNumberFormat="1" applyFont="1" applyFill="1" applyBorder="1" applyAlignment="1" applyProtection="1">
      <alignment vertical="center"/>
      <protection locked="0"/>
    </xf>
    <xf numFmtId="0" fontId="25" fillId="0" borderId="47" xfId="2" applyFont="1" applyBorder="1" applyAlignment="1">
      <alignment horizontal="center" vertical="center"/>
    </xf>
    <xf numFmtId="0" fontId="9" fillId="0" borderId="2" xfId="17" applyFont="1" applyFill="1" applyBorder="1" applyAlignment="1">
      <alignment vertical="center" wrapText="1"/>
    </xf>
    <xf numFmtId="164" fontId="25" fillId="0" borderId="31" xfId="2" applyNumberFormat="1" applyFont="1" applyFill="1" applyBorder="1" applyAlignment="1" applyProtection="1">
      <alignment vertical="center"/>
      <protection locked="0"/>
    </xf>
    <xf numFmtId="164" fontId="25" fillId="24" borderId="25" xfId="2" applyNumberFormat="1" applyFont="1" applyFill="1" applyBorder="1" applyAlignment="1" applyProtection="1">
      <alignment vertical="center"/>
      <protection locked="0"/>
    </xf>
    <xf numFmtId="0" fontId="50" fillId="0" borderId="28" xfId="2" applyFont="1" applyFill="1" applyBorder="1" applyAlignment="1" applyProtection="1">
      <alignment horizontal="left" vertical="center" wrapText="1"/>
      <protection locked="0"/>
    </xf>
    <xf numFmtId="164" fontId="50" fillId="0" borderId="7" xfId="2" applyNumberFormat="1" applyFont="1" applyFill="1" applyBorder="1" applyAlignment="1" applyProtection="1">
      <alignment vertical="center"/>
      <protection locked="0"/>
    </xf>
    <xf numFmtId="164" fontId="50" fillId="24" borderId="28" xfId="2" applyNumberFormat="1" applyFont="1" applyFill="1" applyBorder="1" applyAlignment="1" applyProtection="1">
      <alignment vertical="center"/>
      <protection locked="0"/>
    </xf>
    <xf numFmtId="0" fontId="9" fillId="0" borderId="76" xfId="2" applyFont="1" applyFill="1" applyBorder="1" applyAlignment="1">
      <alignment horizontal="center" vertical="center"/>
    </xf>
    <xf numFmtId="0" fontId="9" fillId="0" borderId="15" xfId="2" applyFont="1" applyFill="1" applyBorder="1" applyAlignment="1" applyProtection="1">
      <alignment horizontal="left" vertical="center" wrapText="1"/>
      <protection locked="0"/>
    </xf>
    <xf numFmtId="164" fontId="9" fillId="0" borderId="75" xfId="2" applyNumberFormat="1" applyFont="1" applyFill="1" applyBorder="1" applyAlignment="1" applyProtection="1">
      <alignment vertical="center"/>
      <protection locked="0"/>
    </xf>
    <xf numFmtId="164" fontId="9" fillId="24" borderId="15" xfId="2" applyNumberFormat="1" applyFont="1" applyFill="1" applyBorder="1" applyAlignment="1" applyProtection="1">
      <alignment vertical="center"/>
      <protection locked="0"/>
    </xf>
    <xf numFmtId="164" fontId="9" fillId="0" borderId="75" xfId="2" applyNumberFormat="1" applyFont="1" applyFill="1" applyBorder="1" applyAlignment="1">
      <alignment horizontal="right" vertical="center"/>
    </xf>
    <xf numFmtId="164" fontId="9" fillId="0" borderId="16" xfId="2" applyNumberFormat="1" applyFont="1" applyFill="1" applyBorder="1" applyAlignment="1">
      <alignment horizontal="right" vertical="center"/>
    </xf>
    <xf numFmtId="0" fontId="9" fillId="0" borderId="64" xfId="2" applyFont="1" applyFill="1" applyBorder="1" applyAlignment="1">
      <alignment horizontal="center" vertical="center"/>
    </xf>
    <xf numFmtId="0" fontId="9" fillId="0" borderId="11" xfId="2" applyFont="1" applyFill="1" applyBorder="1" applyAlignment="1" applyProtection="1">
      <alignment horizontal="left" vertical="center" wrapText="1"/>
      <protection locked="0"/>
    </xf>
    <xf numFmtId="164" fontId="9" fillId="0" borderId="39" xfId="2" applyNumberFormat="1" applyFont="1" applyFill="1" applyBorder="1" applyAlignment="1" applyProtection="1">
      <alignment vertical="center"/>
      <protection locked="0"/>
    </xf>
    <xf numFmtId="164" fontId="9" fillId="24" borderId="11" xfId="2" applyNumberFormat="1" applyFont="1" applyFill="1" applyBorder="1" applyAlignment="1" applyProtection="1">
      <alignment vertical="center"/>
      <protection locked="0"/>
    </xf>
    <xf numFmtId="164" fontId="9" fillId="0" borderId="39" xfId="2" applyNumberFormat="1" applyFont="1" applyFill="1" applyBorder="1" applyAlignment="1">
      <alignment horizontal="right" vertical="center"/>
    </xf>
    <xf numFmtId="164" fontId="9" fillId="0" borderId="12" xfId="2" applyNumberFormat="1" applyFont="1" applyFill="1" applyBorder="1" applyAlignment="1">
      <alignment horizontal="right" vertical="center"/>
    </xf>
    <xf numFmtId="0" fontId="51" fillId="23" borderId="4" xfId="2" applyFont="1" applyFill="1" applyBorder="1" applyAlignment="1">
      <alignment horizontal="center" vertical="center"/>
    </xf>
    <xf numFmtId="0" fontId="50" fillId="23" borderId="28" xfId="2" applyFont="1" applyFill="1" applyBorder="1" applyAlignment="1">
      <alignment horizontal="left" vertical="center" wrapText="1"/>
    </xf>
    <xf numFmtId="164" fontId="50" fillId="23" borderId="7" xfId="2" applyNumberFormat="1" applyFont="1" applyFill="1" applyBorder="1" applyAlignment="1">
      <alignment horizontal="right" vertical="center"/>
    </xf>
    <xf numFmtId="164" fontId="50" fillId="23" borderId="8" xfId="2" applyNumberFormat="1" applyFont="1" applyFill="1" applyBorder="1" applyAlignment="1">
      <alignment horizontal="right" vertical="center"/>
    </xf>
    <xf numFmtId="0" fontId="48" fillId="0" borderId="0" xfId="2" applyFont="1" applyAlignment="1">
      <alignment horizontal="left"/>
    </xf>
    <xf numFmtId="2" fontId="48" fillId="13" borderId="40" xfId="2" applyNumberFormat="1" applyFont="1" applyFill="1" applyBorder="1" applyAlignment="1" applyProtection="1">
      <alignment horizontal="center" vertical="center" wrapText="1"/>
      <protection locked="0"/>
    </xf>
    <xf numFmtId="0" fontId="48" fillId="0" borderId="8" xfId="2" applyFont="1" applyFill="1" applyBorder="1" applyAlignment="1" applyProtection="1">
      <alignment horizontal="center" vertical="center" wrapText="1"/>
      <protection locked="0"/>
    </xf>
    <xf numFmtId="16" fontId="48" fillId="14" borderId="9" xfId="2" quotePrefix="1" applyNumberFormat="1" applyFont="1" applyFill="1" applyBorder="1" applyAlignment="1">
      <alignment horizontal="center" vertical="center"/>
    </xf>
    <xf numFmtId="0" fontId="48" fillId="14" borderId="11" xfId="2" applyFont="1" applyFill="1" applyBorder="1" applyAlignment="1">
      <alignment horizontal="left" vertical="center"/>
    </xf>
    <xf numFmtId="164" fontId="48" fillId="13" borderId="64" xfId="2" applyNumberFormat="1" applyFont="1" applyFill="1" applyBorder="1" applyAlignment="1">
      <alignment horizontal="right" vertical="center"/>
    </xf>
    <xf numFmtId="164" fontId="48" fillId="0" borderId="8" xfId="2" applyNumberFormat="1" applyFont="1" applyFill="1" applyBorder="1" applyAlignment="1">
      <alignment horizontal="right" vertical="center"/>
    </xf>
    <xf numFmtId="49" fontId="48" fillId="14" borderId="70" xfId="19" applyNumberFormat="1" applyFont="1" applyFill="1" applyBorder="1" applyAlignment="1" applyProtection="1">
      <alignment horizontal="center" vertical="center"/>
      <protection hidden="1"/>
    </xf>
    <xf numFmtId="49" fontId="48" fillId="14" borderId="35" xfId="19" applyNumberFormat="1" applyFont="1" applyFill="1" applyBorder="1" applyAlignment="1" applyProtection="1">
      <alignment horizontal="left" vertical="center" wrapText="1"/>
      <protection hidden="1"/>
    </xf>
    <xf numFmtId="164" fontId="48" fillId="13" borderId="49" xfId="2" applyNumberFormat="1" applyFont="1" applyFill="1" applyBorder="1" applyAlignment="1">
      <alignment horizontal="right" vertical="center"/>
    </xf>
    <xf numFmtId="164" fontId="48" fillId="0" borderId="16" xfId="2" applyNumberFormat="1" applyFont="1" applyFill="1" applyBorder="1" applyAlignment="1">
      <alignment horizontal="right" vertical="center"/>
    </xf>
    <xf numFmtId="49" fontId="48" fillId="14" borderId="21" xfId="19" applyNumberFormat="1" applyFont="1" applyFill="1" applyBorder="1" applyAlignment="1" applyProtection="1">
      <alignment horizontal="center" vertical="center"/>
      <protection hidden="1"/>
    </xf>
    <xf numFmtId="49" fontId="48" fillId="14" borderId="23" xfId="19" applyNumberFormat="1" applyFont="1" applyFill="1" applyBorder="1" applyAlignment="1" applyProtection="1">
      <alignment horizontal="left" vertical="center" wrapText="1"/>
      <protection hidden="1"/>
    </xf>
    <xf numFmtId="164" fontId="48" fillId="13" borderId="54" xfId="2" applyNumberFormat="1" applyFont="1" applyFill="1" applyBorder="1" applyAlignment="1">
      <alignment horizontal="right" vertical="center"/>
    </xf>
    <xf numFmtId="164" fontId="48" fillId="0" borderId="20" xfId="2" applyNumberFormat="1" applyFont="1" applyFill="1" applyBorder="1" applyAlignment="1">
      <alignment horizontal="right" vertical="center"/>
    </xf>
    <xf numFmtId="49" fontId="59" fillId="14" borderId="21" xfId="19" applyNumberFormat="1" applyFont="1" applyFill="1" applyBorder="1" applyAlignment="1" applyProtection="1">
      <alignment horizontal="center" vertical="center"/>
      <protection hidden="1"/>
    </xf>
    <xf numFmtId="49" fontId="59" fillId="14" borderId="23" xfId="19" applyNumberFormat="1" applyFont="1" applyFill="1" applyBorder="1" applyAlignment="1" applyProtection="1">
      <alignment vertical="center" wrapText="1"/>
      <protection hidden="1"/>
    </xf>
    <xf numFmtId="164" fontId="59" fillId="13" borderId="54" xfId="2" applyNumberFormat="1" applyFont="1" applyFill="1" applyBorder="1" applyAlignment="1">
      <alignment horizontal="right" vertical="center"/>
    </xf>
    <xf numFmtId="164" fontId="59" fillId="0" borderId="24" xfId="2" applyNumberFormat="1" applyFont="1" applyFill="1" applyBorder="1" applyAlignment="1">
      <alignment horizontal="right" vertical="center"/>
    </xf>
    <xf numFmtId="164" fontId="48" fillId="0" borderId="24" xfId="2" applyNumberFormat="1" applyFont="1" applyFill="1" applyBorder="1" applyAlignment="1">
      <alignment horizontal="right" vertical="center"/>
    </xf>
    <xf numFmtId="49" fontId="59" fillId="14" borderId="23" xfId="19" applyNumberFormat="1" applyFont="1" applyFill="1" applyBorder="1" applyAlignment="1" applyProtection="1">
      <alignment horizontal="left" vertical="center" wrapText="1"/>
      <protection hidden="1"/>
    </xf>
    <xf numFmtId="0" fontId="45" fillId="0" borderId="0" xfId="2" applyFont="1"/>
    <xf numFmtId="164" fontId="59" fillId="0" borderId="59" xfId="2" applyNumberFormat="1" applyFont="1" applyFill="1" applyBorder="1" applyAlignment="1">
      <alignment horizontal="right" vertical="center"/>
    </xf>
    <xf numFmtId="0" fontId="48" fillId="14" borderId="4" xfId="2" applyFont="1" applyFill="1" applyBorder="1" applyAlignment="1">
      <alignment horizontal="center" vertical="center"/>
    </xf>
    <xf numFmtId="0" fontId="48" fillId="14" borderId="28" xfId="2" applyFont="1" applyFill="1" applyBorder="1" applyAlignment="1">
      <alignment vertical="center"/>
    </xf>
    <xf numFmtId="164" fontId="48" fillId="13" borderId="40" xfId="2" applyNumberFormat="1" applyFont="1" applyFill="1" applyBorder="1" applyAlignment="1">
      <alignment horizontal="right" vertical="center"/>
    </xf>
    <xf numFmtId="49" fontId="48" fillId="14" borderId="17" xfId="19" applyNumberFormat="1" applyFont="1" applyFill="1" applyBorder="1" applyAlignment="1" applyProtection="1">
      <alignment horizontal="center" vertical="center"/>
      <protection hidden="1"/>
    </xf>
    <xf numFmtId="49" fontId="48" fillId="14" borderId="19" xfId="19" applyNumberFormat="1" applyFont="1" applyFill="1" applyBorder="1" applyAlignment="1" applyProtection="1">
      <alignment horizontal="left" vertical="center" wrapText="1"/>
      <protection hidden="1"/>
    </xf>
    <xf numFmtId="164" fontId="48" fillId="13" borderId="52" xfId="2" applyNumberFormat="1" applyFont="1" applyFill="1" applyBorder="1" applyAlignment="1">
      <alignment horizontal="right" vertical="center"/>
    </xf>
    <xf numFmtId="49" fontId="59" fillId="0" borderId="21" xfId="14" applyNumberFormat="1" applyFont="1" applyBorder="1" applyAlignment="1" applyProtection="1">
      <alignment horizontal="center" vertical="center"/>
      <protection hidden="1"/>
    </xf>
    <xf numFmtId="49" fontId="59" fillId="0" borderId="23" xfId="14" applyNumberFormat="1" applyFont="1" applyBorder="1" applyAlignment="1" applyProtection="1">
      <alignment horizontal="left" vertical="center" wrapText="1"/>
      <protection hidden="1"/>
    </xf>
    <xf numFmtId="4" fontId="59" fillId="0" borderId="24" xfId="2" applyNumberFormat="1" applyFont="1" applyFill="1" applyBorder="1" applyAlignment="1">
      <alignment horizontal="right" vertical="center"/>
    </xf>
    <xf numFmtId="49" fontId="59" fillId="0" borderId="23" xfId="19" applyNumberFormat="1" applyFont="1" applyBorder="1" applyAlignment="1" applyProtection="1">
      <alignment horizontal="left" vertical="center" wrapText="1"/>
      <protection hidden="1"/>
    </xf>
    <xf numFmtId="49" fontId="59" fillId="0" borderId="21" xfId="14" applyNumberFormat="1" applyFont="1" applyFill="1" applyBorder="1" applyAlignment="1" applyProtection="1">
      <alignment horizontal="center" vertical="center"/>
      <protection hidden="1"/>
    </xf>
    <xf numFmtId="49" fontId="59" fillId="0" borderId="23" xfId="14" applyNumberFormat="1" applyFont="1" applyFill="1" applyBorder="1" applyAlignment="1" applyProtection="1">
      <alignment vertical="center" wrapText="1"/>
      <protection hidden="1"/>
    </xf>
    <xf numFmtId="49" fontId="59" fillId="0" borderId="23" xfId="16" applyNumberFormat="1" applyFont="1" applyBorder="1" applyAlignment="1" applyProtection="1">
      <alignment vertical="center" wrapText="1"/>
      <protection hidden="1"/>
    </xf>
    <xf numFmtId="49" fontId="59" fillId="0" borderId="23" xfId="19" applyNumberFormat="1" applyFont="1" applyBorder="1" applyAlignment="1" applyProtection="1">
      <alignment vertical="center" wrapText="1"/>
      <protection hidden="1"/>
    </xf>
    <xf numFmtId="49" fontId="59" fillId="0" borderId="23" xfId="14" applyNumberFormat="1" applyFont="1" applyBorder="1" applyAlignment="1" applyProtection="1">
      <alignment vertical="center" wrapText="1"/>
      <protection hidden="1"/>
    </xf>
    <xf numFmtId="49" fontId="59" fillId="0" borderId="23" xfId="14" applyNumberFormat="1" applyFont="1" applyBorder="1" applyAlignment="1" applyProtection="1">
      <alignment vertical="center"/>
      <protection hidden="1"/>
    </xf>
    <xf numFmtId="49" fontId="48" fillId="0" borderId="21" xfId="14" applyNumberFormat="1" applyFont="1" applyBorder="1" applyAlignment="1" applyProtection="1">
      <alignment horizontal="center" vertical="center"/>
      <protection hidden="1"/>
    </xf>
    <xf numFmtId="49" fontId="48" fillId="0" borderId="23" xfId="14" applyNumberFormat="1" applyFont="1" applyBorder="1" applyAlignment="1" applyProtection="1">
      <alignment horizontal="left" vertical="center"/>
      <protection hidden="1"/>
    </xf>
    <xf numFmtId="0" fontId="48" fillId="14" borderId="21" xfId="2" applyFont="1" applyFill="1" applyBorder="1" applyAlignment="1">
      <alignment horizontal="center" vertical="center"/>
    </xf>
    <xf numFmtId="0" fontId="48" fillId="14" borderId="23" xfId="2" applyFont="1" applyFill="1" applyBorder="1" applyAlignment="1">
      <alignment vertical="center"/>
    </xf>
    <xf numFmtId="164" fontId="48" fillId="0" borderId="36" xfId="2" applyNumberFormat="1" applyFont="1" applyFill="1" applyBorder="1" applyAlignment="1">
      <alignment horizontal="right" vertical="center"/>
    </xf>
    <xf numFmtId="0" fontId="48" fillId="14" borderId="28" xfId="2" applyFont="1" applyFill="1" applyBorder="1" applyAlignment="1">
      <alignment vertical="center" wrapText="1"/>
    </xf>
    <xf numFmtId="0" fontId="48" fillId="14" borderId="68" xfId="2" applyFont="1" applyFill="1" applyBorder="1" applyAlignment="1">
      <alignment horizontal="center" vertical="center"/>
    </xf>
    <xf numFmtId="0" fontId="48" fillId="14" borderId="44" xfId="2" applyFont="1" applyFill="1" applyBorder="1" applyAlignment="1">
      <alignment vertical="center"/>
    </xf>
    <xf numFmtId="164" fontId="48" fillId="13" borderId="76" xfId="2" applyNumberFormat="1" applyFont="1" applyFill="1" applyBorder="1" applyAlignment="1">
      <alignment horizontal="right" vertical="center"/>
    </xf>
    <xf numFmtId="0" fontId="59" fillId="0" borderId="21" xfId="2" applyFont="1" applyBorder="1" applyAlignment="1">
      <alignment horizontal="center" vertical="center"/>
    </xf>
    <xf numFmtId="0" fontId="59" fillId="14" borderId="23" xfId="2" applyFont="1" applyFill="1" applyBorder="1" applyAlignment="1">
      <alignment vertical="center"/>
    </xf>
    <xf numFmtId="0" fontId="59" fillId="14" borderId="21" xfId="2" applyFont="1" applyFill="1" applyBorder="1" applyAlignment="1">
      <alignment horizontal="center" vertical="center"/>
    </xf>
    <xf numFmtId="0" fontId="59" fillId="14" borderId="2" xfId="17" applyFont="1" applyFill="1" applyBorder="1" applyAlignment="1">
      <alignment vertical="center" wrapText="1"/>
    </xf>
    <xf numFmtId="0" fontId="59" fillId="14" borderId="9" xfId="2" applyFont="1" applyFill="1" applyBorder="1" applyAlignment="1">
      <alignment horizontal="center" vertical="center"/>
    </xf>
    <xf numFmtId="0" fontId="59" fillId="14" borderId="25" xfId="2" applyFont="1" applyFill="1" applyBorder="1" applyAlignment="1">
      <alignment vertical="center" wrapText="1"/>
    </xf>
    <xf numFmtId="164" fontId="59" fillId="17" borderId="64" xfId="2" applyNumberFormat="1" applyFont="1" applyFill="1" applyBorder="1" applyAlignment="1">
      <alignment horizontal="right" vertical="center"/>
    </xf>
    <xf numFmtId="164" fontId="59" fillId="0" borderId="12" xfId="2" applyNumberFormat="1" applyFont="1" applyFill="1" applyBorder="1" applyAlignment="1">
      <alignment horizontal="right" vertical="center"/>
    </xf>
    <xf numFmtId="0" fontId="48" fillId="0" borderId="28" xfId="2" applyFont="1" applyBorder="1" applyAlignment="1">
      <alignment horizontal="left" vertical="center" wrapText="1"/>
    </xf>
    <xf numFmtId="164" fontId="48" fillId="13" borderId="8" xfId="2" applyNumberFormat="1" applyFont="1" applyFill="1" applyBorder="1" applyAlignment="1">
      <alignment horizontal="right" vertical="center"/>
    </xf>
    <xf numFmtId="0" fontId="48" fillId="23" borderId="4" xfId="2" applyFont="1" applyFill="1" applyBorder="1" applyAlignment="1">
      <alignment horizontal="center" vertical="center"/>
    </xf>
    <xf numFmtId="0" fontId="48" fillId="23" borderId="7" xfId="2" applyFont="1" applyFill="1" applyBorder="1" applyAlignment="1">
      <alignment horizontal="left" vertical="center" wrapText="1"/>
    </xf>
    <xf numFmtId="164" fontId="48" fillId="23" borderId="40" xfId="2" applyNumberFormat="1" applyFont="1" applyFill="1" applyBorder="1" applyAlignment="1">
      <alignment horizontal="right" vertical="center"/>
    </xf>
    <xf numFmtId="164" fontId="48" fillId="23" borderId="8" xfId="2" applyNumberFormat="1" applyFont="1" applyFill="1" applyBorder="1" applyAlignment="1">
      <alignment horizontal="right" vertical="center"/>
    </xf>
    <xf numFmtId="49" fontId="48" fillId="13" borderId="4" xfId="16" applyNumberFormat="1" applyFont="1" applyFill="1" applyBorder="1" applyAlignment="1" applyProtection="1">
      <alignment horizontal="center" vertical="center"/>
      <protection hidden="1"/>
    </xf>
    <xf numFmtId="49" fontId="48" fillId="13" borderId="8" xfId="16" applyNumberFormat="1" applyFont="1" applyFill="1" applyBorder="1" applyAlignment="1" applyProtection="1">
      <alignment vertical="center" wrapText="1"/>
      <protection hidden="1"/>
    </xf>
    <xf numFmtId="164" fontId="48" fillId="17" borderId="5" xfId="2" applyNumberFormat="1" applyFont="1" applyFill="1" applyBorder="1" applyAlignment="1">
      <alignment horizontal="right" vertical="center"/>
    </xf>
    <xf numFmtId="49" fontId="12" fillId="0" borderId="4" xfId="16" applyNumberFormat="1" applyFont="1" applyFill="1" applyBorder="1" applyAlignment="1" applyProtection="1">
      <alignment horizontal="center" vertical="center"/>
      <protection hidden="1"/>
    </xf>
    <xf numFmtId="49" fontId="12" fillId="0" borderId="8" xfId="16" applyNumberFormat="1" applyFont="1" applyFill="1" applyBorder="1" applyAlignment="1" applyProtection="1">
      <alignment vertical="center" wrapText="1"/>
      <protection hidden="1"/>
    </xf>
    <xf numFmtId="164" fontId="12" fillId="17" borderId="6" xfId="2" applyNumberFormat="1" applyFont="1" applyFill="1" applyBorder="1" applyAlignment="1">
      <alignment horizontal="right" vertical="center"/>
    </xf>
    <xf numFmtId="164" fontId="12" fillId="0" borderId="8" xfId="2" applyNumberFormat="1" applyFont="1" applyFill="1" applyBorder="1" applyAlignment="1">
      <alignment horizontal="right" vertical="center"/>
    </xf>
    <xf numFmtId="49" fontId="12" fillId="0" borderId="52" xfId="16" applyNumberFormat="1" applyFont="1" applyBorder="1" applyAlignment="1" applyProtection="1">
      <alignment horizontal="center" vertical="center"/>
      <protection hidden="1"/>
    </xf>
    <xf numFmtId="0" fontId="12" fillId="0" borderId="20" xfId="2" applyFont="1" applyBorder="1" applyAlignment="1" applyProtection="1">
      <alignment horizontal="left" vertical="center" wrapText="1"/>
      <protection locked="0"/>
    </xf>
    <xf numFmtId="164" fontId="12" fillId="17" borderId="77" xfId="2" applyNumberFormat="1" applyFont="1" applyFill="1" applyBorder="1" applyAlignment="1" applyProtection="1">
      <alignment vertical="center"/>
      <protection locked="0"/>
    </xf>
    <xf numFmtId="164" fontId="12" fillId="0" borderId="16" xfId="2" applyNumberFormat="1" applyFont="1" applyFill="1" applyBorder="1" applyAlignment="1">
      <alignment horizontal="right" vertical="center"/>
    </xf>
    <xf numFmtId="0" fontId="12" fillId="0" borderId="24" xfId="2" applyFont="1" applyBorder="1" applyAlignment="1" applyProtection="1">
      <alignment horizontal="left" vertical="center"/>
      <protection locked="0"/>
    </xf>
    <xf numFmtId="164" fontId="12" fillId="17" borderId="30" xfId="2" applyNumberFormat="1" applyFont="1" applyFill="1" applyBorder="1" applyAlignment="1" applyProtection="1">
      <alignment vertical="center"/>
      <protection locked="0"/>
    </xf>
    <xf numFmtId="164" fontId="12" fillId="0" borderId="20" xfId="2" applyNumberFormat="1" applyFont="1" applyFill="1" applyBorder="1" applyAlignment="1">
      <alignment horizontal="right" vertical="center"/>
    </xf>
    <xf numFmtId="0" fontId="12" fillId="0" borderId="24" xfId="2" applyFont="1" applyBorder="1" applyAlignment="1" applyProtection="1">
      <alignment horizontal="left" vertical="center" wrapText="1"/>
      <protection locked="0"/>
    </xf>
    <xf numFmtId="164" fontId="12" fillId="0" borderId="24" xfId="2" applyNumberFormat="1" applyFont="1" applyFill="1" applyBorder="1" applyAlignment="1">
      <alignment horizontal="right" vertical="center"/>
    </xf>
    <xf numFmtId="164" fontId="12" fillId="17" borderId="1" xfId="2" applyNumberFormat="1" applyFont="1" applyFill="1" applyBorder="1" applyAlignment="1" applyProtection="1">
      <alignment vertical="center"/>
      <protection locked="0"/>
    </xf>
    <xf numFmtId="0" fontId="12" fillId="0" borderId="52" xfId="2" applyFont="1" applyBorder="1" applyAlignment="1">
      <alignment horizontal="center" vertical="center"/>
    </xf>
    <xf numFmtId="0" fontId="12" fillId="0" borderId="54" xfId="2" applyFont="1" applyBorder="1" applyAlignment="1">
      <alignment horizontal="center" vertical="center"/>
    </xf>
    <xf numFmtId="0" fontId="12" fillId="0" borderId="49" xfId="2" applyFont="1" applyBorder="1" applyAlignment="1">
      <alignment horizontal="center" vertical="center"/>
    </xf>
    <xf numFmtId="0" fontId="12" fillId="0" borderId="36" xfId="2" applyFont="1" applyBorder="1" applyAlignment="1" applyProtection="1">
      <alignment horizontal="left" vertical="center" wrapText="1"/>
      <protection locked="0"/>
    </xf>
    <xf numFmtId="164" fontId="12" fillId="17" borderId="3" xfId="2" applyNumberFormat="1" applyFont="1" applyFill="1" applyBorder="1" applyAlignment="1" applyProtection="1">
      <alignment vertical="center"/>
      <protection locked="0"/>
    </xf>
    <xf numFmtId="164" fontId="12" fillId="0" borderId="20" xfId="2" applyNumberFormat="1" applyFont="1" applyFill="1" applyBorder="1" applyAlignment="1">
      <alignment horizontal="right"/>
    </xf>
    <xf numFmtId="0" fontId="12" fillId="0" borderId="40" xfId="2" applyFont="1" applyFill="1" applyBorder="1" applyAlignment="1">
      <alignment horizontal="center" vertical="center"/>
    </xf>
    <xf numFmtId="0" fontId="12" fillId="0" borderId="8" xfId="2" applyFont="1" applyFill="1" applyBorder="1" applyAlignment="1" applyProtection="1">
      <alignment horizontal="left" vertical="center" wrapText="1"/>
      <protection locked="0"/>
    </xf>
    <xf numFmtId="164" fontId="12" fillId="17" borderId="32" xfId="2" applyNumberFormat="1" applyFont="1" applyFill="1" applyBorder="1" applyAlignment="1" applyProtection="1">
      <alignment vertical="center"/>
      <protection locked="0"/>
    </xf>
    <xf numFmtId="164" fontId="12" fillId="0" borderId="36" xfId="2" applyNumberFormat="1" applyFont="1" applyFill="1" applyBorder="1" applyAlignment="1">
      <alignment horizontal="right"/>
    </xf>
    <xf numFmtId="0" fontId="48" fillId="23" borderId="8" xfId="2" applyFont="1" applyFill="1" applyBorder="1" applyAlignment="1">
      <alignment horizontal="left" vertical="center" wrapText="1"/>
    </xf>
    <xf numFmtId="164" fontId="48" fillId="23" borderId="4" xfId="2" applyNumberFormat="1" applyFont="1" applyFill="1" applyBorder="1" applyAlignment="1">
      <alignment horizontal="right" vertical="center"/>
    </xf>
    <xf numFmtId="164" fontId="12" fillId="23" borderId="8" xfId="2" applyNumberFormat="1" applyFont="1" applyFill="1" applyBorder="1" applyAlignment="1">
      <alignment horizontal="right" vertical="center"/>
    </xf>
    <xf numFmtId="165" fontId="25" fillId="0" borderId="0" xfId="2" applyNumberFormat="1" applyFont="1" applyAlignment="1">
      <alignment horizontal="right"/>
    </xf>
    <xf numFmtId="165" fontId="6" fillId="0" borderId="0" xfId="2" applyNumberFormat="1" applyAlignment="1">
      <alignment horizontal="right"/>
    </xf>
    <xf numFmtId="0" fontId="48" fillId="0" borderId="0" xfId="2" applyFont="1" applyAlignment="1">
      <alignment horizontal="center"/>
    </xf>
    <xf numFmtId="0" fontId="11" fillId="0" borderId="0" xfId="2" applyFont="1" applyAlignment="1">
      <alignment horizontal="left" wrapText="1"/>
    </xf>
    <xf numFmtId="49" fontId="11" fillId="17" borderId="31" xfId="14" applyNumberFormat="1" applyFont="1" applyFill="1" applyBorder="1" applyAlignment="1" applyProtection="1">
      <alignment horizontal="left" vertical="center" wrapText="1"/>
      <protection hidden="1"/>
    </xf>
    <xf numFmtId="49" fontId="11" fillId="17" borderId="29" xfId="14" applyNumberFormat="1" applyFont="1" applyFill="1" applyBorder="1" applyAlignment="1" applyProtection="1">
      <alignment horizontal="left" vertical="center" wrapText="1"/>
      <protection hidden="1"/>
    </xf>
    <xf numFmtId="49" fontId="13" fillId="0" borderId="64" xfId="13" applyNumberFormat="1" applyFont="1" applyBorder="1" applyAlignment="1" applyProtection="1">
      <alignment horizontal="center" vertical="center" wrapText="1"/>
      <protection hidden="1"/>
    </xf>
    <xf numFmtId="49" fontId="13" fillId="0" borderId="38" xfId="13" applyNumberFormat="1" applyFont="1" applyBorder="1" applyAlignment="1" applyProtection="1">
      <alignment horizontal="center" vertical="center" wrapText="1"/>
      <protection hidden="1"/>
    </xf>
    <xf numFmtId="49" fontId="13" fillId="0" borderId="65" xfId="13" applyNumberFormat="1" applyFont="1" applyBorder="1" applyAlignment="1" applyProtection="1">
      <alignment horizontal="center" vertical="center" wrapText="1"/>
      <protection hidden="1"/>
    </xf>
    <xf numFmtId="0" fontId="48" fillId="0" borderId="0" xfId="2" applyFont="1" applyAlignment="1">
      <alignment horizontal="right"/>
    </xf>
    <xf numFmtId="0" fontId="62" fillId="0" borderId="0" xfId="2" applyFont="1" applyAlignment="1">
      <alignment horizontal="right"/>
    </xf>
    <xf numFmtId="0" fontId="63" fillId="0" borderId="0" xfId="2" applyFont="1" applyAlignment="1">
      <alignment horizontal="center" vertical="center" wrapText="1"/>
    </xf>
    <xf numFmtId="0" fontId="50" fillId="0" borderId="38" xfId="2" applyFont="1" applyBorder="1" applyAlignment="1">
      <alignment horizontal="right"/>
    </xf>
    <xf numFmtId="49" fontId="25" fillId="0" borderId="43" xfId="13" applyNumberFormat="1" applyFont="1" applyBorder="1" applyAlignment="1" applyProtection="1">
      <alignment horizontal="left" vertical="center" wrapText="1"/>
      <protection hidden="1"/>
    </xf>
    <xf numFmtId="49" fontId="25" fillId="0" borderId="31" xfId="13" applyNumberFormat="1" applyFont="1" applyBorder="1" applyAlignment="1" applyProtection="1">
      <alignment horizontal="left" vertical="center" wrapText="1"/>
      <protection hidden="1"/>
    </xf>
    <xf numFmtId="0" fontId="48" fillId="0" borderId="0" xfId="2" applyFont="1" applyFill="1" applyAlignment="1">
      <alignment horizontal="center" wrapText="1"/>
    </xf>
    <xf numFmtId="49" fontId="45" fillId="0" borderId="33" xfId="14" applyNumberFormat="1" applyFont="1" applyBorder="1" applyAlignment="1" applyProtection="1">
      <alignment horizontal="left" vertical="center" wrapText="1"/>
      <protection hidden="1"/>
    </xf>
    <xf numFmtId="49" fontId="45" fillId="0" borderId="26" xfId="14" applyNumberFormat="1" applyFont="1" applyBorder="1" applyAlignment="1" applyProtection="1">
      <alignment horizontal="left" vertical="center" wrapText="1"/>
      <protection hidden="1"/>
    </xf>
    <xf numFmtId="49" fontId="13" fillId="17" borderId="36" xfId="14" applyNumberFormat="1" applyFont="1" applyFill="1" applyBorder="1" applyAlignment="1" applyProtection="1">
      <alignment horizontal="left" vertical="center" wrapText="1"/>
      <protection hidden="1"/>
    </xf>
    <xf numFmtId="49" fontId="13" fillId="17" borderId="20" xfId="14" applyNumberFormat="1" applyFont="1" applyFill="1" applyBorder="1" applyAlignment="1" applyProtection="1">
      <alignment horizontal="left" vertical="center" wrapText="1"/>
      <protection hidden="1"/>
    </xf>
    <xf numFmtId="0" fontId="77" fillId="0" borderId="0" xfId="18" applyFont="1" applyAlignment="1">
      <alignment horizontal="left" vertical="center" wrapText="1" readingOrder="1"/>
    </xf>
    <xf numFmtId="0" fontId="48" fillId="0" borderId="0" xfId="2" applyFont="1" applyAlignment="1">
      <alignment horizontal="center" wrapText="1"/>
    </xf>
    <xf numFmtId="49" fontId="69" fillId="0" borderId="43" xfId="16" applyNumberFormat="1" applyFont="1" applyBorder="1" applyAlignment="1" applyProtection="1">
      <alignment horizontal="left" vertical="center" wrapText="1"/>
      <protection hidden="1"/>
    </xf>
    <xf numFmtId="49" fontId="69" fillId="0" borderId="31" xfId="16" applyNumberFormat="1" applyFont="1" applyBorder="1" applyAlignment="1" applyProtection="1">
      <alignment horizontal="left" vertical="center" wrapText="1"/>
      <protection hidden="1"/>
    </xf>
    <xf numFmtId="49" fontId="50" fillId="17" borderId="69" xfId="16" applyNumberFormat="1" applyFont="1" applyFill="1" applyBorder="1" applyAlignment="1" applyProtection="1">
      <alignment horizontal="center" vertical="center"/>
      <protection hidden="1"/>
    </xf>
    <xf numFmtId="49" fontId="50" fillId="17" borderId="17" xfId="16" applyNumberFormat="1" applyFont="1" applyFill="1" applyBorder="1" applyAlignment="1" applyProtection="1">
      <alignment horizontal="center" vertical="center"/>
      <protection hidden="1"/>
    </xf>
    <xf numFmtId="49" fontId="18" fillId="17" borderId="34" xfId="14" applyNumberFormat="1" applyFont="1" applyFill="1" applyBorder="1" applyAlignment="1" applyProtection="1">
      <alignment horizontal="left" vertical="center" wrapText="1"/>
      <protection hidden="1"/>
    </xf>
    <xf numFmtId="49" fontId="18" fillId="17" borderId="29" xfId="14" applyNumberFormat="1" applyFont="1" applyFill="1" applyBorder="1" applyAlignment="1" applyProtection="1">
      <alignment horizontal="left" vertical="center" wrapText="1"/>
      <protection hidden="1"/>
    </xf>
    <xf numFmtId="0" fontId="32" fillId="0" borderId="32" xfId="2" applyFont="1" applyBorder="1" applyAlignment="1">
      <alignment horizontal="left" wrapText="1"/>
    </xf>
    <xf numFmtId="0" fontId="9" fillId="0" borderId="0" xfId="2" applyFont="1" applyAlignment="1">
      <alignment horizontal="left" wrapText="1"/>
    </xf>
    <xf numFmtId="0" fontId="63" fillId="0" borderId="0" xfId="2" applyFont="1" applyAlignment="1">
      <alignment horizontal="center" vertical="center"/>
    </xf>
    <xf numFmtId="49" fontId="48" fillId="14" borderId="42" xfId="19" applyNumberFormat="1" applyFont="1" applyFill="1" applyBorder="1" applyAlignment="1" applyProtection="1">
      <alignment horizontal="center" vertical="center" wrapText="1"/>
      <protection hidden="1"/>
    </xf>
    <xf numFmtId="49" fontId="48" fillId="14" borderId="64" xfId="19" applyNumberFormat="1" applyFont="1" applyFill="1" applyBorder="1" applyAlignment="1" applyProtection="1">
      <alignment horizontal="center" vertical="center" wrapText="1"/>
      <protection hidden="1"/>
    </xf>
    <xf numFmtId="49" fontId="48" fillId="14" borderId="33" xfId="19" applyNumberFormat="1" applyFont="1" applyFill="1" applyBorder="1" applyAlignment="1" applyProtection="1">
      <alignment horizontal="center" vertical="center"/>
      <protection hidden="1"/>
    </xf>
    <xf numFmtId="49" fontId="48" fillId="14" borderId="12" xfId="19" applyNumberFormat="1" applyFont="1" applyFill="1" applyBorder="1" applyAlignment="1" applyProtection="1">
      <alignment horizontal="center" vertical="center"/>
      <protection hidden="1"/>
    </xf>
    <xf numFmtId="0" fontId="48" fillId="13" borderId="40" xfId="2" applyFont="1" applyFill="1" applyBorder="1" applyAlignment="1">
      <alignment horizontal="center" vertical="center"/>
    </xf>
    <xf numFmtId="0" fontId="48" fillId="13" borderId="67" xfId="2" applyFont="1" applyFill="1" applyBorder="1" applyAlignment="1">
      <alignment horizontal="center" vertical="center"/>
    </xf>
    <xf numFmtId="0" fontId="11" fillId="0" borderId="32" xfId="2" applyFont="1" applyBorder="1" applyAlignment="1">
      <alignment horizontal="left" wrapText="1"/>
    </xf>
    <xf numFmtId="0" fontId="11" fillId="0" borderId="0" xfId="2" applyFont="1" applyBorder="1" applyAlignment="1">
      <alignment horizontal="left" wrapText="1"/>
    </xf>
    <xf numFmtId="0" fontId="11" fillId="0" borderId="0" xfId="12" applyFont="1" applyAlignment="1">
      <alignment horizontal="left" vertical="center" wrapText="1"/>
    </xf>
    <xf numFmtId="0" fontId="37" fillId="4" borderId="2" xfId="12" applyFont="1" applyFill="1" applyBorder="1" applyAlignment="1">
      <alignment horizontal="center" vertical="center" wrapText="1"/>
    </xf>
    <xf numFmtId="0" fontId="13" fillId="13" borderId="2" xfId="12" applyFont="1" applyFill="1" applyBorder="1" applyAlignment="1">
      <alignment horizontal="center" vertical="center" wrapText="1"/>
    </xf>
    <xf numFmtId="0" fontId="58" fillId="0" borderId="0" xfId="12" applyFont="1" applyAlignment="1">
      <alignment horizontal="center" vertical="center" wrapText="1"/>
    </xf>
    <xf numFmtId="0" fontId="11" fillId="0" borderId="2" xfId="4" applyFont="1" applyFill="1" applyBorder="1" applyAlignment="1">
      <alignment horizontal="center" vertical="center" textRotation="90" wrapText="1"/>
    </xf>
    <xf numFmtId="0" fontId="11" fillId="0" borderId="2" xfId="4" applyFont="1" applyFill="1" applyBorder="1" applyAlignment="1">
      <alignment horizontal="center" vertical="center" wrapText="1"/>
    </xf>
    <xf numFmtId="0" fontId="13" fillId="13" borderId="2" xfId="4" applyFont="1" applyFill="1" applyBorder="1" applyAlignment="1">
      <alignment horizontal="center" vertical="center" wrapText="1"/>
    </xf>
    <xf numFmtId="0" fontId="11" fillId="0" borderId="2" xfId="12" applyFont="1" applyBorder="1" applyAlignment="1">
      <alignment horizontal="center" vertical="center" wrapText="1"/>
    </xf>
    <xf numFmtId="165" fontId="13" fillId="13" borderId="2" xfId="4" applyNumberFormat="1" applyFont="1" applyFill="1" applyBorder="1" applyAlignment="1">
      <alignment horizontal="center" vertical="center" wrapText="1"/>
    </xf>
    <xf numFmtId="0" fontId="12" fillId="0" borderId="0" xfId="8" applyFont="1" applyAlignment="1">
      <alignment horizontal="center" vertical="center" wrapText="1"/>
    </xf>
    <xf numFmtId="0" fontId="11" fillId="0" borderId="0" xfId="8" applyFont="1" applyBorder="1" applyAlignment="1">
      <alignment horizontal="center" vertical="top"/>
    </xf>
    <xf numFmtId="0" fontId="9" fillId="0" borderId="2" xfId="8" applyFont="1" applyBorder="1" applyAlignment="1">
      <alignment horizontal="center" vertical="center" wrapText="1"/>
    </xf>
    <xf numFmtId="0" fontId="8" fillId="4" borderId="2" xfId="4" applyFont="1" applyFill="1" applyBorder="1" applyAlignment="1">
      <alignment horizontal="center" vertical="center" wrapText="1"/>
    </xf>
    <xf numFmtId="165" fontId="8" fillId="4" borderId="2" xfId="4" applyNumberFormat="1" applyFont="1" applyFill="1" applyBorder="1" applyAlignment="1">
      <alignment horizontal="center" vertical="center" wrapText="1"/>
    </xf>
    <xf numFmtId="0" fontId="8" fillId="4" borderId="2" xfId="8" applyFont="1" applyFill="1" applyBorder="1" applyAlignment="1">
      <alignment horizontal="center" vertical="center" wrapText="1"/>
    </xf>
    <xf numFmtId="165" fontId="9" fillId="11" borderId="2" xfId="4" applyNumberFormat="1" applyFont="1" applyFill="1" applyBorder="1" applyAlignment="1">
      <alignment horizontal="center" vertical="center" wrapText="1"/>
    </xf>
    <xf numFmtId="0" fontId="11" fillId="0" borderId="0" xfId="8" applyFont="1" applyAlignment="1">
      <alignment horizontal="left"/>
    </xf>
    <xf numFmtId="165" fontId="8" fillId="10" borderId="2" xfId="4" applyNumberFormat="1" applyFont="1" applyFill="1" applyBorder="1" applyAlignment="1">
      <alignment horizontal="center" vertical="center" wrapText="1"/>
    </xf>
    <xf numFmtId="0" fontId="9" fillId="0" borderId="2" xfId="8" applyFont="1" applyFill="1" applyBorder="1" applyAlignment="1">
      <alignment horizontal="center" vertical="center" wrapText="1"/>
    </xf>
    <xf numFmtId="0" fontId="8" fillId="7" borderId="2" xfId="8" applyFont="1" applyFill="1" applyBorder="1" applyAlignment="1">
      <alignment horizontal="center" vertical="center" wrapText="1"/>
    </xf>
    <xf numFmtId="0" fontId="13" fillId="4" borderId="2" xfId="8" applyFont="1" applyFill="1" applyBorder="1" applyAlignment="1">
      <alignment horizontal="center" vertical="center" wrapText="1"/>
    </xf>
    <xf numFmtId="0" fontId="9" fillId="7" borderId="2" xfId="8" applyFont="1" applyFill="1" applyBorder="1" applyAlignment="1">
      <alignment horizontal="center" vertical="center" wrapText="1"/>
    </xf>
    <xf numFmtId="0" fontId="12" fillId="0" borderId="0" xfId="8" applyFont="1" applyAlignment="1">
      <alignment horizontal="center"/>
    </xf>
    <xf numFmtId="0" fontId="11" fillId="0" borderId="1" xfId="8" applyFont="1" applyBorder="1" applyAlignment="1">
      <alignment horizontal="center" vertical="top"/>
    </xf>
    <xf numFmtId="0" fontId="9" fillId="0" borderId="2" xfId="4" applyFont="1" applyFill="1" applyBorder="1" applyAlignment="1">
      <alignment horizontal="center" vertical="center" wrapText="1"/>
    </xf>
    <xf numFmtId="165" fontId="8" fillId="4" borderId="2" xfId="8" applyNumberFormat="1" applyFont="1" applyFill="1" applyBorder="1" applyAlignment="1">
      <alignment horizontal="center" vertical="center" wrapText="1"/>
    </xf>
    <xf numFmtId="1" fontId="13" fillId="4" borderId="2" xfId="4" applyNumberFormat="1" applyFont="1" applyFill="1" applyBorder="1" applyAlignment="1">
      <alignment horizontal="center" vertical="center" wrapText="1"/>
    </xf>
    <xf numFmtId="1" fontId="9" fillId="7" borderId="2" xfId="4" applyNumberFormat="1" applyFont="1" applyFill="1" applyBorder="1" applyAlignment="1">
      <alignment horizontal="center" vertical="center" wrapText="1"/>
    </xf>
    <xf numFmtId="0" fontId="23" fillId="0" borderId="0" xfId="8" applyFont="1" applyAlignment="1">
      <alignment horizontal="left" vertical="center"/>
    </xf>
    <xf numFmtId="0" fontId="4" fillId="0" borderId="2" xfId="8" applyFont="1" applyBorder="1" applyAlignment="1">
      <alignment horizontal="right" vertical="center" wrapText="1"/>
    </xf>
    <xf numFmtId="0" fontId="2" fillId="0" borderId="2" xfId="8" applyFont="1" applyBorder="1" applyAlignment="1">
      <alignment horizontal="center" vertical="center" wrapText="1"/>
    </xf>
    <xf numFmtId="0" fontId="2" fillId="0" borderId="2" xfId="8" quotePrefix="1" applyFont="1" applyBorder="1" applyAlignment="1">
      <alignment horizontal="center" vertical="center" wrapText="1"/>
    </xf>
    <xf numFmtId="1" fontId="8" fillId="7" borderId="2" xfId="4" applyNumberFormat="1" applyFont="1" applyFill="1" applyBorder="1" applyAlignment="1">
      <alignment horizontal="center" vertical="center" wrapText="1"/>
    </xf>
    <xf numFmtId="0" fontId="2" fillId="0" borderId="2" xfId="8" applyFont="1" applyBorder="1" applyAlignment="1">
      <alignment horizontal="center" vertical="center"/>
    </xf>
    <xf numFmtId="3" fontId="12" fillId="0" borderId="0" xfId="8" applyNumberFormat="1" applyFont="1" applyAlignment="1">
      <alignment horizontal="center"/>
    </xf>
    <xf numFmtId="3" fontId="14" fillId="0" borderId="1" xfId="8" applyNumberFormat="1" applyFont="1" applyBorder="1" applyAlignment="1">
      <alignment horizontal="center" vertical="top"/>
    </xf>
    <xf numFmtId="3" fontId="9" fillId="0" borderId="2" xfId="8" applyNumberFormat="1" applyFont="1" applyFill="1" applyBorder="1" applyAlignment="1">
      <alignment horizontal="center" vertical="center" wrapText="1"/>
    </xf>
    <xf numFmtId="3" fontId="8" fillId="4" borderId="2" xfId="8" applyNumberFormat="1" applyFont="1" applyFill="1" applyBorder="1" applyAlignment="1">
      <alignment horizontal="center" vertical="center" wrapText="1"/>
    </xf>
    <xf numFmtId="3" fontId="8" fillId="10" borderId="2" xfId="8" applyNumberFormat="1" applyFont="1" applyFill="1" applyBorder="1" applyAlignment="1">
      <alignment horizontal="center" vertical="center" wrapText="1"/>
    </xf>
    <xf numFmtId="0" fontId="42" fillId="10" borderId="2" xfId="8" applyFont="1" applyFill="1" applyBorder="1" applyAlignment="1">
      <alignment horizontal="center" vertical="center" wrapText="1"/>
    </xf>
    <xf numFmtId="3" fontId="9" fillId="0" borderId="2" xfId="4" applyNumberFormat="1" applyFont="1" applyFill="1" applyBorder="1" applyAlignment="1">
      <alignment horizontal="center" vertical="center" wrapText="1"/>
    </xf>
    <xf numFmtId="3" fontId="8" fillId="0" borderId="2" xfId="4" applyNumberFormat="1" applyFont="1" applyBorder="1" applyAlignment="1">
      <alignment horizontal="center" vertical="center" wrapText="1"/>
    </xf>
    <xf numFmtId="3" fontId="9" fillId="0" borderId="2" xfId="4" applyNumberFormat="1" applyFont="1" applyBorder="1" applyAlignment="1">
      <alignment horizontal="center" vertical="center" textRotation="90" wrapText="1"/>
    </xf>
    <xf numFmtId="3" fontId="8" fillId="7" borderId="2" xfId="4" applyNumberFormat="1" applyFont="1" applyFill="1" applyBorder="1" applyAlignment="1">
      <alignment horizontal="right" vertical="center" wrapText="1"/>
    </xf>
    <xf numFmtId="49" fontId="9" fillId="0" borderId="2" xfId="4" applyNumberFormat="1" applyFont="1" applyFill="1" applyBorder="1" applyAlignment="1">
      <alignment horizontal="center" vertical="center" wrapText="1"/>
    </xf>
    <xf numFmtId="3" fontId="8" fillId="7" borderId="2" xfId="4" applyNumberFormat="1" applyFont="1" applyFill="1" applyBorder="1" applyAlignment="1">
      <alignment horizontal="center" vertical="center" wrapText="1"/>
    </xf>
    <xf numFmtId="3" fontId="8" fillId="6" borderId="2" xfId="4" applyNumberFormat="1" applyFont="1" applyFill="1" applyBorder="1" applyAlignment="1">
      <alignment horizontal="center" vertical="center" wrapText="1"/>
    </xf>
    <xf numFmtId="3" fontId="11" fillId="0" borderId="3" xfId="8" applyNumberFormat="1" applyFont="1" applyFill="1" applyBorder="1" applyAlignment="1">
      <alignment horizontal="left"/>
    </xf>
    <xf numFmtId="3" fontId="9" fillId="7" borderId="2" xfId="4" applyNumberFormat="1" applyFont="1" applyFill="1" applyBorder="1" applyAlignment="1">
      <alignment horizontal="center" vertical="center" wrapText="1"/>
    </xf>
    <xf numFmtId="3" fontId="13" fillId="4" borderId="2" xfId="4" applyNumberFormat="1" applyFont="1" applyFill="1" applyBorder="1" applyAlignment="1">
      <alignment horizontal="center" vertical="center" wrapText="1"/>
    </xf>
    <xf numFmtId="0" fontId="15" fillId="0" borderId="2" xfId="3" applyFont="1" applyFill="1" applyBorder="1" applyAlignment="1">
      <alignment horizontal="center" vertical="center" wrapText="1"/>
    </xf>
    <xf numFmtId="1" fontId="8" fillId="0" borderId="2" xfId="4" applyNumberFormat="1" applyFont="1" applyFill="1" applyBorder="1" applyAlignment="1">
      <alignment horizontal="center" vertical="center" wrapText="1"/>
    </xf>
    <xf numFmtId="1" fontId="16" fillId="0" borderId="2" xfId="4" applyNumberFormat="1" applyFont="1" applyFill="1" applyBorder="1" applyAlignment="1">
      <alignment horizontal="center" vertical="center" wrapText="1"/>
    </xf>
    <xf numFmtId="0" fontId="9" fillId="0" borderId="2" xfId="3" applyFont="1" applyFill="1" applyBorder="1" applyAlignment="1">
      <alignment horizontal="center" vertical="center" wrapText="1"/>
    </xf>
    <xf numFmtId="49" fontId="9" fillId="3" borderId="2" xfId="3" applyNumberFormat="1" applyFont="1" applyFill="1" applyBorder="1" applyAlignment="1">
      <alignment horizontal="center" vertical="center"/>
    </xf>
    <xf numFmtId="49" fontId="9" fillId="0" borderId="2" xfId="3" quotePrefix="1" applyNumberFormat="1" applyFont="1" applyFill="1" applyBorder="1" applyAlignment="1">
      <alignment horizontal="center" vertical="center"/>
    </xf>
    <xf numFmtId="164" fontId="3" fillId="7" borderId="2" xfId="0" quotePrefix="1" applyNumberFormat="1" applyFont="1" applyFill="1" applyBorder="1" applyAlignment="1">
      <alignment horizontal="center" vertical="center" wrapText="1"/>
    </xf>
    <xf numFmtId="164" fontId="2" fillId="0" borderId="2" xfId="0" applyNumberFormat="1" applyFont="1" applyFill="1" applyBorder="1" applyAlignment="1">
      <alignment horizontal="center" vertical="center" wrapText="1"/>
    </xf>
    <xf numFmtId="0" fontId="9" fillId="0" borderId="2" xfId="3" quotePrefix="1" applyFont="1" applyFill="1" applyBorder="1" applyAlignment="1">
      <alignment horizontal="center" vertical="center" wrapText="1"/>
    </xf>
    <xf numFmtId="164" fontId="2" fillId="0" borderId="2" xfId="0" quotePrefix="1" applyNumberFormat="1" applyFont="1" applyFill="1" applyBorder="1" applyAlignment="1">
      <alignment horizontal="center" vertical="center" wrapText="1"/>
    </xf>
    <xf numFmtId="164" fontId="2" fillId="0" borderId="2" xfId="0" quotePrefix="1" applyNumberFormat="1" applyFont="1" applyFill="1" applyBorder="1" applyAlignment="1">
      <alignment horizontal="center" vertical="center"/>
    </xf>
    <xf numFmtId="0" fontId="11" fillId="0" borderId="2" xfId="3" applyFont="1" applyFill="1" applyBorder="1" applyAlignment="1">
      <alignment horizontal="left" vertical="center" wrapText="1"/>
    </xf>
    <xf numFmtId="0" fontId="12" fillId="0" borderId="0" xfId="3" applyFont="1" applyAlignment="1">
      <alignment horizontal="center" wrapText="1"/>
    </xf>
    <xf numFmtId="165" fontId="8" fillId="4" borderId="2" xfId="3" applyNumberFormat="1" applyFont="1" applyFill="1" applyBorder="1" applyAlignment="1">
      <alignment horizontal="center" vertical="center" wrapText="1"/>
    </xf>
    <xf numFmtId="164" fontId="8" fillId="10" borderId="2" xfId="0" applyNumberFormat="1" applyFont="1" applyFill="1" applyBorder="1" applyAlignment="1">
      <alignment horizontal="center" vertical="center" wrapText="1"/>
    </xf>
    <xf numFmtId="1" fontId="9" fillId="0" borderId="2" xfId="4" applyNumberFormat="1" applyFont="1" applyFill="1" applyBorder="1" applyAlignment="1">
      <alignment horizontal="center" vertical="center" wrapText="1"/>
    </xf>
    <xf numFmtId="0" fontId="9" fillId="0" borderId="2" xfId="3" quotePrefix="1" applyFont="1" applyBorder="1" applyAlignment="1">
      <alignment horizontal="center" vertical="center"/>
    </xf>
    <xf numFmtId="0" fontId="13" fillId="4" borderId="2" xfId="3" applyFont="1" applyFill="1" applyBorder="1" applyAlignment="1">
      <alignment horizontal="center" vertical="center"/>
    </xf>
    <xf numFmtId="0" fontId="19" fillId="4" borderId="2" xfId="5" applyFont="1" applyFill="1" applyBorder="1" applyAlignment="1">
      <alignment horizontal="center" vertical="center" wrapText="1"/>
    </xf>
    <xf numFmtId="0" fontId="2" fillId="7" borderId="2" xfId="5" applyFont="1" applyFill="1" applyBorder="1" applyAlignment="1">
      <alignment horizontal="center" vertical="center" wrapText="1"/>
    </xf>
    <xf numFmtId="0" fontId="23" fillId="0" borderId="2" xfId="5" applyFont="1" applyBorder="1" applyAlignment="1">
      <alignment horizontal="center" vertical="center" wrapText="1"/>
    </xf>
    <xf numFmtId="0" fontId="2" fillId="0" borderId="2" xfId="5" applyFont="1" applyBorder="1" applyAlignment="1">
      <alignment horizontal="center" vertical="center" wrapText="1"/>
    </xf>
    <xf numFmtId="0" fontId="23" fillId="0" borderId="2" xfId="5" applyFont="1" applyFill="1" applyBorder="1" applyAlignment="1">
      <alignment horizontal="center" vertical="center" wrapText="1"/>
    </xf>
    <xf numFmtId="1" fontId="11" fillId="0" borderId="2" xfId="4" applyNumberFormat="1" applyFont="1" applyFill="1" applyBorder="1" applyAlignment="1">
      <alignment horizontal="right" vertical="center" wrapText="1"/>
    </xf>
    <xf numFmtId="165" fontId="9" fillId="10" borderId="2" xfId="5" applyNumberFormat="1" applyFont="1" applyFill="1" applyBorder="1" applyAlignment="1">
      <alignment horizontal="left" vertical="center" wrapText="1"/>
    </xf>
    <xf numFmtId="0" fontId="0" fillId="0" borderId="2" xfId="0" applyBorder="1" applyAlignment="1">
      <alignment horizontal="center" vertical="center" wrapText="1"/>
    </xf>
    <xf numFmtId="165" fontId="9" fillId="10" borderId="2" xfId="5" applyNumberFormat="1" applyFont="1" applyFill="1"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25" fillId="0" borderId="2" xfId="5" applyFont="1" applyBorder="1" applyAlignment="1">
      <alignment horizontal="center" vertical="center" wrapText="1"/>
    </xf>
    <xf numFmtId="1" fontId="45" fillId="7" borderId="2" xfId="4" applyNumberFormat="1" applyFont="1" applyFill="1" applyBorder="1" applyAlignment="1">
      <alignment horizontal="center" vertical="center" wrapText="1"/>
    </xf>
    <xf numFmtId="1" fontId="11" fillId="6" borderId="2" xfId="4" applyNumberFormat="1" applyFont="1" applyFill="1" applyBorder="1" applyAlignment="1">
      <alignment horizontal="center" vertical="center" wrapText="1"/>
    </xf>
    <xf numFmtId="0" fontId="25" fillId="0" borderId="2" xfId="5" quotePrefix="1" applyFont="1" applyBorder="1" applyAlignment="1">
      <alignment horizontal="center" vertical="center" wrapText="1"/>
    </xf>
    <xf numFmtId="0" fontId="23" fillId="0" borderId="2" xfId="5" quotePrefix="1" applyFont="1" applyBorder="1" applyAlignment="1">
      <alignment horizontal="center" vertical="center" wrapText="1"/>
    </xf>
    <xf numFmtId="1" fontId="45" fillId="0" borderId="2" xfId="4" applyNumberFormat="1" applyFont="1" applyFill="1" applyBorder="1" applyAlignment="1">
      <alignment horizontal="center" vertical="center" wrapText="1"/>
    </xf>
    <xf numFmtId="0" fontId="32" fillId="0" borderId="2" xfId="5" applyFont="1" applyBorder="1" applyAlignment="1">
      <alignment horizontal="center" vertical="center" wrapText="1"/>
    </xf>
    <xf numFmtId="0" fontId="12" fillId="0" borderId="0" xfId="5" applyFont="1" applyAlignment="1">
      <alignment horizontal="center"/>
    </xf>
    <xf numFmtId="0" fontId="11" fillId="0" borderId="1" xfId="5" applyFont="1" applyBorder="1" applyAlignment="1">
      <alignment horizontal="center" vertical="top"/>
    </xf>
    <xf numFmtId="0" fontId="9" fillId="0" borderId="2" xfId="5" applyFont="1" applyBorder="1" applyAlignment="1">
      <alignment horizontal="center" vertical="center" wrapText="1"/>
    </xf>
    <xf numFmtId="165" fontId="8" fillId="4" borderId="2" xfId="5" applyNumberFormat="1" applyFont="1" applyFill="1" applyBorder="1" applyAlignment="1">
      <alignment horizontal="center" vertical="center" wrapText="1"/>
    </xf>
    <xf numFmtId="165" fontId="8" fillId="4" borderId="2" xfId="5" applyNumberFormat="1" applyFont="1" applyFill="1" applyBorder="1" applyAlignment="1">
      <alignment horizontal="center" vertical="center" wrapText="1" shrinkToFit="1"/>
    </xf>
    <xf numFmtId="165" fontId="9" fillId="0" borderId="2" xfId="5" applyNumberFormat="1" applyFont="1" applyBorder="1" applyAlignment="1">
      <alignment horizontal="center" vertical="center" wrapText="1"/>
    </xf>
    <xf numFmtId="165" fontId="9" fillId="10" borderId="2" xfId="0" applyNumberFormat="1" applyFont="1" applyFill="1" applyBorder="1" applyAlignment="1">
      <alignment horizontal="left" vertical="center" wrapText="1"/>
    </xf>
    <xf numFmtId="0" fontId="2" fillId="0" borderId="2" xfId="0" quotePrefix="1" applyFont="1" applyBorder="1" applyAlignment="1">
      <alignment horizontal="center" vertical="center" wrapText="1"/>
    </xf>
    <xf numFmtId="0" fontId="8" fillId="7" borderId="2" xfId="0" applyFont="1" applyFill="1" applyBorder="1" applyAlignment="1">
      <alignment horizontal="center" vertical="center" wrapText="1"/>
    </xf>
    <xf numFmtId="0" fontId="12" fillId="0" borderId="0" xfId="2" applyFont="1" applyAlignment="1">
      <alignment horizontal="center"/>
    </xf>
    <xf numFmtId="0" fontId="11" fillId="0" borderId="1" xfId="2" applyFont="1" applyBorder="1" applyAlignment="1">
      <alignment horizontal="center" vertical="top"/>
    </xf>
    <xf numFmtId="0" fontId="9" fillId="0" borderId="2" xfId="2" applyFont="1" applyBorder="1" applyAlignment="1">
      <alignment horizontal="center" vertical="center" wrapText="1"/>
    </xf>
    <xf numFmtId="165" fontId="8" fillId="4" borderId="2" xfId="2" applyNumberFormat="1" applyFont="1" applyFill="1" applyBorder="1" applyAlignment="1">
      <alignment horizontal="center" vertical="center" wrapText="1"/>
    </xf>
    <xf numFmtId="165" fontId="9" fillId="0" borderId="2" xfId="2" applyNumberFormat="1" applyFont="1" applyBorder="1" applyAlignment="1">
      <alignment horizontal="center" vertical="center" wrapText="1"/>
    </xf>
    <xf numFmtId="164" fontId="9" fillId="10" borderId="2" xfId="4" applyNumberFormat="1" applyFont="1" applyFill="1" applyBorder="1" applyAlignment="1">
      <alignment horizontal="left" vertical="top" wrapText="1"/>
    </xf>
    <xf numFmtId="0" fontId="24" fillId="3" borderId="2" xfId="0" applyFont="1" applyFill="1" applyBorder="1" applyAlignment="1">
      <alignment horizontal="center" vertical="center" wrapText="1"/>
    </xf>
    <xf numFmtId="1" fontId="15" fillId="7" borderId="2" xfId="4" applyNumberFormat="1" applyFont="1" applyFill="1" applyBorder="1" applyAlignment="1">
      <alignment horizontal="center" vertical="center" wrapText="1"/>
    </xf>
    <xf numFmtId="1" fontId="8" fillId="4" borderId="2" xfId="4" applyNumberFormat="1" applyFont="1" applyFill="1" applyBorder="1" applyAlignment="1">
      <alignment horizontal="center" vertical="center" wrapText="1"/>
    </xf>
    <xf numFmtId="0" fontId="8" fillId="7" borderId="2" xfId="2"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0" borderId="0" xfId="2" applyFont="1" applyAlignment="1">
      <alignment horizontal="left" vertical="center"/>
    </xf>
    <xf numFmtId="0" fontId="9" fillId="0" borderId="2" xfId="0" quotePrefix="1" applyFont="1" applyBorder="1" applyAlignment="1">
      <alignment horizontal="center" vertical="center" wrapText="1"/>
    </xf>
    <xf numFmtId="0" fontId="2" fillId="0" borderId="2" xfId="2" applyFont="1" applyBorder="1" applyAlignment="1">
      <alignment horizontal="center" vertical="center" wrapText="1"/>
    </xf>
    <xf numFmtId="0" fontId="2" fillId="0" borderId="2" xfId="2" quotePrefix="1" applyFont="1" applyBorder="1" applyAlignment="1">
      <alignment horizontal="center" vertical="center"/>
    </xf>
    <xf numFmtId="0" fontId="25" fillId="0" borderId="2" xfId="0" applyFont="1" applyFill="1" applyBorder="1" applyAlignment="1">
      <alignment horizontal="center" vertical="center" wrapText="1"/>
    </xf>
    <xf numFmtId="0" fontId="25" fillId="0" borderId="2" xfId="0" quotePrefix="1" applyFont="1" applyFill="1" applyBorder="1" applyAlignment="1">
      <alignment horizontal="center" vertical="center" wrapText="1"/>
    </xf>
    <xf numFmtId="164" fontId="45" fillId="11" borderId="2" xfId="11" applyNumberFormat="1" applyFont="1" applyFill="1" applyBorder="1" applyAlignment="1">
      <alignment horizontal="center" vertical="center" wrapText="1"/>
    </xf>
    <xf numFmtId="0" fontId="45" fillId="0" borderId="2" xfId="0" applyFont="1" applyFill="1" applyBorder="1" applyAlignment="1">
      <alignment horizontal="center" vertical="center" wrapText="1"/>
    </xf>
    <xf numFmtId="1" fontId="51" fillId="7" borderId="2" xfId="4" applyNumberFormat="1" applyFont="1" applyFill="1" applyBorder="1" applyAlignment="1">
      <alignment horizontal="center" vertical="center" wrapText="1"/>
    </xf>
    <xf numFmtId="0" fontId="18" fillId="4" borderId="2" xfId="5" applyFont="1" applyFill="1" applyBorder="1" applyAlignment="1">
      <alignment horizontal="center" vertical="center" wrapText="1"/>
    </xf>
    <xf numFmtId="0" fontId="25" fillId="0" borderId="0" xfId="10" applyFont="1" applyAlignment="1">
      <alignment horizontal="left"/>
    </xf>
    <xf numFmtId="0" fontId="25" fillId="7" borderId="2" xfId="5" applyFont="1" applyFill="1" applyBorder="1" applyAlignment="1">
      <alignment horizontal="center" vertical="center" wrapText="1"/>
    </xf>
    <xf numFmtId="49" fontId="25" fillId="0" borderId="2" xfId="10" applyNumberFormat="1" applyFont="1" applyFill="1" applyBorder="1" applyAlignment="1">
      <alignment horizontal="center" vertical="center" wrapText="1"/>
    </xf>
    <xf numFmtId="0" fontId="25" fillId="0" borderId="2" xfId="10" applyFont="1" applyFill="1" applyBorder="1" applyAlignment="1">
      <alignment horizontal="center" vertical="center" wrapText="1"/>
    </xf>
    <xf numFmtId="1" fontId="50" fillId="7" borderId="2" xfId="4" applyNumberFormat="1" applyFont="1" applyFill="1" applyBorder="1" applyAlignment="1">
      <alignment horizontal="center" vertical="center" wrapText="1"/>
    </xf>
    <xf numFmtId="0" fontId="25" fillId="7" borderId="2" xfId="10" applyFont="1" applyFill="1" applyBorder="1" applyAlignment="1">
      <alignment horizontal="center" vertical="center" wrapText="1"/>
    </xf>
    <xf numFmtId="0" fontId="45" fillId="0" borderId="2" xfId="10" applyFont="1" applyFill="1" applyBorder="1" applyAlignment="1">
      <alignment horizontal="left" vertical="center" wrapText="1"/>
    </xf>
    <xf numFmtId="49" fontId="25" fillId="0" borderId="2" xfId="10" quotePrefix="1" applyNumberFormat="1" applyFont="1" applyFill="1" applyBorder="1" applyAlignment="1">
      <alignment horizontal="center" vertical="center" wrapText="1"/>
    </xf>
    <xf numFmtId="0" fontId="25" fillId="0" borderId="2" xfId="10" applyFont="1" applyBorder="1" applyAlignment="1">
      <alignment horizontal="center" vertical="center" wrapText="1"/>
    </xf>
    <xf numFmtId="0" fontId="25" fillId="0" borderId="2" xfId="10" quotePrefix="1" applyFont="1" applyBorder="1" applyAlignment="1">
      <alignment horizontal="center" vertical="center" wrapText="1"/>
    </xf>
    <xf numFmtId="49" fontId="25" fillId="10" borderId="2" xfId="10" applyNumberFormat="1" applyFont="1" applyFill="1" applyBorder="1" applyAlignment="1">
      <alignment horizontal="left" vertical="center" wrapText="1"/>
    </xf>
    <xf numFmtId="0" fontId="25" fillId="10" borderId="2" xfId="10" applyFont="1" applyFill="1" applyBorder="1" applyAlignment="1">
      <alignment horizontal="left" vertical="center" wrapText="1"/>
    </xf>
    <xf numFmtId="164" fontId="18" fillId="4" borderId="2" xfId="10" applyNumberFormat="1" applyFont="1" applyFill="1" applyBorder="1" applyAlignment="1">
      <alignment horizontal="center" vertical="center" wrapText="1"/>
    </xf>
    <xf numFmtId="164" fontId="45" fillId="0" borderId="2" xfId="10" applyNumberFormat="1" applyFont="1" applyFill="1" applyBorder="1" applyAlignment="1">
      <alignment horizontal="center" vertical="center" wrapText="1"/>
    </xf>
    <xf numFmtId="0" fontId="48" fillId="0" borderId="0" xfId="10" applyFont="1" applyAlignment="1">
      <alignment horizontal="center" vertical="center" wrapText="1"/>
    </xf>
    <xf numFmtId="0" fontId="49" fillId="0" borderId="1" xfId="10" applyFont="1" applyBorder="1" applyAlignment="1">
      <alignment horizontal="center"/>
    </xf>
    <xf numFmtId="0" fontId="50" fillId="4" borderId="2" xfId="4" applyFont="1" applyFill="1" applyBorder="1" applyAlignment="1">
      <alignment horizontal="center" vertical="center" wrapText="1"/>
    </xf>
    <xf numFmtId="0" fontId="50" fillId="4" borderId="2" xfId="10" applyFont="1" applyFill="1" applyBorder="1" applyAlignment="1">
      <alignment horizontal="center" vertical="center" wrapText="1"/>
    </xf>
    <xf numFmtId="165" fontId="25" fillId="11" borderId="2" xfId="4" applyNumberFormat="1" applyFont="1" applyFill="1" applyBorder="1" applyAlignment="1">
      <alignment horizontal="center" vertical="center" wrapText="1"/>
    </xf>
    <xf numFmtId="165" fontId="50" fillId="10" borderId="2" xfId="4" applyNumberFormat="1" applyFont="1" applyFill="1" applyBorder="1" applyAlignment="1">
      <alignment horizontal="center" vertical="center" wrapText="1"/>
    </xf>
  </cellXfs>
  <cellStyles count="20">
    <cellStyle name="Įprastas" xfId="0" builtinId="0"/>
    <cellStyle name="Įprastas 11" xfId="12"/>
    <cellStyle name="Įprastas 12" xfId="7"/>
    <cellStyle name="Įprastas 2" xfId="2"/>
    <cellStyle name="Įprastas 2 2 2" xfId="17"/>
    <cellStyle name="Įprastas 3" xfId="5"/>
    <cellStyle name="Įprastas 4" xfId="8"/>
    <cellStyle name="Įprastas 4 4" xfId="3"/>
    <cellStyle name="Įprastas 5" xfId="10"/>
    <cellStyle name="Įprastas 6" xfId="15"/>
    <cellStyle name="Įprastas 9" xfId="18"/>
    <cellStyle name="Kablelis" xfId="9" builtinId="3"/>
    <cellStyle name="Kablelis 2" xfId="11"/>
    <cellStyle name="Normal_SAVAPYSsssss 2" xfId="14"/>
    <cellStyle name="Normal_SAVAPYSsssss 3" xfId="16"/>
    <cellStyle name="Normal_SAVAPYSsssss 4 2" xfId="19"/>
    <cellStyle name="Normal_SAVAPYSsssss 5" xfId="13"/>
    <cellStyle name="Paprastas_10pr" xfId="6"/>
    <cellStyle name="Paprastas_11 priedas" xfId="4"/>
    <cellStyle name="Paprastas_Kopija BFP_1"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klaudija.vazneliene/Local%20Settings/Temporary%20Internet%20Files/OLKA/Documents%20and%20Settings/klaudija.vazneliene/My%20Documents/KlaudijaV/My%20Documents/ES/darbinis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aityk"/>
      <sheetName val="Sarasas"/>
      <sheetName val="Skaiciai"/>
      <sheetName val="Diagram1"/>
      <sheetName val="Diagram2"/>
      <sheetName val="Diagram3"/>
      <sheetName val="Procent1"/>
      <sheetName val="Procent2"/>
      <sheetName val="Procent3"/>
      <sheetName val="Pyragas1"/>
      <sheetName val="Pyragas2"/>
      <sheetName val="Pyragas3"/>
      <sheetName val="S_Diagr1"/>
      <sheetName val="S_Diagr2"/>
      <sheetName val="S_Diagr3"/>
      <sheetName val="IS_VISO"/>
      <sheetName val="MPlanas"/>
    </sheetNames>
    <sheetDataSet>
      <sheetData sheetId="0"/>
      <sheetData sheetId="1">
        <row r="1">
          <cell r="A1" t="str">
            <v xml:space="preserve">Šio Excel failo skyriai ir skyrių grupės (sąrašas)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Zeros="0" tabSelected="1" zoomScaleNormal="100" zoomScaleSheetLayoutView="75" workbookViewId="0">
      <pane xSplit="1" ySplit="4" topLeftCell="B5" activePane="bottomRight" state="frozen"/>
      <selection activeCell="O15" sqref="O15"/>
      <selection pane="topRight" activeCell="O15" sqref="O15"/>
      <selection pane="bottomLeft" activeCell="O15" sqref="O15"/>
      <selection pane="bottomRight" activeCell="N24" sqref="N24"/>
    </sheetView>
  </sheetViews>
  <sheetFormatPr defaultRowHeight="12.75" x14ac:dyDescent="0.2"/>
  <cols>
    <col min="1" max="1" width="5.28515625" style="612" customWidth="1"/>
    <col min="2" max="2" width="51.7109375" style="612" customWidth="1"/>
    <col min="3" max="3" width="11.140625" style="612" customWidth="1"/>
    <col min="4" max="4" width="11.42578125" style="612" hidden="1" customWidth="1"/>
    <col min="5" max="5" width="11.28515625" style="612" customWidth="1"/>
    <col min="6" max="6" width="11.7109375" style="612" customWidth="1"/>
    <col min="7" max="7" width="5.28515625" style="612" hidden="1" customWidth="1"/>
    <col min="8" max="8" width="14.42578125" style="612" hidden="1" customWidth="1"/>
    <col min="9" max="9" width="5.28515625" style="612" hidden="1" customWidth="1"/>
    <col min="10" max="253" width="9.140625" style="612"/>
    <col min="254" max="254" width="5.28515625" style="612" customWidth="1"/>
    <col min="255" max="255" width="37.42578125" style="612" customWidth="1"/>
    <col min="256" max="256" width="10.28515625" style="612" customWidth="1"/>
    <col min="257" max="257" width="11.28515625" style="612" customWidth="1"/>
    <col min="258" max="258" width="10" style="612" customWidth="1"/>
    <col min="259" max="259" width="13" style="612" customWidth="1"/>
    <col min="260" max="260" width="6" style="612" customWidth="1"/>
    <col min="261" max="261" width="12.7109375" style="612" customWidth="1"/>
    <col min="262" max="262" width="6" style="612" customWidth="1"/>
    <col min="263" max="263" width="31.5703125" style="612" customWidth="1"/>
    <col min="264" max="509" width="9.140625" style="612"/>
    <col min="510" max="510" width="5.28515625" style="612" customWidth="1"/>
    <col min="511" max="511" width="37.42578125" style="612" customWidth="1"/>
    <col min="512" max="512" width="10.28515625" style="612" customWidth="1"/>
    <col min="513" max="513" width="11.28515625" style="612" customWidth="1"/>
    <col min="514" max="514" width="10" style="612" customWidth="1"/>
    <col min="515" max="515" width="13" style="612" customWidth="1"/>
    <col min="516" max="516" width="6" style="612" customWidth="1"/>
    <col min="517" max="517" width="12.7109375" style="612" customWidth="1"/>
    <col min="518" max="518" width="6" style="612" customWidth="1"/>
    <col min="519" max="519" width="31.5703125" style="612" customWidth="1"/>
    <col min="520" max="765" width="9.140625" style="612"/>
    <col min="766" max="766" width="5.28515625" style="612" customWidth="1"/>
    <col min="767" max="767" width="37.42578125" style="612" customWidth="1"/>
    <col min="768" max="768" width="10.28515625" style="612" customWidth="1"/>
    <col min="769" max="769" width="11.28515625" style="612" customWidth="1"/>
    <col min="770" max="770" width="10" style="612" customWidth="1"/>
    <col min="771" max="771" width="13" style="612" customWidth="1"/>
    <col min="772" max="772" width="6" style="612" customWidth="1"/>
    <col min="773" max="773" width="12.7109375" style="612" customWidth="1"/>
    <col min="774" max="774" width="6" style="612" customWidth="1"/>
    <col min="775" max="775" width="31.5703125" style="612" customWidth="1"/>
    <col min="776" max="1021" width="9.140625" style="612"/>
    <col min="1022" max="1022" width="5.28515625" style="612" customWidth="1"/>
    <col min="1023" max="1023" width="37.42578125" style="612" customWidth="1"/>
    <col min="1024" max="1024" width="10.28515625" style="612" customWidth="1"/>
    <col min="1025" max="1025" width="11.28515625" style="612" customWidth="1"/>
    <col min="1026" max="1026" width="10" style="612" customWidth="1"/>
    <col min="1027" max="1027" width="13" style="612" customWidth="1"/>
    <col min="1028" max="1028" width="6" style="612" customWidth="1"/>
    <col min="1029" max="1029" width="12.7109375" style="612" customWidth="1"/>
    <col min="1030" max="1030" width="6" style="612" customWidth="1"/>
    <col min="1031" max="1031" width="31.5703125" style="612" customWidth="1"/>
    <col min="1032" max="1277" width="9.140625" style="612"/>
    <col min="1278" max="1278" width="5.28515625" style="612" customWidth="1"/>
    <col min="1279" max="1279" width="37.42578125" style="612" customWidth="1"/>
    <col min="1280" max="1280" width="10.28515625" style="612" customWidth="1"/>
    <col min="1281" max="1281" width="11.28515625" style="612" customWidth="1"/>
    <col min="1282" max="1282" width="10" style="612" customWidth="1"/>
    <col min="1283" max="1283" width="13" style="612" customWidth="1"/>
    <col min="1284" max="1284" width="6" style="612" customWidth="1"/>
    <col min="1285" max="1285" width="12.7109375" style="612" customWidth="1"/>
    <col min="1286" max="1286" width="6" style="612" customWidth="1"/>
    <col min="1287" max="1287" width="31.5703125" style="612" customWidth="1"/>
    <col min="1288" max="1533" width="9.140625" style="612"/>
    <col min="1534" max="1534" width="5.28515625" style="612" customWidth="1"/>
    <col min="1535" max="1535" width="37.42578125" style="612" customWidth="1"/>
    <col min="1536" max="1536" width="10.28515625" style="612" customWidth="1"/>
    <col min="1537" max="1537" width="11.28515625" style="612" customWidth="1"/>
    <col min="1538" max="1538" width="10" style="612" customWidth="1"/>
    <col min="1539" max="1539" width="13" style="612" customWidth="1"/>
    <col min="1540" max="1540" width="6" style="612" customWidth="1"/>
    <col min="1541" max="1541" width="12.7109375" style="612" customWidth="1"/>
    <col min="1542" max="1542" width="6" style="612" customWidth="1"/>
    <col min="1543" max="1543" width="31.5703125" style="612" customWidth="1"/>
    <col min="1544" max="1789" width="9.140625" style="612"/>
    <col min="1790" max="1790" width="5.28515625" style="612" customWidth="1"/>
    <col min="1791" max="1791" width="37.42578125" style="612" customWidth="1"/>
    <col min="1792" max="1792" width="10.28515625" style="612" customWidth="1"/>
    <col min="1793" max="1793" width="11.28515625" style="612" customWidth="1"/>
    <col min="1794" max="1794" width="10" style="612" customWidth="1"/>
    <col min="1795" max="1795" width="13" style="612" customWidth="1"/>
    <col min="1796" max="1796" width="6" style="612" customWidth="1"/>
    <col min="1797" max="1797" width="12.7109375" style="612" customWidth="1"/>
    <col min="1798" max="1798" width="6" style="612" customWidth="1"/>
    <col min="1799" max="1799" width="31.5703125" style="612" customWidth="1"/>
    <col min="1800" max="2045" width="9.140625" style="612"/>
    <col min="2046" max="2046" width="5.28515625" style="612" customWidth="1"/>
    <col min="2047" max="2047" width="37.42578125" style="612" customWidth="1"/>
    <col min="2048" max="2048" width="10.28515625" style="612" customWidth="1"/>
    <col min="2049" max="2049" width="11.28515625" style="612" customWidth="1"/>
    <col min="2050" max="2050" width="10" style="612" customWidth="1"/>
    <col min="2051" max="2051" width="13" style="612" customWidth="1"/>
    <col min="2052" max="2052" width="6" style="612" customWidth="1"/>
    <col min="2053" max="2053" width="12.7109375" style="612" customWidth="1"/>
    <col min="2054" max="2054" width="6" style="612" customWidth="1"/>
    <col min="2055" max="2055" width="31.5703125" style="612" customWidth="1"/>
    <col min="2056" max="2301" width="9.140625" style="612"/>
    <col min="2302" max="2302" width="5.28515625" style="612" customWidth="1"/>
    <col min="2303" max="2303" width="37.42578125" style="612" customWidth="1"/>
    <col min="2304" max="2304" width="10.28515625" style="612" customWidth="1"/>
    <col min="2305" max="2305" width="11.28515625" style="612" customWidth="1"/>
    <col min="2306" max="2306" width="10" style="612" customWidth="1"/>
    <col min="2307" max="2307" width="13" style="612" customWidth="1"/>
    <col min="2308" max="2308" width="6" style="612" customWidth="1"/>
    <col min="2309" max="2309" width="12.7109375" style="612" customWidth="1"/>
    <col min="2310" max="2310" width="6" style="612" customWidth="1"/>
    <col min="2311" max="2311" width="31.5703125" style="612" customWidth="1"/>
    <col min="2312" max="2557" width="9.140625" style="612"/>
    <col min="2558" max="2558" width="5.28515625" style="612" customWidth="1"/>
    <col min="2559" max="2559" width="37.42578125" style="612" customWidth="1"/>
    <col min="2560" max="2560" width="10.28515625" style="612" customWidth="1"/>
    <col min="2561" max="2561" width="11.28515625" style="612" customWidth="1"/>
    <col min="2562" max="2562" width="10" style="612" customWidth="1"/>
    <col min="2563" max="2563" width="13" style="612" customWidth="1"/>
    <col min="2564" max="2564" width="6" style="612" customWidth="1"/>
    <col min="2565" max="2565" width="12.7109375" style="612" customWidth="1"/>
    <col min="2566" max="2566" width="6" style="612" customWidth="1"/>
    <col min="2567" max="2567" width="31.5703125" style="612" customWidth="1"/>
    <col min="2568" max="2813" width="9.140625" style="612"/>
    <col min="2814" max="2814" width="5.28515625" style="612" customWidth="1"/>
    <col min="2815" max="2815" width="37.42578125" style="612" customWidth="1"/>
    <col min="2816" max="2816" width="10.28515625" style="612" customWidth="1"/>
    <col min="2817" max="2817" width="11.28515625" style="612" customWidth="1"/>
    <col min="2818" max="2818" width="10" style="612" customWidth="1"/>
    <col min="2819" max="2819" width="13" style="612" customWidth="1"/>
    <col min="2820" max="2820" width="6" style="612" customWidth="1"/>
    <col min="2821" max="2821" width="12.7109375" style="612" customWidth="1"/>
    <col min="2822" max="2822" width="6" style="612" customWidth="1"/>
    <col min="2823" max="2823" width="31.5703125" style="612" customWidth="1"/>
    <col min="2824" max="3069" width="9.140625" style="612"/>
    <col min="3070" max="3070" width="5.28515625" style="612" customWidth="1"/>
    <col min="3071" max="3071" width="37.42578125" style="612" customWidth="1"/>
    <col min="3072" max="3072" width="10.28515625" style="612" customWidth="1"/>
    <col min="3073" max="3073" width="11.28515625" style="612" customWidth="1"/>
    <col min="3074" max="3074" width="10" style="612" customWidth="1"/>
    <col min="3075" max="3075" width="13" style="612" customWidth="1"/>
    <col min="3076" max="3076" width="6" style="612" customWidth="1"/>
    <col min="3077" max="3077" width="12.7109375" style="612" customWidth="1"/>
    <col min="3078" max="3078" width="6" style="612" customWidth="1"/>
    <col min="3079" max="3079" width="31.5703125" style="612" customWidth="1"/>
    <col min="3080" max="3325" width="9.140625" style="612"/>
    <col min="3326" max="3326" width="5.28515625" style="612" customWidth="1"/>
    <col min="3327" max="3327" width="37.42578125" style="612" customWidth="1"/>
    <col min="3328" max="3328" width="10.28515625" style="612" customWidth="1"/>
    <col min="3329" max="3329" width="11.28515625" style="612" customWidth="1"/>
    <col min="3330" max="3330" width="10" style="612" customWidth="1"/>
    <col min="3331" max="3331" width="13" style="612" customWidth="1"/>
    <col min="3332" max="3332" width="6" style="612" customWidth="1"/>
    <col min="3333" max="3333" width="12.7109375" style="612" customWidth="1"/>
    <col min="3334" max="3334" width="6" style="612" customWidth="1"/>
    <col min="3335" max="3335" width="31.5703125" style="612" customWidth="1"/>
    <col min="3336" max="3581" width="9.140625" style="612"/>
    <col min="3582" max="3582" width="5.28515625" style="612" customWidth="1"/>
    <col min="3583" max="3583" width="37.42578125" style="612" customWidth="1"/>
    <col min="3584" max="3584" width="10.28515625" style="612" customWidth="1"/>
    <col min="3585" max="3585" width="11.28515625" style="612" customWidth="1"/>
    <col min="3586" max="3586" width="10" style="612" customWidth="1"/>
    <col min="3587" max="3587" width="13" style="612" customWidth="1"/>
    <col min="3588" max="3588" width="6" style="612" customWidth="1"/>
    <col min="3589" max="3589" width="12.7109375" style="612" customWidth="1"/>
    <col min="3590" max="3590" width="6" style="612" customWidth="1"/>
    <col min="3591" max="3591" width="31.5703125" style="612" customWidth="1"/>
    <col min="3592" max="3837" width="9.140625" style="612"/>
    <col min="3838" max="3838" width="5.28515625" style="612" customWidth="1"/>
    <col min="3839" max="3839" width="37.42578125" style="612" customWidth="1"/>
    <col min="3840" max="3840" width="10.28515625" style="612" customWidth="1"/>
    <col min="3841" max="3841" width="11.28515625" style="612" customWidth="1"/>
    <col min="3842" max="3842" width="10" style="612" customWidth="1"/>
    <col min="3843" max="3843" width="13" style="612" customWidth="1"/>
    <col min="3844" max="3844" width="6" style="612" customWidth="1"/>
    <col min="3845" max="3845" width="12.7109375" style="612" customWidth="1"/>
    <col min="3846" max="3846" width="6" style="612" customWidth="1"/>
    <col min="3847" max="3847" width="31.5703125" style="612" customWidth="1"/>
    <col min="3848" max="4093" width="9.140625" style="612"/>
    <col min="4094" max="4094" width="5.28515625" style="612" customWidth="1"/>
    <col min="4095" max="4095" width="37.42578125" style="612" customWidth="1"/>
    <col min="4096" max="4096" width="10.28515625" style="612" customWidth="1"/>
    <col min="4097" max="4097" width="11.28515625" style="612" customWidth="1"/>
    <col min="4098" max="4098" width="10" style="612" customWidth="1"/>
    <col min="4099" max="4099" width="13" style="612" customWidth="1"/>
    <col min="4100" max="4100" width="6" style="612" customWidth="1"/>
    <col min="4101" max="4101" width="12.7109375" style="612" customWidth="1"/>
    <col min="4102" max="4102" width="6" style="612" customWidth="1"/>
    <col min="4103" max="4103" width="31.5703125" style="612" customWidth="1"/>
    <col min="4104" max="4349" width="9.140625" style="612"/>
    <col min="4350" max="4350" width="5.28515625" style="612" customWidth="1"/>
    <col min="4351" max="4351" width="37.42578125" style="612" customWidth="1"/>
    <col min="4352" max="4352" width="10.28515625" style="612" customWidth="1"/>
    <col min="4353" max="4353" width="11.28515625" style="612" customWidth="1"/>
    <col min="4354" max="4354" width="10" style="612" customWidth="1"/>
    <col min="4355" max="4355" width="13" style="612" customWidth="1"/>
    <col min="4356" max="4356" width="6" style="612" customWidth="1"/>
    <col min="4357" max="4357" width="12.7109375" style="612" customWidth="1"/>
    <col min="4358" max="4358" width="6" style="612" customWidth="1"/>
    <col min="4359" max="4359" width="31.5703125" style="612" customWidth="1"/>
    <col min="4360" max="4605" width="9.140625" style="612"/>
    <col min="4606" max="4606" width="5.28515625" style="612" customWidth="1"/>
    <col min="4607" max="4607" width="37.42578125" style="612" customWidth="1"/>
    <col min="4608" max="4608" width="10.28515625" style="612" customWidth="1"/>
    <col min="4609" max="4609" width="11.28515625" style="612" customWidth="1"/>
    <col min="4610" max="4610" width="10" style="612" customWidth="1"/>
    <col min="4611" max="4611" width="13" style="612" customWidth="1"/>
    <col min="4612" max="4612" width="6" style="612" customWidth="1"/>
    <col min="4613" max="4613" width="12.7109375" style="612" customWidth="1"/>
    <col min="4614" max="4614" width="6" style="612" customWidth="1"/>
    <col min="4615" max="4615" width="31.5703125" style="612" customWidth="1"/>
    <col min="4616" max="4861" width="9.140625" style="612"/>
    <col min="4862" max="4862" width="5.28515625" style="612" customWidth="1"/>
    <col min="4863" max="4863" width="37.42578125" style="612" customWidth="1"/>
    <col min="4864" max="4864" width="10.28515625" style="612" customWidth="1"/>
    <col min="4865" max="4865" width="11.28515625" style="612" customWidth="1"/>
    <col min="4866" max="4866" width="10" style="612" customWidth="1"/>
    <col min="4867" max="4867" width="13" style="612" customWidth="1"/>
    <col min="4868" max="4868" width="6" style="612" customWidth="1"/>
    <col min="4869" max="4869" width="12.7109375" style="612" customWidth="1"/>
    <col min="4870" max="4870" width="6" style="612" customWidth="1"/>
    <col min="4871" max="4871" width="31.5703125" style="612" customWidth="1"/>
    <col min="4872" max="5117" width="9.140625" style="612"/>
    <col min="5118" max="5118" width="5.28515625" style="612" customWidth="1"/>
    <col min="5119" max="5119" width="37.42578125" style="612" customWidth="1"/>
    <col min="5120" max="5120" width="10.28515625" style="612" customWidth="1"/>
    <col min="5121" max="5121" width="11.28515625" style="612" customWidth="1"/>
    <col min="5122" max="5122" width="10" style="612" customWidth="1"/>
    <col min="5123" max="5123" width="13" style="612" customWidth="1"/>
    <col min="5124" max="5124" width="6" style="612" customWidth="1"/>
    <col min="5125" max="5125" width="12.7109375" style="612" customWidth="1"/>
    <col min="5126" max="5126" width="6" style="612" customWidth="1"/>
    <col min="5127" max="5127" width="31.5703125" style="612" customWidth="1"/>
    <col min="5128" max="5373" width="9.140625" style="612"/>
    <col min="5374" max="5374" width="5.28515625" style="612" customWidth="1"/>
    <col min="5375" max="5375" width="37.42578125" style="612" customWidth="1"/>
    <col min="5376" max="5376" width="10.28515625" style="612" customWidth="1"/>
    <col min="5377" max="5377" width="11.28515625" style="612" customWidth="1"/>
    <col min="5378" max="5378" width="10" style="612" customWidth="1"/>
    <col min="5379" max="5379" width="13" style="612" customWidth="1"/>
    <col min="5380" max="5380" width="6" style="612" customWidth="1"/>
    <col min="5381" max="5381" width="12.7109375" style="612" customWidth="1"/>
    <col min="5382" max="5382" width="6" style="612" customWidth="1"/>
    <col min="5383" max="5383" width="31.5703125" style="612" customWidth="1"/>
    <col min="5384" max="5629" width="9.140625" style="612"/>
    <col min="5630" max="5630" width="5.28515625" style="612" customWidth="1"/>
    <col min="5631" max="5631" width="37.42578125" style="612" customWidth="1"/>
    <col min="5632" max="5632" width="10.28515625" style="612" customWidth="1"/>
    <col min="5633" max="5633" width="11.28515625" style="612" customWidth="1"/>
    <col min="5634" max="5634" width="10" style="612" customWidth="1"/>
    <col min="5635" max="5635" width="13" style="612" customWidth="1"/>
    <col min="5636" max="5636" width="6" style="612" customWidth="1"/>
    <col min="5637" max="5637" width="12.7109375" style="612" customWidth="1"/>
    <col min="5638" max="5638" width="6" style="612" customWidth="1"/>
    <col min="5639" max="5639" width="31.5703125" style="612" customWidth="1"/>
    <col min="5640" max="5885" width="9.140625" style="612"/>
    <col min="5886" max="5886" width="5.28515625" style="612" customWidth="1"/>
    <col min="5887" max="5887" width="37.42578125" style="612" customWidth="1"/>
    <col min="5888" max="5888" width="10.28515625" style="612" customWidth="1"/>
    <col min="5889" max="5889" width="11.28515625" style="612" customWidth="1"/>
    <col min="5890" max="5890" width="10" style="612" customWidth="1"/>
    <col min="5891" max="5891" width="13" style="612" customWidth="1"/>
    <col min="5892" max="5892" width="6" style="612" customWidth="1"/>
    <col min="5893" max="5893" width="12.7109375" style="612" customWidth="1"/>
    <col min="5894" max="5894" width="6" style="612" customWidth="1"/>
    <col min="5895" max="5895" width="31.5703125" style="612" customWidth="1"/>
    <col min="5896" max="6141" width="9.140625" style="612"/>
    <col min="6142" max="6142" width="5.28515625" style="612" customWidth="1"/>
    <col min="6143" max="6143" width="37.42578125" style="612" customWidth="1"/>
    <col min="6144" max="6144" width="10.28515625" style="612" customWidth="1"/>
    <col min="6145" max="6145" width="11.28515625" style="612" customWidth="1"/>
    <col min="6146" max="6146" width="10" style="612" customWidth="1"/>
    <col min="6147" max="6147" width="13" style="612" customWidth="1"/>
    <col min="6148" max="6148" width="6" style="612" customWidth="1"/>
    <col min="6149" max="6149" width="12.7109375" style="612" customWidth="1"/>
    <col min="6150" max="6150" width="6" style="612" customWidth="1"/>
    <col min="6151" max="6151" width="31.5703125" style="612" customWidth="1"/>
    <col min="6152" max="6397" width="9.140625" style="612"/>
    <col min="6398" max="6398" width="5.28515625" style="612" customWidth="1"/>
    <col min="6399" max="6399" width="37.42578125" style="612" customWidth="1"/>
    <col min="6400" max="6400" width="10.28515625" style="612" customWidth="1"/>
    <col min="6401" max="6401" width="11.28515625" style="612" customWidth="1"/>
    <col min="6402" max="6402" width="10" style="612" customWidth="1"/>
    <col min="6403" max="6403" width="13" style="612" customWidth="1"/>
    <col min="6404" max="6404" width="6" style="612" customWidth="1"/>
    <col min="6405" max="6405" width="12.7109375" style="612" customWidth="1"/>
    <col min="6406" max="6406" width="6" style="612" customWidth="1"/>
    <col min="6407" max="6407" width="31.5703125" style="612" customWidth="1"/>
    <col min="6408" max="6653" width="9.140625" style="612"/>
    <col min="6654" max="6654" width="5.28515625" style="612" customWidth="1"/>
    <col min="6655" max="6655" width="37.42578125" style="612" customWidth="1"/>
    <col min="6656" max="6656" width="10.28515625" style="612" customWidth="1"/>
    <col min="6657" max="6657" width="11.28515625" style="612" customWidth="1"/>
    <col min="6658" max="6658" width="10" style="612" customWidth="1"/>
    <col min="6659" max="6659" width="13" style="612" customWidth="1"/>
    <col min="6660" max="6660" width="6" style="612" customWidth="1"/>
    <col min="6661" max="6661" width="12.7109375" style="612" customWidth="1"/>
    <col min="6662" max="6662" width="6" style="612" customWidth="1"/>
    <col min="6663" max="6663" width="31.5703125" style="612" customWidth="1"/>
    <col min="6664" max="6909" width="9.140625" style="612"/>
    <col min="6910" max="6910" width="5.28515625" style="612" customWidth="1"/>
    <col min="6911" max="6911" width="37.42578125" style="612" customWidth="1"/>
    <col min="6912" max="6912" width="10.28515625" style="612" customWidth="1"/>
    <col min="6913" max="6913" width="11.28515625" style="612" customWidth="1"/>
    <col min="6914" max="6914" width="10" style="612" customWidth="1"/>
    <col min="6915" max="6915" width="13" style="612" customWidth="1"/>
    <col min="6916" max="6916" width="6" style="612" customWidth="1"/>
    <col min="6917" max="6917" width="12.7109375" style="612" customWidth="1"/>
    <col min="6918" max="6918" width="6" style="612" customWidth="1"/>
    <col min="6919" max="6919" width="31.5703125" style="612" customWidth="1"/>
    <col min="6920" max="7165" width="9.140625" style="612"/>
    <col min="7166" max="7166" width="5.28515625" style="612" customWidth="1"/>
    <col min="7167" max="7167" width="37.42578125" style="612" customWidth="1"/>
    <col min="7168" max="7168" width="10.28515625" style="612" customWidth="1"/>
    <col min="7169" max="7169" width="11.28515625" style="612" customWidth="1"/>
    <col min="7170" max="7170" width="10" style="612" customWidth="1"/>
    <col min="7171" max="7171" width="13" style="612" customWidth="1"/>
    <col min="7172" max="7172" width="6" style="612" customWidth="1"/>
    <col min="7173" max="7173" width="12.7109375" style="612" customWidth="1"/>
    <col min="7174" max="7174" width="6" style="612" customWidth="1"/>
    <col min="7175" max="7175" width="31.5703125" style="612" customWidth="1"/>
    <col min="7176" max="7421" width="9.140625" style="612"/>
    <col min="7422" max="7422" width="5.28515625" style="612" customWidth="1"/>
    <col min="7423" max="7423" width="37.42578125" style="612" customWidth="1"/>
    <col min="7424" max="7424" width="10.28515625" style="612" customWidth="1"/>
    <col min="7425" max="7425" width="11.28515625" style="612" customWidth="1"/>
    <col min="7426" max="7426" width="10" style="612" customWidth="1"/>
    <col min="7427" max="7427" width="13" style="612" customWidth="1"/>
    <col min="7428" max="7428" width="6" style="612" customWidth="1"/>
    <col min="7429" max="7429" width="12.7109375" style="612" customWidth="1"/>
    <col min="7430" max="7430" width="6" style="612" customWidth="1"/>
    <col min="7431" max="7431" width="31.5703125" style="612" customWidth="1"/>
    <col min="7432" max="7677" width="9.140625" style="612"/>
    <col min="7678" max="7678" width="5.28515625" style="612" customWidth="1"/>
    <col min="7679" max="7679" width="37.42578125" style="612" customWidth="1"/>
    <col min="7680" max="7680" width="10.28515625" style="612" customWidth="1"/>
    <col min="7681" max="7681" width="11.28515625" style="612" customWidth="1"/>
    <col min="7682" max="7682" width="10" style="612" customWidth="1"/>
    <col min="7683" max="7683" width="13" style="612" customWidth="1"/>
    <col min="7684" max="7684" width="6" style="612" customWidth="1"/>
    <col min="7685" max="7685" width="12.7109375" style="612" customWidth="1"/>
    <col min="7686" max="7686" width="6" style="612" customWidth="1"/>
    <col min="7687" max="7687" width="31.5703125" style="612" customWidth="1"/>
    <col min="7688" max="7933" width="9.140625" style="612"/>
    <col min="7934" max="7934" width="5.28515625" style="612" customWidth="1"/>
    <col min="7935" max="7935" width="37.42578125" style="612" customWidth="1"/>
    <col min="7936" max="7936" width="10.28515625" style="612" customWidth="1"/>
    <col min="7937" max="7937" width="11.28515625" style="612" customWidth="1"/>
    <col min="7938" max="7938" width="10" style="612" customWidth="1"/>
    <col min="7939" max="7939" width="13" style="612" customWidth="1"/>
    <col min="7940" max="7940" width="6" style="612" customWidth="1"/>
    <col min="7941" max="7941" width="12.7109375" style="612" customWidth="1"/>
    <col min="7942" max="7942" width="6" style="612" customWidth="1"/>
    <col min="7943" max="7943" width="31.5703125" style="612" customWidth="1"/>
    <col min="7944" max="8189" width="9.140625" style="612"/>
    <col min="8190" max="8190" width="5.28515625" style="612" customWidth="1"/>
    <col min="8191" max="8191" width="37.42578125" style="612" customWidth="1"/>
    <col min="8192" max="8192" width="10.28515625" style="612" customWidth="1"/>
    <col min="8193" max="8193" width="11.28515625" style="612" customWidth="1"/>
    <col min="8194" max="8194" width="10" style="612" customWidth="1"/>
    <col min="8195" max="8195" width="13" style="612" customWidth="1"/>
    <col min="8196" max="8196" width="6" style="612" customWidth="1"/>
    <col min="8197" max="8197" width="12.7109375" style="612" customWidth="1"/>
    <col min="8198" max="8198" width="6" style="612" customWidth="1"/>
    <col min="8199" max="8199" width="31.5703125" style="612" customWidth="1"/>
    <col min="8200" max="8445" width="9.140625" style="612"/>
    <col min="8446" max="8446" width="5.28515625" style="612" customWidth="1"/>
    <col min="8447" max="8447" width="37.42578125" style="612" customWidth="1"/>
    <col min="8448" max="8448" width="10.28515625" style="612" customWidth="1"/>
    <col min="8449" max="8449" width="11.28515625" style="612" customWidth="1"/>
    <col min="8450" max="8450" width="10" style="612" customWidth="1"/>
    <col min="8451" max="8451" width="13" style="612" customWidth="1"/>
    <col min="8452" max="8452" width="6" style="612" customWidth="1"/>
    <col min="8453" max="8453" width="12.7109375" style="612" customWidth="1"/>
    <col min="8454" max="8454" width="6" style="612" customWidth="1"/>
    <col min="8455" max="8455" width="31.5703125" style="612" customWidth="1"/>
    <col min="8456" max="8701" width="9.140625" style="612"/>
    <col min="8702" max="8702" width="5.28515625" style="612" customWidth="1"/>
    <col min="8703" max="8703" width="37.42578125" style="612" customWidth="1"/>
    <col min="8704" max="8704" width="10.28515625" style="612" customWidth="1"/>
    <col min="8705" max="8705" width="11.28515625" style="612" customWidth="1"/>
    <col min="8706" max="8706" width="10" style="612" customWidth="1"/>
    <col min="8707" max="8707" width="13" style="612" customWidth="1"/>
    <col min="8708" max="8708" width="6" style="612" customWidth="1"/>
    <col min="8709" max="8709" width="12.7109375" style="612" customWidth="1"/>
    <col min="8710" max="8710" width="6" style="612" customWidth="1"/>
    <col min="8711" max="8711" width="31.5703125" style="612" customWidth="1"/>
    <col min="8712" max="8957" width="9.140625" style="612"/>
    <col min="8958" max="8958" width="5.28515625" style="612" customWidth="1"/>
    <col min="8959" max="8959" width="37.42578125" style="612" customWidth="1"/>
    <col min="8960" max="8960" width="10.28515625" style="612" customWidth="1"/>
    <col min="8961" max="8961" width="11.28515625" style="612" customWidth="1"/>
    <col min="8962" max="8962" width="10" style="612" customWidth="1"/>
    <col min="8963" max="8963" width="13" style="612" customWidth="1"/>
    <col min="8964" max="8964" width="6" style="612" customWidth="1"/>
    <col min="8965" max="8965" width="12.7109375" style="612" customWidth="1"/>
    <col min="8966" max="8966" width="6" style="612" customWidth="1"/>
    <col min="8967" max="8967" width="31.5703125" style="612" customWidth="1"/>
    <col min="8968" max="9213" width="9.140625" style="612"/>
    <col min="9214" max="9214" width="5.28515625" style="612" customWidth="1"/>
    <col min="9215" max="9215" width="37.42578125" style="612" customWidth="1"/>
    <col min="9216" max="9216" width="10.28515625" style="612" customWidth="1"/>
    <col min="9217" max="9217" width="11.28515625" style="612" customWidth="1"/>
    <col min="9218" max="9218" width="10" style="612" customWidth="1"/>
    <col min="9219" max="9219" width="13" style="612" customWidth="1"/>
    <col min="9220" max="9220" width="6" style="612" customWidth="1"/>
    <col min="9221" max="9221" width="12.7109375" style="612" customWidth="1"/>
    <col min="9222" max="9222" width="6" style="612" customWidth="1"/>
    <col min="9223" max="9223" width="31.5703125" style="612" customWidth="1"/>
    <col min="9224" max="9469" width="9.140625" style="612"/>
    <col min="9470" max="9470" width="5.28515625" style="612" customWidth="1"/>
    <col min="9471" max="9471" width="37.42578125" style="612" customWidth="1"/>
    <col min="9472" max="9472" width="10.28515625" style="612" customWidth="1"/>
    <col min="9473" max="9473" width="11.28515625" style="612" customWidth="1"/>
    <col min="9474" max="9474" width="10" style="612" customWidth="1"/>
    <col min="9475" max="9475" width="13" style="612" customWidth="1"/>
    <col min="9476" max="9476" width="6" style="612" customWidth="1"/>
    <col min="9477" max="9477" width="12.7109375" style="612" customWidth="1"/>
    <col min="9478" max="9478" width="6" style="612" customWidth="1"/>
    <col min="9479" max="9479" width="31.5703125" style="612" customWidth="1"/>
    <col min="9480" max="9725" width="9.140625" style="612"/>
    <col min="9726" max="9726" width="5.28515625" style="612" customWidth="1"/>
    <col min="9727" max="9727" width="37.42578125" style="612" customWidth="1"/>
    <col min="9728" max="9728" width="10.28515625" style="612" customWidth="1"/>
    <col min="9729" max="9729" width="11.28515625" style="612" customWidth="1"/>
    <col min="9730" max="9730" width="10" style="612" customWidth="1"/>
    <col min="9731" max="9731" width="13" style="612" customWidth="1"/>
    <col min="9732" max="9732" width="6" style="612" customWidth="1"/>
    <col min="9733" max="9733" width="12.7109375" style="612" customWidth="1"/>
    <col min="9734" max="9734" width="6" style="612" customWidth="1"/>
    <col min="9735" max="9735" width="31.5703125" style="612" customWidth="1"/>
    <col min="9736" max="9981" width="9.140625" style="612"/>
    <col min="9982" max="9982" width="5.28515625" style="612" customWidth="1"/>
    <col min="9983" max="9983" width="37.42578125" style="612" customWidth="1"/>
    <col min="9984" max="9984" width="10.28515625" style="612" customWidth="1"/>
    <col min="9985" max="9985" width="11.28515625" style="612" customWidth="1"/>
    <col min="9986" max="9986" width="10" style="612" customWidth="1"/>
    <col min="9987" max="9987" width="13" style="612" customWidth="1"/>
    <col min="9988" max="9988" width="6" style="612" customWidth="1"/>
    <col min="9989" max="9989" width="12.7109375" style="612" customWidth="1"/>
    <col min="9990" max="9990" width="6" style="612" customWidth="1"/>
    <col min="9991" max="9991" width="31.5703125" style="612" customWidth="1"/>
    <col min="9992" max="10237" width="9.140625" style="612"/>
    <col min="10238" max="10238" width="5.28515625" style="612" customWidth="1"/>
    <col min="10239" max="10239" width="37.42578125" style="612" customWidth="1"/>
    <col min="10240" max="10240" width="10.28515625" style="612" customWidth="1"/>
    <col min="10241" max="10241" width="11.28515625" style="612" customWidth="1"/>
    <col min="10242" max="10242" width="10" style="612" customWidth="1"/>
    <col min="10243" max="10243" width="13" style="612" customWidth="1"/>
    <col min="10244" max="10244" width="6" style="612" customWidth="1"/>
    <col min="10245" max="10245" width="12.7109375" style="612" customWidth="1"/>
    <col min="10246" max="10246" width="6" style="612" customWidth="1"/>
    <col min="10247" max="10247" width="31.5703125" style="612" customWidth="1"/>
    <col min="10248" max="10493" width="9.140625" style="612"/>
    <col min="10494" max="10494" width="5.28515625" style="612" customWidth="1"/>
    <col min="10495" max="10495" width="37.42578125" style="612" customWidth="1"/>
    <col min="10496" max="10496" width="10.28515625" style="612" customWidth="1"/>
    <col min="10497" max="10497" width="11.28515625" style="612" customWidth="1"/>
    <col min="10498" max="10498" width="10" style="612" customWidth="1"/>
    <col min="10499" max="10499" width="13" style="612" customWidth="1"/>
    <col min="10500" max="10500" width="6" style="612" customWidth="1"/>
    <col min="10501" max="10501" width="12.7109375" style="612" customWidth="1"/>
    <col min="10502" max="10502" width="6" style="612" customWidth="1"/>
    <col min="10503" max="10503" width="31.5703125" style="612" customWidth="1"/>
    <col min="10504" max="10749" width="9.140625" style="612"/>
    <col min="10750" max="10750" width="5.28515625" style="612" customWidth="1"/>
    <col min="10751" max="10751" width="37.42578125" style="612" customWidth="1"/>
    <col min="10752" max="10752" width="10.28515625" style="612" customWidth="1"/>
    <col min="10753" max="10753" width="11.28515625" style="612" customWidth="1"/>
    <col min="10754" max="10754" width="10" style="612" customWidth="1"/>
    <col min="10755" max="10755" width="13" style="612" customWidth="1"/>
    <col min="10756" max="10756" width="6" style="612" customWidth="1"/>
    <col min="10757" max="10757" width="12.7109375" style="612" customWidth="1"/>
    <col min="10758" max="10758" width="6" style="612" customWidth="1"/>
    <col min="10759" max="10759" width="31.5703125" style="612" customWidth="1"/>
    <col min="10760" max="11005" width="9.140625" style="612"/>
    <col min="11006" max="11006" width="5.28515625" style="612" customWidth="1"/>
    <col min="11007" max="11007" width="37.42578125" style="612" customWidth="1"/>
    <col min="11008" max="11008" width="10.28515625" style="612" customWidth="1"/>
    <col min="11009" max="11009" width="11.28515625" style="612" customWidth="1"/>
    <col min="11010" max="11010" width="10" style="612" customWidth="1"/>
    <col min="11011" max="11011" width="13" style="612" customWidth="1"/>
    <col min="11012" max="11012" width="6" style="612" customWidth="1"/>
    <col min="11013" max="11013" width="12.7109375" style="612" customWidth="1"/>
    <col min="11014" max="11014" width="6" style="612" customWidth="1"/>
    <col min="11015" max="11015" width="31.5703125" style="612" customWidth="1"/>
    <col min="11016" max="11261" width="9.140625" style="612"/>
    <col min="11262" max="11262" width="5.28515625" style="612" customWidth="1"/>
    <col min="11263" max="11263" width="37.42578125" style="612" customWidth="1"/>
    <col min="11264" max="11264" width="10.28515625" style="612" customWidth="1"/>
    <col min="11265" max="11265" width="11.28515625" style="612" customWidth="1"/>
    <col min="11266" max="11266" width="10" style="612" customWidth="1"/>
    <col min="11267" max="11267" width="13" style="612" customWidth="1"/>
    <col min="11268" max="11268" width="6" style="612" customWidth="1"/>
    <col min="11269" max="11269" width="12.7109375" style="612" customWidth="1"/>
    <col min="11270" max="11270" width="6" style="612" customWidth="1"/>
    <col min="11271" max="11271" width="31.5703125" style="612" customWidth="1"/>
    <col min="11272" max="11517" width="9.140625" style="612"/>
    <col min="11518" max="11518" width="5.28515625" style="612" customWidth="1"/>
    <col min="11519" max="11519" width="37.42578125" style="612" customWidth="1"/>
    <col min="11520" max="11520" width="10.28515625" style="612" customWidth="1"/>
    <col min="11521" max="11521" width="11.28515625" style="612" customWidth="1"/>
    <col min="11522" max="11522" width="10" style="612" customWidth="1"/>
    <col min="11523" max="11523" width="13" style="612" customWidth="1"/>
    <col min="11524" max="11524" width="6" style="612" customWidth="1"/>
    <col min="11525" max="11525" width="12.7109375" style="612" customWidth="1"/>
    <col min="11526" max="11526" width="6" style="612" customWidth="1"/>
    <col min="11527" max="11527" width="31.5703125" style="612" customWidth="1"/>
    <col min="11528" max="11773" width="9.140625" style="612"/>
    <col min="11774" max="11774" width="5.28515625" style="612" customWidth="1"/>
    <col min="11775" max="11775" width="37.42578125" style="612" customWidth="1"/>
    <col min="11776" max="11776" width="10.28515625" style="612" customWidth="1"/>
    <col min="11777" max="11777" width="11.28515625" style="612" customWidth="1"/>
    <col min="11778" max="11778" width="10" style="612" customWidth="1"/>
    <col min="11779" max="11779" width="13" style="612" customWidth="1"/>
    <col min="11780" max="11780" width="6" style="612" customWidth="1"/>
    <col min="11781" max="11781" width="12.7109375" style="612" customWidth="1"/>
    <col min="11782" max="11782" width="6" style="612" customWidth="1"/>
    <col min="11783" max="11783" width="31.5703125" style="612" customWidth="1"/>
    <col min="11784" max="12029" width="9.140625" style="612"/>
    <col min="12030" max="12030" width="5.28515625" style="612" customWidth="1"/>
    <col min="12031" max="12031" width="37.42578125" style="612" customWidth="1"/>
    <col min="12032" max="12032" width="10.28515625" style="612" customWidth="1"/>
    <col min="12033" max="12033" width="11.28515625" style="612" customWidth="1"/>
    <col min="12034" max="12034" width="10" style="612" customWidth="1"/>
    <col min="12035" max="12035" width="13" style="612" customWidth="1"/>
    <col min="12036" max="12036" width="6" style="612" customWidth="1"/>
    <col min="12037" max="12037" width="12.7109375" style="612" customWidth="1"/>
    <col min="12038" max="12038" width="6" style="612" customWidth="1"/>
    <col min="12039" max="12039" width="31.5703125" style="612" customWidth="1"/>
    <col min="12040" max="12285" width="9.140625" style="612"/>
    <col min="12286" max="12286" width="5.28515625" style="612" customWidth="1"/>
    <col min="12287" max="12287" width="37.42578125" style="612" customWidth="1"/>
    <col min="12288" max="12288" width="10.28515625" style="612" customWidth="1"/>
    <col min="12289" max="12289" width="11.28515625" style="612" customWidth="1"/>
    <col min="12290" max="12290" width="10" style="612" customWidth="1"/>
    <col min="12291" max="12291" width="13" style="612" customWidth="1"/>
    <col min="12292" max="12292" width="6" style="612" customWidth="1"/>
    <col min="12293" max="12293" width="12.7109375" style="612" customWidth="1"/>
    <col min="12294" max="12294" width="6" style="612" customWidth="1"/>
    <col min="12295" max="12295" width="31.5703125" style="612" customWidth="1"/>
    <col min="12296" max="12541" width="9.140625" style="612"/>
    <col min="12542" max="12542" width="5.28515625" style="612" customWidth="1"/>
    <col min="12543" max="12543" width="37.42578125" style="612" customWidth="1"/>
    <col min="12544" max="12544" width="10.28515625" style="612" customWidth="1"/>
    <col min="12545" max="12545" width="11.28515625" style="612" customWidth="1"/>
    <col min="12546" max="12546" width="10" style="612" customWidth="1"/>
    <col min="12547" max="12547" width="13" style="612" customWidth="1"/>
    <col min="12548" max="12548" width="6" style="612" customWidth="1"/>
    <col min="12549" max="12549" width="12.7109375" style="612" customWidth="1"/>
    <col min="12550" max="12550" width="6" style="612" customWidth="1"/>
    <col min="12551" max="12551" width="31.5703125" style="612" customWidth="1"/>
    <col min="12552" max="12797" width="9.140625" style="612"/>
    <col min="12798" max="12798" width="5.28515625" style="612" customWidth="1"/>
    <col min="12799" max="12799" width="37.42578125" style="612" customWidth="1"/>
    <col min="12800" max="12800" width="10.28515625" style="612" customWidth="1"/>
    <col min="12801" max="12801" width="11.28515625" style="612" customWidth="1"/>
    <col min="12802" max="12802" width="10" style="612" customWidth="1"/>
    <col min="12803" max="12803" width="13" style="612" customWidth="1"/>
    <col min="12804" max="12804" width="6" style="612" customWidth="1"/>
    <col min="12805" max="12805" width="12.7109375" style="612" customWidth="1"/>
    <col min="12806" max="12806" width="6" style="612" customWidth="1"/>
    <col min="12807" max="12807" width="31.5703125" style="612" customWidth="1"/>
    <col min="12808" max="13053" width="9.140625" style="612"/>
    <col min="13054" max="13054" width="5.28515625" style="612" customWidth="1"/>
    <col min="13055" max="13055" width="37.42578125" style="612" customWidth="1"/>
    <col min="13056" max="13056" width="10.28515625" style="612" customWidth="1"/>
    <col min="13057" max="13057" width="11.28515625" style="612" customWidth="1"/>
    <col min="13058" max="13058" width="10" style="612" customWidth="1"/>
    <col min="13059" max="13059" width="13" style="612" customWidth="1"/>
    <col min="13060" max="13060" width="6" style="612" customWidth="1"/>
    <col min="13061" max="13061" width="12.7109375" style="612" customWidth="1"/>
    <col min="13062" max="13062" width="6" style="612" customWidth="1"/>
    <col min="13063" max="13063" width="31.5703125" style="612" customWidth="1"/>
    <col min="13064" max="13309" width="9.140625" style="612"/>
    <col min="13310" max="13310" width="5.28515625" style="612" customWidth="1"/>
    <col min="13311" max="13311" width="37.42578125" style="612" customWidth="1"/>
    <col min="13312" max="13312" width="10.28515625" style="612" customWidth="1"/>
    <col min="13313" max="13313" width="11.28515625" style="612" customWidth="1"/>
    <col min="13314" max="13314" width="10" style="612" customWidth="1"/>
    <col min="13315" max="13315" width="13" style="612" customWidth="1"/>
    <col min="13316" max="13316" width="6" style="612" customWidth="1"/>
    <col min="13317" max="13317" width="12.7109375" style="612" customWidth="1"/>
    <col min="13318" max="13318" width="6" style="612" customWidth="1"/>
    <col min="13319" max="13319" width="31.5703125" style="612" customWidth="1"/>
    <col min="13320" max="13565" width="9.140625" style="612"/>
    <col min="13566" max="13566" width="5.28515625" style="612" customWidth="1"/>
    <col min="13567" max="13567" width="37.42578125" style="612" customWidth="1"/>
    <col min="13568" max="13568" width="10.28515625" style="612" customWidth="1"/>
    <col min="13569" max="13569" width="11.28515625" style="612" customWidth="1"/>
    <col min="13570" max="13570" width="10" style="612" customWidth="1"/>
    <col min="13571" max="13571" width="13" style="612" customWidth="1"/>
    <col min="13572" max="13572" width="6" style="612" customWidth="1"/>
    <col min="13573" max="13573" width="12.7109375" style="612" customWidth="1"/>
    <col min="13574" max="13574" width="6" style="612" customWidth="1"/>
    <col min="13575" max="13575" width="31.5703125" style="612" customWidth="1"/>
    <col min="13576" max="13821" width="9.140625" style="612"/>
    <col min="13822" max="13822" width="5.28515625" style="612" customWidth="1"/>
    <col min="13823" max="13823" width="37.42578125" style="612" customWidth="1"/>
    <col min="13824" max="13824" width="10.28515625" style="612" customWidth="1"/>
    <col min="13825" max="13825" width="11.28515625" style="612" customWidth="1"/>
    <col min="13826" max="13826" width="10" style="612" customWidth="1"/>
    <col min="13827" max="13827" width="13" style="612" customWidth="1"/>
    <col min="13828" max="13828" width="6" style="612" customWidth="1"/>
    <col min="13829" max="13829" width="12.7109375" style="612" customWidth="1"/>
    <col min="13830" max="13830" width="6" style="612" customWidth="1"/>
    <col min="13831" max="13831" width="31.5703125" style="612" customWidth="1"/>
    <col min="13832" max="14077" width="9.140625" style="612"/>
    <col min="14078" max="14078" width="5.28515625" style="612" customWidth="1"/>
    <col min="14079" max="14079" width="37.42578125" style="612" customWidth="1"/>
    <col min="14080" max="14080" width="10.28515625" style="612" customWidth="1"/>
    <col min="14081" max="14081" width="11.28515625" style="612" customWidth="1"/>
    <col min="14082" max="14082" width="10" style="612" customWidth="1"/>
    <col min="14083" max="14083" width="13" style="612" customWidth="1"/>
    <col min="14084" max="14084" width="6" style="612" customWidth="1"/>
    <col min="14085" max="14085" width="12.7109375" style="612" customWidth="1"/>
    <col min="14086" max="14086" width="6" style="612" customWidth="1"/>
    <col min="14087" max="14087" width="31.5703125" style="612" customWidth="1"/>
    <col min="14088" max="14333" width="9.140625" style="612"/>
    <col min="14334" max="14334" width="5.28515625" style="612" customWidth="1"/>
    <col min="14335" max="14335" width="37.42578125" style="612" customWidth="1"/>
    <col min="14336" max="14336" width="10.28515625" style="612" customWidth="1"/>
    <col min="14337" max="14337" width="11.28515625" style="612" customWidth="1"/>
    <col min="14338" max="14338" width="10" style="612" customWidth="1"/>
    <col min="14339" max="14339" width="13" style="612" customWidth="1"/>
    <col min="14340" max="14340" width="6" style="612" customWidth="1"/>
    <col min="14341" max="14341" width="12.7109375" style="612" customWidth="1"/>
    <col min="14342" max="14342" width="6" style="612" customWidth="1"/>
    <col min="14343" max="14343" width="31.5703125" style="612" customWidth="1"/>
    <col min="14344" max="14589" width="9.140625" style="612"/>
    <col min="14590" max="14590" width="5.28515625" style="612" customWidth="1"/>
    <col min="14591" max="14591" width="37.42578125" style="612" customWidth="1"/>
    <col min="14592" max="14592" width="10.28515625" style="612" customWidth="1"/>
    <col min="14593" max="14593" width="11.28515625" style="612" customWidth="1"/>
    <col min="14594" max="14594" width="10" style="612" customWidth="1"/>
    <col min="14595" max="14595" width="13" style="612" customWidth="1"/>
    <col min="14596" max="14596" width="6" style="612" customWidth="1"/>
    <col min="14597" max="14597" width="12.7109375" style="612" customWidth="1"/>
    <col min="14598" max="14598" width="6" style="612" customWidth="1"/>
    <col min="14599" max="14599" width="31.5703125" style="612" customWidth="1"/>
    <col min="14600" max="14845" width="9.140625" style="612"/>
    <col min="14846" max="14846" width="5.28515625" style="612" customWidth="1"/>
    <col min="14847" max="14847" width="37.42578125" style="612" customWidth="1"/>
    <col min="14848" max="14848" width="10.28515625" style="612" customWidth="1"/>
    <col min="14849" max="14849" width="11.28515625" style="612" customWidth="1"/>
    <col min="14850" max="14850" width="10" style="612" customWidth="1"/>
    <col min="14851" max="14851" width="13" style="612" customWidth="1"/>
    <col min="14852" max="14852" width="6" style="612" customWidth="1"/>
    <col min="14853" max="14853" width="12.7109375" style="612" customWidth="1"/>
    <col min="14854" max="14854" width="6" style="612" customWidth="1"/>
    <col min="14855" max="14855" width="31.5703125" style="612" customWidth="1"/>
    <col min="14856" max="15101" width="9.140625" style="612"/>
    <col min="15102" max="15102" width="5.28515625" style="612" customWidth="1"/>
    <col min="15103" max="15103" width="37.42578125" style="612" customWidth="1"/>
    <col min="15104" max="15104" width="10.28515625" style="612" customWidth="1"/>
    <col min="15105" max="15105" width="11.28515625" style="612" customWidth="1"/>
    <col min="15106" max="15106" width="10" style="612" customWidth="1"/>
    <col min="15107" max="15107" width="13" style="612" customWidth="1"/>
    <col min="15108" max="15108" width="6" style="612" customWidth="1"/>
    <col min="15109" max="15109" width="12.7109375" style="612" customWidth="1"/>
    <col min="15110" max="15110" width="6" style="612" customWidth="1"/>
    <col min="15111" max="15111" width="31.5703125" style="612" customWidth="1"/>
    <col min="15112" max="15357" width="9.140625" style="612"/>
    <col min="15358" max="15358" width="5.28515625" style="612" customWidth="1"/>
    <col min="15359" max="15359" width="37.42578125" style="612" customWidth="1"/>
    <col min="15360" max="15360" width="10.28515625" style="612" customWidth="1"/>
    <col min="15361" max="15361" width="11.28515625" style="612" customWidth="1"/>
    <col min="15362" max="15362" width="10" style="612" customWidth="1"/>
    <col min="15363" max="15363" width="13" style="612" customWidth="1"/>
    <col min="15364" max="15364" width="6" style="612" customWidth="1"/>
    <col min="15365" max="15365" width="12.7109375" style="612" customWidth="1"/>
    <col min="15366" max="15366" width="6" style="612" customWidth="1"/>
    <col min="15367" max="15367" width="31.5703125" style="612" customWidth="1"/>
    <col min="15368" max="15613" width="9.140625" style="612"/>
    <col min="15614" max="15614" width="5.28515625" style="612" customWidth="1"/>
    <col min="15615" max="15615" width="37.42578125" style="612" customWidth="1"/>
    <col min="15616" max="15616" width="10.28515625" style="612" customWidth="1"/>
    <col min="15617" max="15617" width="11.28515625" style="612" customWidth="1"/>
    <col min="15618" max="15618" width="10" style="612" customWidth="1"/>
    <col min="15619" max="15619" width="13" style="612" customWidth="1"/>
    <col min="15620" max="15620" width="6" style="612" customWidth="1"/>
    <col min="15621" max="15621" width="12.7109375" style="612" customWidth="1"/>
    <col min="15622" max="15622" width="6" style="612" customWidth="1"/>
    <col min="15623" max="15623" width="31.5703125" style="612" customWidth="1"/>
    <col min="15624" max="15869" width="9.140625" style="612"/>
    <col min="15870" max="15870" width="5.28515625" style="612" customWidth="1"/>
    <col min="15871" max="15871" width="37.42578125" style="612" customWidth="1"/>
    <col min="15872" max="15872" width="10.28515625" style="612" customWidth="1"/>
    <col min="15873" max="15873" width="11.28515625" style="612" customWidth="1"/>
    <col min="15874" max="15874" width="10" style="612" customWidth="1"/>
    <col min="15875" max="15875" width="13" style="612" customWidth="1"/>
    <col min="15876" max="15876" width="6" style="612" customWidth="1"/>
    <col min="15877" max="15877" width="12.7109375" style="612" customWidth="1"/>
    <col min="15878" max="15878" width="6" style="612" customWidth="1"/>
    <col min="15879" max="15879" width="31.5703125" style="612" customWidth="1"/>
    <col min="15880" max="16125" width="9.140625" style="612"/>
    <col min="16126" max="16126" width="5.28515625" style="612" customWidth="1"/>
    <col min="16127" max="16127" width="37.42578125" style="612" customWidth="1"/>
    <col min="16128" max="16128" width="10.28515625" style="612" customWidth="1"/>
    <col min="16129" max="16129" width="11.28515625" style="612" customWidth="1"/>
    <col min="16130" max="16130" width="10" style="612" customWidth="1"/>
    <col min="16131" max="16131" width="13" style="612" customWidth="1"/>
    <col min="16132" max="16132" width="6" style="612" customWidth="1"/>
    <col min="16133" max="16133" width="12.7109375" style="612" customWidth="1"/>
    <col min="16134" max="16134" width="6" style="612" customWidth="1"/>
    <col min="16135" max="16135" width="31.5703125" style="612" customWidth="1"/>
    <col min="16136" max="16384" width="9.140625" style="612"/>
  </cols>
  <sheetData>
    <row r="1" spans="1:9" ht="22.5" customHeight="1" x14ac:dyDescent="0.25">
      <c r="B1" s="613"/>
      <c r="C1" s="613"/>
      <c r="D1" s="613"/>
      <c r="E1" s="614"/>
      <c r="F1" s="615" t="s">
        <v>1013</v>
      </c>
      <c r="G1" s="614"/>
      <c r="I1" s="614"/>
    </row>
    <row r="2" spans="1:9" ht="37.5" customHeight="1" x14ac:dyDescent="0.2">
      <c r="A2" s="1487" t="s">
        <v>1014</v>
      </c>
      <c r="B2" s="1487"/>
      <c r="C2" s="1487"/>
      <c r="D2" s="1487"/>
      <c r="E2" s="1487"/>
      <c r="F2" s="1487"/>
      <c r="G2" s="1487"/>
      <c r="H2" s="1487"/>
      <c r="I2" s="1487"/>
    </row>
    <row r="3" spans="1:9" ht="45" customHeight="1" thickBot="1" x14ac:dyDescent="0.3">
      <c r="B3" s="614"/>
      <c r="C3" s="614"/>
      <c r="D3" s="614"/>
      <c r="E3" s="616"/>
      <c r="F3" s="617" t="s">
        <v>0</v>
      </c>
      <c r="G3" s="614"/>
      <c r="H3" s="617"/>
      <c r="I3" s="614"/>
    </row>
    <row r="4" spans="1:9" ht="76.5" customHeight="1" thickBot="1" x14ac:dyDescent="0.25">
      <c r="A4" s="618" t="s">
        <v>1015</v>
      </c>
      <c r="B4" s="619" t="s">
        <v>1016</v>
      </c>
      <c r="C4" s="620" t="s">
        <v>1017</v>
      </c>
      <c r="D4" s="621" t="s">
        <v>1018</v>
      </c>
      <c r="E4" s="622" t="s">
        <v>1019</v>
      </c>
      <c r="F4" s="623" t="s">
        <v>1020</v>
      </c>
      <c r="G4" s="624" t="s">
        <v>1021</v>
      </c>
      <c r="H4" s="623" t="s">
        <v>1022</v>
      </c>
      <c r="I4" s="624" t="s">
        <v>1021</v>
      </c>
    </row>
    <row r="5" spans="1:9" ht="25.5" customHeight="1" thickBot="1" x14ac:dyDescent="0.25">
      <c r="A5" s="625" t="s">
        <v>1023</v>
      </c>
      <c r="B5" s="626" t="s">
        <v>1024</v>
      </c>
      <c r="C5" s="627">
        <f>+C6+C28</f>
        <v>469301.5</v>
      </c>
      <c r="D5" s="627">
        <f>+D6+D28</f>
        <v>542250.1</v>
      </c>
      <c r="E5" s="628">
        <f>+E6+E28</f>
        <v>551948.19999999995</v>
      </c>
      <c r="F5" s="629">
        <f>E5-C5</f>
        <v>82646.699999999953</v>
      </c>
      <c r="G5" s="630">
        <f>F5/C5*100</f>
        <v>17.610576569646582</v>
      </c>
      <c r="H5" s="629">
        <f>E5-D5</f>
        <v>9698.0999999999767</v>
      </c>
      <c r="I5" s="631">
        <f>H5/D5*100</f>
        <v>1.7884920629797907</v>
      </c>
    </row>
    <row r="6" spans="1:9" ht="20.25" customHeight="1" thickBot="1" x14ac:dyDescent="0.25">
      <c r="A6" s="632" t="s">
        <v>1025</v>
      </c>
      <c r="B6" s="633" t="s">
        <v>1026</v>
      </c>
      <c r="C6" s="634">
        <f>+C18+C19</f>
        <v>335457.7</v>
      </c>
      <c r="D6" s="634">
        <f>+D18+D19</f>
        <v>350945.1</v>
      </c>
      <c r="E6" s="635">
        <f>+E18+E19</f>
        <v>390842</v>
      </c>
      <c r="F6" s="636">
        <f>E6-C6</f>
        <v>55384.299999999988</v>
      </c>
      <c r="G6" s="637">
        <f>F6/C6*100</f>
        <v>16.510069674954543</v>
      </c>
      <c r="H6" s="636">
        <f>E6-D6</f>
        <v>39896.900000000023</v>
      </c>
      <c r="I6" s="638">
        <f>H6/D6*100</f>
        <v>11.368416313548765</v>
      </c>
    </row>
    <row r="7" spans="1:9" ht="18.75" hidden="1" customHeight="1" x14ac:dyDescent="0.2">
      <c r="A7" s="639" t="s">
        <v>1027</v>
      </c>
      <c r="B7" s="640" t="s">
        <v>1028</v>
      </c>
      <c r="C7" s="641">
        <v>278748</v>
      </c>
      <c r="D7" s="642">
        <v>293215.3</v>
      </c>
      <c r="E7" s="643">
        <v>332351</v>
      </c>
      <c r="F7" s="644">
        <f t="shared" ref="F7:F46" si="0">E7-C7</f>
        <v>53603</v>
      </c>
      <c r="G7" s="645">
        <f t="shared" ref="G7:G47" si="1">F7/C7*100</f>
        <v>19.229913757228751</v>
      </c>
      <c r="H7" s="644">
        <f t="shared" ref="H7:H47" si="2">E7-D7</f>
        <v>39135.700000000012</v>
      </c>
      <c r="I7" s="645">
        <f t="shared" ref="I7:I47" si="3">H7/D7*100</f>
        <v>13.347086594730905</v>
      </c>
    </row>
    <row r="8" spans="1:9" ht="15" hidden="1" customHeight="1" x14ac:dyDescent="0.2">
      <c r="A8" s="639"/>
      <c r="B8" s="640" t="s">
        <v>1029</v>
      </c>
      <c r="C8" s="641">
        <v>244148</v>
      </c>
      <c r="D8" s="642">
        <v>247148</v>
      </c>
      <c r="E8" s="643">
        <v>288151</v>
      </c>
      <c r="F8" s="644">
        <f t="shared" si="0"/>
        <v>44003</v>
      </c>
      <c r="G8" s="645">
        <f t="shared" si="1"/>
        <v>18.023084358667692</v>
      </c>
      <c r="H8" s="644">
        <f t="shared" si="2"/>
        <v>41003</v>
      </c>
      <c r="I8" s="645">
        <f t="shared" si="3"/>
        <v>16.590464013465617</v>
      </c>
    </row>
    <row r="9" spans="1:9" ht="32.25" hidden="1" customHeight="1" x14ac:dyDescent="0.2">
      <c r="A9" s="639"/>
      <c r="B9" s="640"/>
      <c r="C9" s="641"/>
      <c r="D9" s="642"/>
      <c r="E9" s="643"/>
      <c r="F9" s="644">
        <f>E9-C9</f>
        <v>0</v>
      </c>
      <c r="G9" s="645"/>
      <c r="H9" s="644">
        <f>E9-D9</f>
        <v>0</v>
      </c>
      <c r="I9" s="645"/>
    </row>
    <row r="10" spans="1:9" ht="18" hidden="1" customHeight="1" x14ac:dyDescent="0.2">
      <c r="A10" s="646" t="s">
        <v>1030</v>
      </c>
      <c r="B10" s="647" t="s">
        <v>1031</v>
      </c>
      <c r="C10" s="648">
        <v>43396.7</v>
      </c>
      <c r="D10" s="649">
        <v>37216.6</v>
      </c>
      <c r="E10" s="650">
        <v>47102</v>
      </c>
      <c r="F10" s="651">
        <f t="shared" si="0"/>
        <v>3705.3000000000029</v>
      </c>
      <c r="G10" s="652">
        <f t="shared" si="1"/>
        <v>8.538206822177731</v>
      </c>
      <c r="H10" s="651">
        <f t="shared" si="2"/>
        <v>9885.4000000000015</v>
      </c>
      <c r="I10" s="652">
        <f t="shared" si="3"/>
        <v>26.561803066373614</v>
      </c>
    </row>
    <row r="11" spans="1:9" ht="26.25" hidden="1" customHeight="1" x14ac:dyDescent="0.2">
      <c r="A11" s="653" t="s">
        <v>1032</v>
      </c>
      <c r="B11" s="647" t="s">
        <v>1033</v>
      </c>
      <c r="C11" s="648">
        <v>11450</v>
      </c>
      <c r="D11" s="649">
        <v>11450</v>
      </c>
      <c r="E11" s="650">
        <v>10322</v>
      </c>
      <c r="F11" s="651">
        <f t="shared" si="0"/>
        <v>-1128</v>
      </c>
      <c r="G11" s="652">
        <f t="shared" si="1"/>
        <v>-9.8515283842794759</v>
      </c>
      <c r="H11" s="651">
        <f t="shared" si="2"/>
        <v>-1128</v>
      </c>
      <c r="I11" s="652">
        <f t="shared" si="3"/>
        <v>-9.8515283842794759</v>
      </c>
    </row>
    <row r="12" spans="1:9" ht="38.25" hidden="1" customHeight="1" x14ac:dyDescent="0.2">
      <c r="A12" s="654"/>
      <c r="B12" s="655" t="s">
        <v>1034</v>
      </c>
      <c r="C12" s="648">
        <v>3000</v>
      </c>
      <c r="D12" s="649">
        <v>3000</v>
      </c>
      <c r="E12" s="650">
        <v>3000</v>
      </c>
      <c r="F12" s="644">
        <f t="shared" si="0"/>
        <v>0</v>
      </c>
      <c r="G12" s="645">
        <f t="shared" si="1"/>
        <v>0</v>
      </c>
      <c r="H12" s="644">
        <f t="shared" si="2"/>
        <v>0</v>
      </c>
      <c r="I12" s="645">
        <f t="shared" si="3"/>
        <v>0</v>
      </c>
    </row>
    <row r="13" spans="1:9" ht="32.25" hidden="1" customHeight="1" x14ac:dyDescent="0.2">
      <c r="A13" s="656" t="s">
        <v>1035</v>
      </c>
      <c r="B13" s="657" t="s">
        <v>1036</v>
      </c>
      <c r="C13" s="658">
        <v>1863</v>
      </c>
      <c r="D13" s="658">
        <v>1863</v>
      </c>
      <c r="E13" s="659"/>
      <c r="F13" s="660">
        <f t="shared" si="0"/>
        <v>-1863</v>
      </c>
      <c r="G13" s="661"/>
      <c r="H13" s="660">
        <f t="shared" si="2"/>
        <v>-1863</v>
      </c>
      <c r="I13" s="661"/>
    </row>
    <row r="14" spans="1:9" ht="32.25" hidden="1" customHeight="1" x14ac:dyDescent="0.2">
      <c r="A14" s="662" t="s">
        <v>1037</v>
      </c>
      <c r="B14" s="663" t="s">
        <v>1038</v>
      </c>
      <c r="C14" s="648">
        <v>1543</v>
      </c>
      <c r="D14" s="649">
        <v>1543</v>
      </c>
      <c r="E14" s="659"/>
      <c r="F14" s="664"/>
      <c r="G14" s="665"/>
      <c r="H14" s="664"/>
      <c r="I14" s="665"/>
    </row>
    <row r="15" spans="1:9" ht="32.25" hidden="1" customHeight="1" thickBot="1" x14ac:dyDescent="0.25">
      <c r="A15" s="662" t="s">
        <v>1030</v>
      </c>
      <c r="B15" s="663" t="s">
        <v>1039</v>
      </c>
      <c r="C15" s="648">
        <v>320</v>
      </c>
      <c r="D15" s="649">
        <v>320</v>
      </c>
      <c r="E15" s="666"/>
      <c r="F15" s="667"/>
      <c r="G15" s="668"/>
      <c r="H15" s="667"/>
      <c r="I15" s="668"/>
    </row>
    <row r="16" spans="1:9" ht="26.25" hidden="1" customHeight="1" thickBot="1" x14ac:dyDescent="0.25">
      <c r="A16" s="669"/>
      <c r="B16" s="670" t="s">
        <v>1040</v>
      </c>
      <c r="C16" s="671">
        <f>C6+C13</f>
        <v>337320.7</v>
      </c>
      <c r="D16" s="672">
        <f>D6+D13</f>
        <v>352808.1</v>
      </c>
      <c r="E16" s="673">
        <f>E6+E13</f>
        <v>390842</v>
      </c>
      <c r="F16" s="674">
        <f>E16-C16</f>
        <v>53521.299999999988</v>
      </c>
      <c r="G16" s="675">
        <f>F16/C16*100</f>
        <v>15.866592237001756</v>
      </c>
      <c r="H16" s="674">
        <f>E16-D16</f>
        <v>38033.900000000023</v>
      </c>
      <c r="I16" s="675">
        <f>H16/D16*100</f>
        <v>10.780336392503468</v>
      </c>
    </row>
    <row r="17" spans="1:9" ht="38.25" hidden="1" customHeight="1" x14ac:dyDescent="0.2">
      <c r="A17" s="676"/>
      <c r="B17" s="677" t="s">
        <v>1041</v>
      </c>
      <c r="C17" s="678">
        <v>288416</v>
      </c>
      <c r="D17" s="679">
        <v>288416</v>
      </c>
      <c r="E17" s="680">
        <v>340215</v>
      </c>
      <c r="F17" s="681">
        <f t="shared" si="0"/>
        <v>51799</v>
      </c>
      <c r="G17" s="682">
        <f t="shared" si="1"/>
        <v>17.959821923887716</v>
      </c>
      <c r="H17" s="681">
        <f t="shared" si="2"/>
        <v>51799</v>
      </c>
      <c r="I17" s="682">
        <f t="shared" si="3"/>
        <v>17.959821923887716</v>
      </c>
    </row>
    <row r="18" spans="1:9" ht="18" customHeight="1" x14ac:dyDescent="0.2">
      <c r="A18" s="683" t="s">
        <v>1027</v>
      </c>
      <c r="B18" s="684" t="s">
        <v>1042</v>
      </c>
      <c r="C18" s="679">
        <v>305889</v>
      </c>
      <c r="D18" s="679">
        <v>325010.09999999998</v>
      </c>
      <c r="E18" s="680">
        <v>358014</v>
      </c>
      <c r="F18" s="664">
        <f t="shared" si="0"/>
        <v>52125</v>
      </c>
      <c r="G18" s="665">
        <f t="shared" si="1"/>
        <v>17.040495081549189</v>
      </c>
      <c r="H18" s="664">
        <f t="shared" si="2"/>
        <v>33003.900000000023</v>
      </c>
      <c r="I18" s="682">
        <f t="shared" si="3"/>
        <v>10.154730576065182</v>
      </c>
    </row>
    <row r="19" spans="1:9" ht="18" customHeight="1" x14ac:dyDescent="0.2">
      <c r="A19" s="676" t="s">
        <v>1043</v>
      </c>
      <c r="B19" s="677" t="s">
        <v>1044</v>
      </c>
      <c r="C19" s="679">
        <f>+C20+C21+C22+C23+C24+C25+C26+C27</f>
        <v>29568.7</v>
      </c>
      <c r="D19" s="679">
        <f>+D20+D21+D22+D23+D24+D25+D26+D27</f>
        <v>25935</v>
      </c>
      <c r="E19" s="680">
        <f>+E20+E21+E22+E23+E24+E25+E26+E27</f>
        <v>32828</v>
      </c>
      <c r="F19" s="681">
        <f t="shared" si="0"/>
        <v>3259.2999999999993</v>
      </c>
      <c r="G19" s="682">
        <f t="shared" si="1"/>
        <v>11.02280451964408</v>
      </c>
      <c r="H19" s="681">
        <f t="shared" si="2"/>
        <v>6893</v>
      </c>
      <c r="I19" s="685">
        <f t="shared" si="3"/>
        <v>26.577983420088685</v>
      </c>
    </row>
    <row r="20" spans="1:9" ht="14.25" customHeight="1" x14ac:dyDescent="0.2">
      <c r="A20" s="662"/>
      <c r="B20" s="686" t="s">
        <v>1045</v>
      </c>
      <c r="C20" s="649">
        <f>1200+170+150</f>
        <v>1520</v>
      </c>
      <c r="D20" s="649">
        <f>1400+320+200</f>
        <v>1920</v>
      </c>
      <c r="E20" s="650">
        <f>1200+360+200</f>
        <v>1760</v>
      </c>
      <c r="F20" s="687">
        <f t="shared" si="0"/>
        <v>240</v>
      </c>
      <c r="G20" s="688">
        <f t="shared" si="1"/>
        <v>15.789473684210526</v>
      </c>
      <c r="H20" s="687">
        <f t="shared" si="2"/>
        <v>-160</v>
      </c>
      <c r="I20" s="652">
        <f t="shared" si="3"/>
        <v>-8.3333333333333321</v>
      </c>
    </row>
    <row r="21" spans="1:9" ht="14.25" customHeight="1" x14ac:dyDescent="0.2">
      <c r="A21" s="662"/>
      <c r="B21" s="686" t="s">
        <v>1046</v>
      </c>
      <c r="C21" s="649">
        <v>690.6</v>
      </c>
      <c r="D21" s="649">
        <v>829.7</v>
      </c>
      <c r="E21" s="650">
        <v>760.1</v>
      </c>
      <c r="F21" s="687">
        <f t="shared" si="0"/>
        <v>69.5</v>
      </c>
      <c r="G21" s="688">
        <f t="shared" si="1"/>
        <v>10.063712713582392</v>
      </c>
      <c r="H21" s="687">
        <f t="shared" si="2"/>
        <v>-69.600000000000023</v>
      </c>
      <c r="I21" s="652">
        <f t="shared" si="3"/>
        <v>-8.3885741834397987</v>
      </c>
    </row>
    <row r="22" spans="1:9" ht="14.25" customHeight="1" x14ac:dyDescent="0.2">
      <c r="A22" s="662"/>
      <c r="B22" s="686" t="s">
        <v>1047</v>
      </c>
      <c r="C22" s="649">
        <v>15608.1</v>
      </c>
      <c r="D22" s="649">
        <f>510.2+15425.1</f>
        <v>15935.300000000001</v>
      </c>
      <c r="E22" s="650">
        <v>16085.9</v>
      </c>
      <c r="F22" s="687">
        <f t="shared" si="0"/>
        <v>477.79999999999927</v>
      </c>
      <c r="G22" s="688">
        <f t="shared" si="1"/>
        <v>3.0612310274793169</v>
      </c>
      <c r="H22" s="687">
        <f t="shared" si="2"/>
        <v>150.59999999999854</v>
      </c>
      <c r="I22" s="652">
        <f t="shared" si="3"/>
        <v>0.94507163341762335</v>
      </c>
    </row>
    <row r="23" spans="1:9" ht="14.25" customHeight="1" x14ac:dyDescent="0.2">
      <c r="A23" s="662"/>
      <c r="B23" s="689" t="s">
        <v>1048</v>
      </c>
      <c r="C23" s="649">
        <v>800</v>
      </c>
      <c r="D23" s="690">
        <v>800</v>
      </c>
      <c r="E23" s="650">
        <v>900</v>
      </c>
      <c r="F23" s="687">
        <f t="shared" si="0"/>
        <v>100</v>
      </c>
      <c r="G23" s="688">
        <f t="shared" si="1"/>
        <v>12.5</v>
      </c>
      <c r="H23" s="687">
        <f t="shared" si="2"/>
        <v>100</v>
      </c>
      <c r="I23" s="652">
        <f t="shared" si="3"/>
        <v>12.5</v>
      </c>
    </row>
    <row r="24" spans="1:9" ht="14.25" customHeight="1" x14ac:dyDescent="0.2">
      <c r="A24" s="662"/>
      <c r="B24" s="689" t="s">
        <v>1049</v>
      </c>
      <c r="C24" s="649">
        <v>2450</v>
      </c>
      <c r="D24" s="690">
        <v>2450</v>
      </c>
      <c r="E24" s="650">
        <v>1750</v>
      </c>
      <c r="F24" s="687">
        <f>E24-C24</f>
        <v>-700</v>
      </c>
      <c r="G24" s="688">
        <f t="shared" si="1"/>
        <v>-28.571428571428569</v>
      </c>
      <c r="H24" s="687">
        <f t="shared" si="2"/>
        <v>-700</v>
      </c>
      <c r="I24" s="652">
        <f t="shared" si="3"/>
        <v>-28.571428571428569</v>
      </c>
    </row>
    <row r="25" spans="1:9" ht="14.25" customHeight="1" x14ac:dyDescent="0.2">
      <c r="A25" s="662"/>
      <c r="B25" s="689" t="s">
        <v>1050</v>
      </c>
      <c r="C25" s="649">
        <v>4000</v>
      </c>
      <c r="D25" s="690">
        <f>1000+3000</f>
        <v>4000</v>
      </c>
      <c r="E25" s="650">
        <v>2572</v>
      </c>
      <c r="F25" s="687">
        <f t="shared" si="0"/>
        <v>-1428</v>
      </c>
      <c r="G25" s="688">
        <f t="shared" si="1"/>
        <v>-35.699999999999996</v>
      </c>
      <c r="H25" s="687">
        <f t="shared" si="2"/>
        <v>-1428</v>
      </c>
      <c r="I25" s="652">
        <f t="shared" si="3"/>
        <v>-35.699999999999996</v>
      </c>
    </row>
    <row r="26" spans="1:9" ht="14.25" customHeight="1" x14ac:dyDescent="0.2">
      <c r="A26" s="662"/>
      <c r="B26" s="689" t="s">
        <v>1051</v>
      </c>
      <c r="C26" s="649">
        <v>4500</v>
      </c>
      <c r="D26" s="690"/>
      <c r="E26" s="650">
        <v>9000</v>
      </c>
      <c r="F26" s="687">
        <f t="shared" si="0"/>
        <v>4500</v>
      </c>
      <c r="G26" s="688">
        <f t="shared" si="1"/>
        <v>100</v>
      </c>
      <c r="H26" s="687">
        <f t="shared" si="2"/>
        <v>9000</v>
      </c>
      <c r="I26" s="652" t="e">
        <f t="shared" si="3"/>
        <v>#DIV/0!</v>
      </c>
    </row>
    <row r="27" spans="1:9" ht="23.25" hidden="1" customHeight="1" x14ac:dyDescent="0.2">
      <c r="A27" s="662"/>
      <c r="B27" s="691" t="s">
        <v>1052</v>
      </c>
      <c r="C27" s="649"/>
      <c r="D27" s="690"/>
      <c r="E27" s="650"/>
      <c r="F27" s="687">
        <f>E27-C27</f>
        <v>0</v>
      </c>
      <c r="G27" s="688" t="e">
        <f t="shared" si="1"/>
        <v>#DIV/0!</v>
      </c>
      <c r="H27" s="687">
        <f t="shared" si="2"/>
        <v>0</v>
      </c>
      <c r="I27" s="652" t="e">
        <f t="shared" si="3"/>
        <v>#DIV/0!</v>
      </c>
    </row>
    <row r="28" spans="1:9" ht="20.25" customHeight="1" x14ac:dyDescent="0.2">
      <c r="A28" s="656" t="s">
        <v>1035</v>
      </c>
      <c r="B28" s="657" t="s">
        <v>1053</v>
      </c>
      <c r="C28" s="658">
        <f>+C29+C30</f>
        <v>133843.79999999999</v>
      </c>
      <c r="D28" s="658">
        <f>+D29+D30</f>
        <v>191305</v>
      </c>
      <c r="E28" s="659">
        <f>+E29+E30</f>
        <v>161106.19999999998</v>
      </c>
      <c r="F28" s="660">
        <f>E28-C28</f>
        <v>27262.399999999994</v>
      </c>
      <c r="G28" s="661">
        <f t="shared" si="1"/>
        <v>20.368817980362181</v>
      </c>
      <c r="H28" s="660">
        <f t="shared" si="2"/>
        <v>-30198.800000000017</v>
      </c>
      <c r="I28" s="692">
        <f t="shared" si="3"/>
        <v>-15.785682548809502</v>
      </c>
    </row>
    <row r="29" spans="1:9" ht="18" customHeight="1" x14ac:dyDescent="0.2">
      <c r="A29" s="693" t="s">
        <v>1037</v>
      </c>
      <c r="B29" s="684" t="s">
        <v>1054</v>
      </c>
      <c r="C29" s="694">
        <v>133543.79999999999</v>
      </c>
      <c r="D29" s="694">
        <v>177296.2</v>
      </c>
      <c r="E29" s="695">
        <v>158718.39999999999</v>
      </c>
      <c r="F29" s="696">
        <f t="shared" si="0"/>
        <v>25174.600000000006</v>
      </c>
      <c r="G29" s="697">
        <f t="shared" si="1"/>
        <v>18.851193391231945</v>
      </c>
      <c r="H29" s="696">
        <f t="shared" si="2"/>
        <v>-18577.800000000017</v>
      </c>
      <c r="I29" s="698">
        <f t="shared" si="3"/>
        <v>-10.478397168128824</v>
      </c>
    </row>
    <row r="30" spans="1:9" ht="18" customHeight="1" thickBot="1" x14ac:dyDescent="0.25">
      <c r="A30" s="699" t="s">
        <v>1030</v>
      </c>
      <c r="B30" s="700" t="s">
        <v>1055</v>
      </c>
      <c r="C30" s="701">
        <v>300</v>
      </c>
      <c r="D30" s="701">
        <v>14008.8</v>
      </c>
      <c r="E30" s="702">
        <v>2387.8000000000002</v>
      </c>
      <c r="F30" s="696">
        <f t="shared" si="0"/>
        <v>2087.8000000000002</v>
      </c>
      <c r="G30" s="703">
        <f t="shared" si="1"/>
        <v>695.93333333333339</v>
      </c>
      <c r="H30" s="696">
        <f t="shared" si="2"/>
        <v>-11621</v>
      </c>
      <c r="I30" s="704">
        <f t="shared" si="3"/>
        <v>-82.954999714465188</v>
      </c>
    </row>
    <row r="31" spans="1:9" ht="25.5" customHeight="1" thickBot="1" x14ac:dyDescent="0.25">
      <c r="A31" s="705" t="s">
        <v>1056</v>
      </c>
      <c r="B31" s="706" t="s">
        <v>1057</v>
      </c>
      <c r="C31" s="707">
        <f>C32+C33</f>
        <v>17231</v>
      </c>
      <c r="D31" s="671">
        <f>D32+D33</f>
        <v>17231</v>
      </c>
      <c r="E31" s="673">
        <f>E32+E33</f>
        <v>31214.400000000001</v>
      </c>
      <c r="F31" s="708">
        <f t="shared" si="0"/>
        <v>13983.400000000001</v>
      </c>
      <c r="G31" s="638">
        <f t="shared" si="1"/>
        <v>81.152573849457383</v>
      </c>
      <c r="H31" s="708">
        <f t="shared" si="2"/>
        <v>13983.400000000001</v>
      </c>
      <c r="I31" s="709">
        <f t="shared" si="3"/>
        <v>81.152573849457383</v>
      </c>
    </row>
    <row r="32" spans="1:9" ht="18" customHeight="1" x14ac:dyDescent="0.2">
      <c r="A32" s="710" t="s">
        <v>1058</v>
      </c>
      <c r="B32" s="711" t="s">
        <v>1059</v>
      </c>
      <c r="C32" s="712">
        <v>11307.2</v>
      </c>
      <c r="D32" s="713">
        <v>11307.2</v>
      </c>
      <c r="E32" s="714">
        <v>19852</v>
      </c>
      <c r="F32" s="715">
        <f t="shared" si="0"/>
        <v>8544.7999999999993</v>
      </c>
      <c r="G32" s="716">
        <f t="shared" si="1"/>
        <v>75.569548606197813</v>
      </c>
      <c r="H32" s="717">
        <f t="shared" si="2"/>
        <v>8544.7999999999993</v>
      </c>
      <c r="I32" s="716">
        <f t="shared" si="3"/>
        <v>75.569548606197813</v>
      </c>
    </row>
    <row r="33" spans="1:11" ht="18" customHeight="1" x14ac:dyDescent="0.2">
      <c r="A33" s="718" t="s">
        <v>1060</v>
      </c>
      <c r="B33" s="719" t="s">
        <v>1061</v>
      </c>
      <c r="C33" s="720">
        <f>+C34+C35+C36+C37+C38+C39+C42</f>
        <v>5923.8000000000011</v>
      </c>
      <c r="D33" s="721">
        <f>+D34+D35+D36+D37+D38+D39+D42</f>
        <v>5923.8000000000011</v>
      </c>
      <c r="E33" s="722">
        <f>+E34+E35+E36+E37+E38+E39+E42</f>
        <v>11362.4</v>
      </c>
      <c r="F33" s="723">
        <f t="shared" si="0"/>
        <v>5438.5999999999985</v>
      </c>
      <c r="G33" s="724">
        <f t="shared" si="1"/>
        <v>91.809311590533056</v>
      </c>
      <c r="H33" s="723">
        <f t="shared" si="2"/>
        <v>5438.5999999999985</v>
      </c>
      <c r="I33" s="724">
        <f t="shared" si="3"/>
        <v>91.809311590533056</v>
      </c>
    </row>
    <row r="34" spans="1:11" ht="14.25" customHeight="1" x14ac:dyDescent="0.2">
      <c r="A34" s="725"/>
      <c r="B34" s="726" t="s">
        <v>1062</v>
      </c>
      <c r="C34" s="690">
        <v>556.1</v>
      </c>
      <c r="D34" s="649">
        <v>556.1</v>
      </c>
      <c r="E34" s="650">
        <v>22</v>
      </c>
      <c r="F34" s="687">
        <f t="shared" si="0"/>
        <v>-534.1</v>
      </c>
      <c r="G34" s="727">
        <f t="shared" si="1"/>
        <v>-96.043877000539467</v>
      </c>
      <c r="H34" s="687">
        <f t="shared" si="2"/>
        <v>-534.1</v>
      </c>
      <c r="I34" s="728">
        <f t="shared" si="3"/>
        <v>-96.043877000539467</v>
      </c>
    </row>
    <row r="35" spans="1:11" ht="14.25" customHeight="1" x14ac:dyDescent="0.2">
      <c r="A35" s="725"/>
      <c r="B35" s="726" t="s">
        <v>1063</v>
      </c>
      <c r="C35" s="690">
        <v>186.3</v>
      </c>
      <c r="D35" s="649">
        <v>186.3</v>
      </c>
      <c r="E35" s="650">
        <v>394.5</v>
      </c>
      <c r="F35" s="687">
        <f t="shared" si="0"/>
        <v>208.2</v>
      </c>
      <c r="G35" s="727">
        <f t="shared" si="1"/>
        <v>111.75523349436392</v>
      </c>
      <c r="H35" s="687">
        <f t="shared" si="2"/>
        <v>208.2</v>
      </c>
      <c r="I35" s="728">
        <f t="shared" si="3"/>
        <v>111.75523349436392</v>
      </c>
    </row>
    <row r="36" spans="1:11" ht="14.25" customHeight="1" x14ac:dyDescent="0.2">
      <c r="A36" s="725"/>
      <c r="B36" s="726" t="s">
        <v>1064</v>
      </c>
      <c r="C36" s="690">
        <v>2615.8000000000002</v>
      </c>
      <c r="D36" s="649">
        <v>2615.8000000000002</v>
      </c>
      <c r="E36" s="650">
        <v>5912</v>
      </c>
      <c r="F36" s="687">
        <f t="shared" si="0"/>
        <v>3296.2</v>
      </c>
      <c r="G36" s="727">
        <f t="shared" si="1"/>
        <v>126.01116293294592</v>
      </c>
      <c r="H36" s="687">
        <f t="shared" si="2"/>
        <v>3296.2</v>
      </c>
      <c r="I36" s="728">
        <f t="shared" si="3"/>
        <v>126.01116293294592</v>
      </c>
    </row>
    <row r="37" spans="1:11" ht="14.25" customHeight="1" x14ac:dyDescent="0.2">
      <c r="A37" s="729"/>
      <c r="B37" s="730" t="s">
        <v>1065</v>
      </c>
      <c r="C37" s="731">
        <v>47.8</v>
      </c>
      <c r="D37" s="732">
        <v>47.8</v>
      </c>
      <c r="E37" s="733"/>
      <c r="F37" s="734">
        <f t="shared" si="0"/>
        <v>-47.8</v>
      </c>
      <c r="G37" s="735">
        <f t="shared" si="1"/>
        <v>-100</v>
      </c>
      <c r="H37" s="734">
        <f t="shared" si="2"/>
        <v>-47.8</v>
      </c>
      <c r="I37" s="736">
        <f t="shared" si="3"/>
        <v>-100</v>
      </c>
    </row>
    <row r="38" spans="1:11" ht="14.25" customHeight="1" x14ac:dyDescent="0.2">
      <c r="A38" s="729"/>
      <c r="B38" s="730" t="s">
        <v>1066</v>
      </c>
      <c r="C38" s="731">
        <v>1159.7</v>
      </c>
      <c r="D38" s="732">
        <v>1159.7</v>
      </c>
      <c r="E38" s="733"/>
      <c r="F38" s="734">
        <f t="shared" si="0"/>
        <v>-1159.7</v>
      </c>
      <c r="G38" s="735">
        <f t="shared" si="1"/>
        <v>-100</v>
      </c>
      <c r="H38" s="734">
        <f t="shared" si="2"/>
        <v>-1159.7</v>
      </c>
      <c r="I38" s="736">
        <f t="shared" si="3"/>
        <v>-100</v>
      </c>
    </row>
    <row r="39" spans="1:11" ht="14.25" customHeight="1" thickBot="1" x14ac:dyDescent="0.25">
      <c r="A39" s="725"/>
      <c r="B39" s="737" t="s">
        <v>1067</v>
      </c>
      <c r="C39" s="690">
        <v>1358.1</v>
      </c>
      <c r="D39" s="649">
        <v>1358.1</v>
      </c>
      <c r="E39" s="650">
        <v>2917.5</v>
      </c>
      <c r="F39" s="687">
        <f t="shared" si="0"/>
        <v>1559.4</v>
      </c>
      <c r="G39" s="727">
        <f t="shared" si="1"/>
        <v>114.82217804285399</v>
      </c>
      <c r="H39" s="687">
        <f t="shared" si="2"/>
        <v>1559.4</v>
      </c>
      <c r="I39" s="738">
        <f t="shared" si="3"/>
        <v>114.82217804285399</v>
      </c>
    </row>
    <row r="40" spans="1:11" ht="15" hidden="1" customHeight="1" thickBot="1" x14ac:dyDescent="0.25">
      <c r="A40" s="725"/>
      <c r="B40" s="689" t="s">
        <v>1068</v>
      </c>
      <c r="C40" s="690"/>
      <c r="D40" s="649"/>
      <c r="E40" s="650"/>
      <c r="F40" s="687"/>
      <c r="G40" s="727" t="e">
        <f t="shared" si="1"/>
        <v>#DIV/0!</v>
      </c>
      <c r="H40" s="687">
        <f t="shared" si="2"/>
        <v>0</v>
      </c>
      <c r="I40" s="739" t="e">
        <f t="shared" si="3"/>
        <v>#DIV/0!</v>
      </c>
    </row>
    <row r="41" spans="1:11" ht="26.25" hidden="1" customHeight="1" thickBot="1" x14ac:dyDescent="0.25">
      <c r="A41" s="725"/>
      <c r="B41" s="691" t="s">
        <v>1069</v>
      </c>
      <c r="C41" s="690"/>
      <c r="D41" s="649"/>
      <c r="E41" s="650"/>
      <c r="F41" s="687"/>
      <c r="G41" s="727" t="e">
        <f t="shared" si="1"/>
        <v>#DIV/0!</v>
      </c>
      <c r="H41" s="687">
        <f t="shared" si="2"/>
        <v>0</v>
      </c>
      <c r="I41" s="739" t="e">
        <f t="shared" si="3"/>
        <v>#DIV/0!</v>
      </c>
    </row>
    <row r="42" spans="1:11" ht="14.25" customHeight="1" thickBot="1" x14ac:dyDescent="0.25">
      <c r="A42" s="729"/>
      <c r="B42" s="740" t="s">
        <v>1070</v>
      </c>
      <c r="C42" s="731"/>
      <c r="D42" s="741"/>
      <c r="E42" s="742">
        <v>2116.4</v>
      </c>
      <c r="F42" s="743">
        <f t="shared" si="0"/>
        <v>2116.4</v>
      </c>
      <c r="G42" s="744" t="e">
        <f t="shared" si="1"/>
        <v>#DIV/0!</v>
      </c>
      <c r="H42" s="745">
        <f t="shared" si="2"/>
        <v>2116.4</v>
      </c>
      <c r="I42" s="739" t="e">
        <f t="shared" si="3"/>
        <v>#DIV/0!</v>
      </c>
    </row>
    <row r="43" spans="1:11" ht="24.75" customHeight="1" thickBot="1" x14ac:dyDescent="0.25">
      <c r="A43" s="705" t="s">
        <v>1071</v>
      </c>
      <c r="B43" s="746" t="s">
        <v>1072</v>
      </c>
      <c r="C43" s="707">
        <v>24000</v>
      </c>
      <c r="D43" s="707">
        <v>17739.3</v>
      </c>
      <c r="E43" s="747"/>
      <c r="F43" s="708">
        <f t="shared" si="0"/>
        <v>-24000</v>
      </c>
      <c r="G43" s="748">
        <f t="shared" si="1"/>
        <v>-100</v>
      </c>
      <c r="H43" s="708">
        <f t="shared" si="2"/>
        <v>-17739.3</v>
      </c>
      <c r="I43" s="749">
        <f t="shared" si="3"/>
        <v>-100</v>
      </c>
    </row>
    <row r="44" spans="1:11" ht="99" hidden="1" customHeight="1" thickBot="1" x14ac:dyDescent="0.25">
      <c r="A44" s="750" t="s">
        <v>1073</v>
      </c>
      <c r="B44" s="751" t="s">
        <v>1074</v>
      </c>
      <c r="C44" s="752"/>
      <c r="D44" s="752"/>
      <c r="E44" s="753"/>
      <c r="F44" s="754">
        <f t="shared" si="0"/>
        <v>0</v>
      </c>
      <c r="G44" s="748" t="e">
        <f t="shared" si="1"/>
        <v>#DIV/0!</v>
      </c>
      <c r="H44" s="708">
        <f t="shared" si="2"/>
        <v>0</v>
      </c>
      <c r="I44" s="748" t="e">
        <f t="shared" si="3"/>
        <v>#DIV/0!</v>
      </c>
    </row>
    <row r="45" spans="1:11" ht="61.5" hidden="1" customHeight="1" thickBot="1" x14ac:dyDescent="0.25">
      <c r="A45" s="705" t="s">
        <v>1075</v>
      </c>
      <c r="B45" s="746" t="s">
        <v>1076</v>
      </c>
      <c r="C45" s="707"/>
      <c r="D45" s="707"/>
      <c r="E45" s="747"/>
      <c r="F45" s="708">
        <f t="shared" si="0"/>
        <v>0</v>
      </c>
      <c r="G45" s="748" t="e">
        <f t="shared" si="1"/>
        <v>#DIV/0!</v>
      </c>
      <c r="H45" s="708">
        <f t="shared" si="2"/>
        <v>0</v>
      </c>
      <c r="I45" s="748" t="e">
        <f t="shared" si="3"/>
        <v>#DIV/0!</v>
      </c>
    </row>
    <row r="46" spans="1:11" ht="22.5" customHeight="1" thickBot="1" x14ac:dyDescent="0.25">
      <c r="A46" s="755"/>
      <c r="B46" s="756" t="s">
        <v>1077</v>
      </c>
      <c r="C46" s="757">
        <f>+C18+C28+C32+C43</f>
        <v>475040</v>
      </c>
      <c r="D46" s="757">
        <f>+D18+D28+D32+D43</f>
        <v>545361.6</v>
      </c>
      <c r="E46" s="757">
        <f>+E18+E28+E32+E43</f>
        <v>538972.19999999995</v>
      </c>
      <c r="F46" s="758">
        <f t="shared" si="0"/>
        <v>63932.199999999953</v>
      </c>
      <c r="G46" s="759">
        <f t="shared" si="1"/>
        <v>13.458277197709656</v>
      </c>
      <c r="H46" s="758">
        <f t="shared" si="2"/>
        <v>-6389.4000000000233</v>
      </c>
      <c r="I46" s="760">
        <f t="shared" si="3"/>
        <v>-1.1715896388744687</v>
      </c>
    </row>
    <row r="47" spans="1:11" ht="22.5" customHeight="1" thickBot="1" x14ac:dyDescent="0.25">
      <c r="A47" s="755"/>
      <c r="B47" s="756" t="s">
        <v>1078</v>
      </c>
      <c r="C47" s="757">
        <f t="shared" ref="C47:F47" si="4">+C5+C31+C43</f>
        <v>510532.5</v>
      </c>
      <c r="D47" s="757">
        <f t="shared" si="4"/>
        <v>577220.4</v>
      </c>
      <c r="E47" s="757">
        <f t="shared" si="4"/>
        <v>583162.6</v>
      </c>
      <c r="F47" s="758">
        <f t="shared" si="4"/>
        <v>72630.099999999948</v>
      </c>
      <c r="G47" s="759">
        <f t="shared" si="1"/>
        <v>14.226342103587911</v>
      </c>
      <c r="H47" s="758">
        <f t="shared" si="2"/>
        <v>5942.1999999999534</v>
      </c>
      <c r="I47" s="612">
        <f t="shared" si="3"/>
        <v>1.0294507955713195</v>
      </c>
      <c r="K47" s="761"/>
    </row>
    <row r="48" spans="1:11" ht="28.5" hidden="1" customHeight="1" x14ac:dyDescent="0.2">
      <c r="A48" s="1488" t="s">
        <v>1079</v>
      </c>
      <c r="B48" s="1488"/>
      <c r="C48" s="1488"/>
      <c r="D48" s="1488"/>
      <c r="E48" s="1488"/>
      <c r="F48" s="1488"/>
      <c r="G48" s="1488"/>
      <c r="H48" s="1488"/>
      <c r="I48" s="1488"/>
    </row>
    <row r="49" spans="1:9" x14ac:dyDescent="0.2">
      <c r="A49" s="21"/>
      <c r="B49" s="21"/>
      <c r="C49" s="21"/>
      <c r="D49" s="21"/>
      <c r="E49" s="21"/>
      <c r="F49" s="21"/>
      <c r="G49" s="21"/>
      <c r="H49" s="21"/>
      <c r="I49" s="21"/>
    </row>
    <row r="50" spans="1:9" x14ac:dyDescent="0.2">
      <c r="E50" s="762"/>
    </row>
  </sheetData>
  <mergeCells count="2">
    <mergeCell ref="A2:I2"/>
    <mergeCell ref="A48:I48"/>
  </mergeCells>
  <pageMargins left="0.62992125984251968" right="3.937007874015748E-2" top="0.78740157480314965" bottom="0.19685039370078741" header="0.19685039370078741" footer="0.15748031496062992"/>
  <pageSetup paperSize="9" orientation="portrait" r:id="rId1"/>
  <headerFooter alignWithMargins="0"/>
  <colBreaks count="1" manualBreakCount="1">
    <brk id="9" max="1048575" man="1"/>
  </col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8"/>
  <sheetViews>
    <sheetView showZeros="0" zoomScaleNormal="100" zoomScaleSheetLayoutView="55" workbookViewId="0">
      <selection activeCell="O1" sqref="O1"/>
    </sheetView>
  </sheetViews>
  <sheetFormatPr defaultColWidth="8.85546875" defaultRowHeight="11.25" x14ac:dyDescent="0.2"/>
  <cols>
    <col min="1" max="1" width="3.28515625" style="118" customWidth="1"/>
    <col min="2" max="2" width="11" style="122" customWidth="1"/>
    <col min="3" max="3" width="10.5703125" style="123" customWidth="1"/>
    <col min="4" max="4" width="36.28515625" style="124" customWidth="1"/>
    <col min="5" max="10" width="9.7109375" style="121" customWidth="1"/>
    <col min="11" max="11" width="9.7109375" style="125" customWidth="1"/>
    <col min="12" max="14" width="9.7109375" style="126" customWidth="1"/>
    <col min="15" max="15" width="51.42578125" style="127" customWidth="1"/>
    <col min="16" max="17" width="8.85546875" style="118"/>
    <col min="18" max="18" width="36.28515625" style="118" customWidth="1"/>
    <col min="19" max="16384" width="8.85546875" style="118"/>
  </cols>
  <sheetData>
    <row r="1" spans="1:17" s="82" customFormat="1" ht="12.75" x14ac:dyDescent="0.2">
      <c r="B1" s="111"/>
      <c r="C1" s="112"/>
      <c r="E1" s="113"/>
      <c r="F1" s="113"/>
      <c r="G1" s="113"/>
      <c r="H1" s="113"/>
      <c r="I1" s="113"/>
      <c r="J1" s="113"/>
      <c r="K1" s="114"/>
      <c r="L1" s="113"/>
      <c r="M1" s="113"/>
      <c r="N1" s="113"/>
      <c r="O1" s="115" t="s">
        <v>1004</v>
      </c>
    </row>
    <row r="2" spans="1:17" s="82" customFormat="1" ht="14.25" x14ac:dyDescent="0.2">
      <c r="B2" s="1546" t="s">
        <v>793</v>
      </c>
      <c r="C2" s="1546"/>
      <c r="D2" s="1546"/>
      <c r="E2" s="1546"/>
      <c r="F2" s="1546"/>
      <c r="G2" s="1546"/>
      <c r="H2" s="1546"/>
      <c r="I2" s="1546"/>
      <c r="J2" s="1546"/>
      <c r="K2" s="1546"/>
      <c r="L2" s="1546"/>
      <c r="M2" s="1546"/>
      <c r="N2" s="1546"/>
      <c r="O2" s="1546"/>
    </row>
    <row r="3" spans="1:17" s="82" customFormat="1" ht="12.75" x14ac:dyDescent="0.2">
      <c r="B3" s="111"/>
      <c r="C3" s="112"/>
      <c r="D3" s="1547"/>
      <c r="E3" s="1547"/>
      <c r="F3" s="1547"/>
      <c r="G3" s="104"/>
      <c r="H3" s="104"/>
      <c r="I3" s="104"/>
      <c r="J3" s="104"/>
      <c r="K3" s="114"/>
      <c r="L3" s="113"/>
      <c r="M3" s="113"/>
      <c r="N3" s="113"/>
      <c r="O3" s="212" t="s">
        <v>0</v>
      </c>
    </row>
    <row r="4" spans="1:17" s="82" customFormat="1" ht="17.100000000000001" customHeight="1" x14ac:dyDescent="0.2">
      <c r="A4" s="1535" t="s">
        <v>1</v>
      </c>
      <c r="B4" s="1535"/>
      <c r="C4" s="1548" t="s">
        <v>77</v>
      </c>
      <c r="D4" s="1548"/>
      <c r="E4" s="1549" t="s">
        <v>60</v>
      </c>
      <c r="F4" s="222" t="s">
        <v>187</v>
      </c>
      <c r="G4" s="1549" t="s">
        <v>61</v>
      </c>
      <c r="H4" s="222" t="s">
        <v>187</v>
      </c>
      <c r="I4" s="1549" t="s">
        <v>62</v>
      </c>
      <c r="J4" s="222" t="s">
        <v>187</v>
      </c>
      <c r="K4" s="1549" t="s">
        <v>64</v>
      </c>
      <c r="L4" s="222" t="s">
        <v>187</v>
      </c>
      <c r="M4" s="1539" t="s">
        <v>798</v>
      </c>
      <c r="N4" s="1539" t="s">
        <v>807</v>
      </c>
      <c r="O4" s="1541" t="s">
        <v>190</v>
      </c>
    </row>
    <row r="5" spans="1:17" s="82" customFormat="1" ht="44.25" customHeight="1" x14ac:dyDescent="0.2">
      <c r="A5" s="237" t="s">
        <v>78</v>
      </c>
      <c r="B5" s="239" t="s">
        <v>81</v>
      </c>
      <c r="C5" s="239" t="s">
        <v>78</v>
      </c>
      <c r="D5" s="239" t="s">
        <v>81</v>
      </c>
      <c r="E5" s="1549"/>
      <c r="F5" s="224" t="s">
        <v>59</v>
      </c>
      <c r="G5" s="1549"/>
      <c r="H5" s="224" t="s">
        <v>59</v>
      </c>
      <c r="I5" s="1549"/>
      <c r="J5" s="224" t="s">
        <v>59</v>
      </c>
      <c r="K5" s="1549"/>
      <c r="L5" s="224" t="s">
        <v>63</v>
      </c>
      <c r="M5" s="1539"/>
      <c r="N5" s="1539"/>
      <c r="O5" s="1541"/>
    </row>
    <row r="6" spans="1:17" s="116" customFormat="1" ht="12" customHeight="1" x14ac:dyDescent="0.2">
      <c r="A6" s="227">
        <v>1</v>
      </c>
      <c r="B6" s="228">
        <v>2</v>
      </c>
      <c r="C6" s="228">
        <v>3</v>
      </c>
      <c r="D6" s="228">
        <v>4</v>
      </c>
      <c r="E6" s="229">
        <v>5</v>
      </c>
      <c r="F6" s="230">
        <v>6</v>
      </c>
      <c r="G6" s="231">
        <v>7</v>
      </c>
      <c r="H6" s="230">
        <v>8</v>
      </c>
      <c r="I6" s="231">
        <v>9</v>
      </c>
      <c r="J6" s="230">
        <v>10</v>
      </c>
      <c r="K6" s="231">
        <v>11</v>
      </c>
      <c r="L6" s="230">
        <v>12</v>
      </c>
      <c r="M6" s="419">
        <v>13</v>
      </c>
      <c r="N6" s="419">
        <v>14</v>
      </c>
      <c r="O6" s="232">
        <v>15</v>
      </c>
    </row>
    <row r="7" spans="1:17" s="116" customFormat="1" ht="396" x14ac:dyDescent="0.2">
      <c r="A7" s="1555" t="s">
        <v>191</v>
      </c>
      <c r="B7" s="1554" t="s">
        <v>192</v>
      </c>
      <c r="C7" s="241">
        <v>16030301</v>
      </c>
      <c r="D7" s="276" t="s">
        <v>487</v>
      </c>
      <c r="E7" s="267">
        <v>1189.3</v>
      </c>
      <c r="F7" s="279">
        <v>1189.3</v>
      </c>
      <c r="G7" s="267">
        <v>573.70000000000005</v>
      </c>
      <c r="H7" s="279">
        <v>573.70000000000005</v>
      </c>
      <c r="I7" s="267">
        <v>576.1</v>
      </c>
      <c r="J7" s="279">
        <v>576.1</v>
      </c>
      <c r="K7" s="267">
        <v>576.1</v>
      </c>
      <c r="L7" s="279">
        <v>576.1</v>
      </c>
      <c r="M7" s="420">
        <f>+K7-I7</f>
        <v>0</v>
      </c>
      <c r="N7" s="420">
        <f>+K7-E7</f>
        <v>-613.19999999999993</v>
      </c>
      <c r="O7" s="169" t="s">
        <v>685</v>
      </c>
      <c r="Q7" s="215"/>
    </row>
    <row r="8" spans="1:17" s="116" customFormat="1" ht="48" x14ac:dyDescent="0.2">
      <c r="A8" s="1555"/>
      <c r="B8" s="1554"/>
      <c r="C8" s="241">
        <v>16030306</v>
      </c>
      <c r="D8" s="276" t="s">
        <v>488</v>
      </c>
      <c r="E8" s="267">
        <v>51</v>
      </c>
      <c r="F8" s="279">
        <v>51</v>
      </c>
      <c r="G8" s="267">
        <v>51</v>
      </c>
      <c r="H8" s="279">
        <v>51</v>
      </c>
      <c r="I8" s="267">
        <v>40</v>
      </c>
      <c r="J8" s="279">
        <v>40</v>
      </c>
      <c r="K8" s="267">
        <v>40</v>
      </c>
      <c r="L8" s="279">
        <v>40</v>
      </c>
      <c r="M8" s="420">
        <f>+K8-I8</f>
        <v>0</v>
      </c>
      <c r="N8" s="420">
        <f t="shared" ref="N8:N16" si="0">+K8-E8</f>
        <v>-11</v>
      </c>
      <c r="O8" s="169" t="s">
        <v>489</v>
      </c>
      <c r="Q8" s="215"/>
    </row>
    <row r="9" spans="1:17" s="116" customFormat="1" ht="84" x14ac:dyDescent="0.2">
      <c r="A9" s="1555"/>
      <c r="B9" s="1554"/>
      <c r="C9" s="241">
        <v>16030303</v>
      </c>
      <c r="D9" s="276" t="s">
        <v>490</v>
      </c>
      <c r="E9" s="267">
        <v>200</v>
      </c>
      <c r="F9" s="279">
        <v>200</v>
      </c>
      <c r="G9" s="267"/>
      <c r="H9" s="279"/>
      <c r="I9" s="267">
        <v>293.89999999999998</v>
      </c>
      <c r="J9" s="279">
        <v>293.89999999999998</v>
      </c>
      <c r="K9" s="267">
        <v>293.89999999999998</v>
      </c>
      <c r="L9" s="279">
        <v>293.89999999999998</v>
      </c>
      <c r="M9" s="420">
        <f>+K9-I9</f>
        <v>0</v>
      </c>
      <c r="N9" s="420">
        <f t="shared" si="0"/>
        <v>93.899999999999977</v>
      </c>
      <c r="O9" s="169" t="s">
        <v>491</v>
      </c>
      <c r="Q9" s="215"/>
    </row>
    <row r="10" spans="1:17" s="116" customFormat="1" ht="96" x14ac:dyDescent="0.2">
      <c r="A10" s="1555"/>
      <c r="B10" s="1554"/>
      <c r="C10" s="241">
        <v>16020109</v>
      </c>
      <c r="D10" s="276" t="s">
        <v>492</v>
      </c>
      <c r="E10" s="267">
        <v>302.7</v>
      </c>
      <c r="F10" s="279">
        <v>302.7</v>
      </c>
      <c r="G10" s="267">
        <v>302.7</v>
      </c>
      <c r="H10" s="279">
        <v>302.7</v>
      </c>
      <c r="I10" s="267">
        <v>308</v>
      </c>
      <c r="J10" s="279">
        <v>308</v>
      </c>
      <c r="K10" s="267">
        <v>90</v>
      </c>
      <c r="L10" s="279">
        <v>90</v>
      </c>
      <c r="M10" s="420">
        <f>+K10-I10</f>
        <v>-218</v>
      </c>
      <c r="N10" s="420">
        <f t="shared" si="0"/>
        <v>-212.7</v>
      </c>
      <c r="O10" s="502" t="s">
        <v>813</v>
      </c>
      <c r="Q10" s="215"/>
    </row>
    <row r="11" spans="1:17" ht="12.75" x14ac:dyDescent="0.2">
      <c r="A11" s="1556" t="s">
        <v>193</v>
      </c>
      <c r="B11" s="1556"/>
      <c r="C11" s="1556"/>
      <c r="D11" s="1556"/>
      <c r="E11" s="280">
        <f t="shared" ref="E11:M11" si="1">+E7+E8+E9+E10</f>
        <v>1743</v>
      </c>
      <c r="F11" s="280">
        <f t="shared" si="1"/>
        <v>1743</v>
      </c>
      <c r="G11" s="280">
        <f t="shared" si="1"/>
        <v>927.40000000000009</v>
      </c>
      <c r="H11" s="280">
        <f t="shared" si="1"/>
        <v>927.40000000000009</v>
      </c>
      <c r="I11" s="280">
        <f t="shared" si="1"/>
        <v>1218</v>
      </c>
      <c r="J11" s="280">
        <f t="shared" si="1"/>
        <v>1218</v>
      </c>
      <c r="K11" s="280">
        <f t="shared" si="1"/>
        <v>1000</v>
      </c>
      <c r="L11" s="280">
        <f t="shared" si="1"/>
        <v>1000</v>
      </c>
      <c r="M11" s="280">
        <f t="shared" si="1"/>
        <v>-218</v>
      </c>
      <c r="N11" s="280">
        <f t="shared" si="0"/>
        <v>-743</v>
      </c>
      <c r="O11" s="117"/>
      <c r="Q11" s="215"/>
    </row>
    <row r="12" spans="1:17" s="119" customFormat="1" ht="84" x14ac:dyDescent="0.2">
      <c r="A12" s="1557">
        <v>11</v>
      </c>
      <c r="B12" s="1554" t="s">
        <v>493</v>
      </c>
      <c r="C12" s="241">
        <v>11010108</v>
      </c>
      <c r="D12" s="276" t="s">
        <v>494</v>
      </c>
      <c r="E12" s="267">
        <v>50</v>
      </c>
      <c r="F12" s="281"/>
      <c r="G12" s="267">
        <v>50</v>
      </c>
      <c r="H12" s="281"/>
      <c r="I12" s="267">
        <v>50</v>
      </c>
      <c r="J12" s="281"/>
      <c r="K12" s="267">
        <v>50</v>
      </c>
      <c r="L12" s="281"/>
      <c r="M12" s="423"/>
      <c r="N12" s="420">
        <f t="shared" si="0"/>
        <v>0</v>
      </c>
      <c r="O12" s="171" t="s">
        <v>495</v>
      </c>
      <c r="Q12" s="215"/>
    </row>
    <row r="13" spans="1:17" s="116" customFormat="1" ht="84" x14ac:dyDescent="0.2">
      <c r="A13" s="1557"/>
      <c r="B13" s="1554"/>
      <c r="C13" s="241">
        <v>11010109</v>
      </c>
      <c r="D13" s="276" t="s">
        <v>496</v>
      </c>
      <c r="E13" s="267">
        <v>50</v>
      </c>
      <c r="F13" s="279"/>
      <c r="G13" s="267">
        <v>50</v>
      </c>
      <c r="H13" s="282"/>
      <c r="I13" s="267">
        <v>72</v>
      </c>
      <c r="J13" s="279"/>
      <c r="K13" s="267">
        <f>50+22</f>
        <v>72</v>
      </c>
      <c r="L13" s="279"/>
      <c r="M13" s="420"/>
      <c r="N13" s="420">
        <f>+K13-E13</f>
        <v>22</v>
      </c>
      <c r="O13" s="171" t="s">
        <v>497</v>
      </c>
      <c r="Q13" s="215"/>
    </row>
    <row r="14" spans="1:17" ht="14.45" customHeight="1" x14ac:dyDescent="0.2">
      <c r="A14" s="1556" t="s">
        <v>194</v>
      </c>
      <c r="B14" s="1556"/>
      <c r="C14" s="1556"/>
      <c r="D14" s="1556"/>
      <c r="E14" s="280">
        <f>SUM(E12:E13)</f>
        <v>100</v>
      </c>
      <c r="F14" s="280">
        <f t="shared" ref="F14:O14" si="2">SUM(F12:F13)</f>
        <v>0</v>
      </c>
      <c r="G14" s="280">
        <f t="shared" si="2"/>
        <v>100</v>
      </c>
      <c r="H14" s="280">
        <f t="shared" si="2"/>
        <v>0</v>
      </c>
      <c r="I14" s="280">
        <f t="shared" si="2"/>
        <v>122</v>
      </c>
      <c r="J14" s="280">
        <f t="shared" si="2"/>
        <v>0</v>
      </c>
      <c r="K14" s="280">
        <f t="shared" si="2"/>
        <v>122</v>
      </c>
      <c r="L14" s="280">
        <f t="shared" si="2"/>
        <v>0</v>
      </c>
      <c r="M14" s="280">
        <f t="shared" si="2"/>
        <v>0</v>
      </c>
      <c r="N14" s="283">
        <f t="shared" si="0"/>
        <v>22</v>
      </c>
      <c r="O14" s="117">
        <f t="shared" si="2"/>
        <v>0</v>
      </c>
      <c r="Q14" s="215"/>
    </row>
    <row r="15" spans="1:17" ht="17.25" customHeight="1" x14ac:dyDescent="0.2">
      <c r="A15" s="1550" t="s">
        <v>498</v>
      </c>
      <c r="B15" s="1550"/>
      <c r="C15" s="1550"/>
      <c r="D15" s="1550"/>
      <c r="E15" s="120">
        <f t="shared" ref="E15:O15" si="3">+E14+E11</f>
        <v>1843</v>
      </c>
      <c r="F15" s="120">
        <f t="shared" si="3"/>
        <v>1743</v>
      </c>
      <c r="G15" s="120">
        <f t="shared" si="3"/>
        <v>1027.4000000000001</v>
      </c>
      <c r="H15" s="120">
        <f t="shared" si="3"/>
        <v>927.40000000000009</v>
      </c>
      <c r="I15" s="120">
        <f t="shared" si="3"/>
        <v>1340</v>
      </c>
      <c r="J15" s="120">
        <f t="shared" si="3"/>
        <v>1218</v>
      </c>
      <c r="K15" s="120">
        <f t="shared" si="3"/>
        <v>1122</v>
      </c>
      <c r="L15" s="120">
        <f t="shared" si="3"/>
        <v>1000</v>
      </c>
      <c r="M15" s="120">
        <f t="shared" si="3"/>
        <v>-218</v>
      </c>
      <c r="N15" s="120">
        <f t="shared" si="0"/>
        <v>-721</v>
      </c>
      <c r="O15" s="120">
        <f t="shared" si="3"/>
        <v>0</v>
      </c>
      <c r="Q15" s="215"/>
    </row>
    <row r="16" spans="1:17" s="82" customFormat="1" ht="12.75" x14ac:dyDescent="0.2">
      <c r="A16" s="1545" t="s">
        <v>457</v>
      </c>
      <c r="B16" s="1545"/>
      <c r="C16" s="1545"/>
      <c r="D16" s="1545"/>
      <c r="E16" s="153"/>
      <c r="F16" s="153"/>
      <c r="G16" s="153"/>
      <c r="H16" s="153"/>
      <c r="I16" s="153"/>
      <c r="J16" s="154"/>
      <c r="K16" s="155"/>
      <c r="L16" s="155"/>
      <c r="M16" s="156"/>
      <c r="N16" s="157">
        <f t="shared" si="0"/>
        <v>0</v>
      </c>
      <c r="O16" s="90"/>
      <c r="P16" s="88"/>
      <c r="Q16" s="215"/>
    </row>
    <row r="17" spans="2:17" ht="12.75" x14ac:dyDescent="0.2">
      <c r="Q17" s="215"/>
    </row>
    <row r="18" spans="2:17" s="82" customFormat="1" ht="12.75" x14ac:dyDescent="0.2">
      <c r="B18" s="1540" t="s">
        <v>128</v>
      </c>
      <c r="C18" s="1540"/>
      <c r="D18" s="1540"/>
      <c r="E18" s="94"/>
      <c r="F18" s="95"/>
      <c r="G18" s="95"/>
      <c r="H18" s="95"/>
      <c r="I18" s="95"/>
      <c r="J18" s="95"/>
      <c r="K18" s="94"/>
      <c r="L18" s="95"/>
      <c r="M18" s="94"/>
      <c r="N18" s="94"/>
      <c r="P18" s="88"/>
    </row>
  </sheetData>
  <mergeCells count="20">
    <mergeCell ref="A14:D14"/>
    <mergeCell ref="A15:D15"/>
    <mergeCell ref="B18:D18"/>
    <mergeCell ref="A16:D16"/>
    <mergeCell ref="M4:M5"/>
    <mergeCell ref="A7:A10"/>
    <mergeCell ref="B7:B10"/>
    <mergeCell ref="A11:D11"/>
    <mergeCell ref="B12:B13"/>
    <mergeCell ref="A12:A13"/>
    <mergeCell ref="B2:O2"/>
    <mergeCell ref="D3:F3"/>
    <mergeCell ref="A4:B4"/>
    <mergeCell ref="C4:D4"/>
    <mergeCell ref="E4:E5"/>
    <mergeCell ref="G4:G5"/>
    <mergeCell ref="I4:I5"/>
    <mergeCell ref="K4:K5"/>
    <mergeCell ref="O4:O5"/>
    <mergeCell ref="N4:N5"/>
  </mergeCells>
  <pageMargins left="0.11811023622047245" right="0.11811023622047245" top="0.59055118110236227" bottom="0.31496062992125984" header="0" footer="0"/>
  <pageSetup paperSize="9" scale="68" fitToHeight="0" orientation="landscape" r:id="rId1"/>
  <headerFooter alignWithMargins="0">
    <oddFooter>&amp;C&amp;P</oddFooter>
  </headerFooter>
  <ignoredErrors>
    <ignoredError sqref="A7" numberStoredAsText="1"/>
  </ignoredErrors>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6"/>
  <sheetViews>
    <sheetView showZeros="0" zoomScaleNormal="100" zoomScaleSheetLayoutView="70" workbookViewId="0">
      <pane xSplit="2" ySplit="7" topLeftCell="C8" activePane="bottomRight" state="frozen"/>
      <selection pane="topRight" activeCell="D1" sqref="D1"/>
      <selection pane="bottomLeft" activeCell="A7" sqref="A7"/>
      <selection pane="bottomRight" activeCell="O1" sqref="O1"/>
    </sheetView>
  </sheetViews>
  <sheetFormatPr defaultColWidth="8.85546875" defaultRowHeight="10.5" x14ac:dyDescent="0.2"/>
  <cols>
    <col min="1" max="1" width="3.28515625" style="130" customWidth="1"/>
    <col min="2" max="2" width="11" style="130" customWidth="1"/>
    <col min="3" max="3" width="10.5703125" style="130" customWidth="1"/>
    <col min="4" max="4" width="36.28515625" style="130" customWidth="1"/>
    <col min="5" max="14" width="9.7109375" style="130" customWidth="1"/>
    <col min="15" max="15" width="45" style="130" customWidth="1"/>
    <col min="16" max="233" width="8.85546875" style="130"/>
    <col min="234" max="234" width="3.42578125" style="130" customWidth="1"/>
    <col min="235" max="235" width="4.85546875" style="130" customWidth="1"/>
    <col min="236" max="236" width="0.140625" style="130" customWidth="1"/>
    <col min="237" max="237" width="11" style="130" customWidth="1"/>
    <col min="238" max="238" width="18.7109375" style="130" customWidth="1"/>
    <col min="239" max="239" width="9.42578125" style="130" customWidth="1"/>
    <col min="240" max="240" width="0" style="130" hidden="1" customWidth="1"/>
    <col min="241" max="241" width="9.28515625" style="130" customWidth="1"/>
    <col min="242" max="245" width="0" style="130" hidden="1" customWidth="1"/>
    <col min="246" max="246" width="9.28515625" style="130" customWidth="1"/>
    <col min="247" max="247" width="0" style="130" hidden="1" customWidth="1"/>
    <col min="248" max="248" width="8.140625" style="130" customWidth="1"/>
    <col min="249" max="252" width="0" style="130" hidden="1" customWidth="1"/>
    <col min="253" max="253" width="9.42578125" style="130" customWidth="1"/>
    <col min="254" max="254" width="0" style="130" hidden="1" customWidth="1"/>
    <col min="255" max="255" width="7.7109375" style="130" customWidth="1"/>
    <col min="256" max="259" width="0" style="130" hidden="1" customWidth="1"/>
    <col min="260" max="260" width="7.28515625" style="130" customWidth="1"/>
    <col min="261" max="261" width="0" style="130" hidden="1" customWidth="1"/>
    <col min="262" max="262" width="8.5703125" style="130" customWidth="1"/>
    <col min="263" max="265" width="0" style="130" hidden="1" customWidth="1"/>
    <col min="266" max="266" width="8" style="130" customWidth="1"/>
    <col min="267" max="267" width="41.5703125" style="130" customWidth="1"/>
    <col min="268" max="489" width="8.85546875" style="130"/>
    <col min="490" max="490" width="3.42578125" style="130" customWidth="1"/>
    <col min="491" max="491" width="4.85546875" style="130" customWidth="1"/>
    <col min="492" max="492" width="0.140625" style="130" customWidth="1"/>
    <col min="493" max="493" width="11" style="130" customWidth="1"/>
    <col min="494" max="494" width="18.7109375" style="130" customWidth="1"/>
    <col min="495" max="495" width="9.42578125" style="130" customWidth="1"/>
    <col min="496" max="496" width="0" style="130" hidden="1" customWidth="1"/>
    <col min="497" max="497" width="9.28515625" style="130" customWidth="1"/>
    <col min="498" max="501" width="0" style="130" hidden="1" customWidth="1"/>
    <col min="502" max="502" width="9.28515625" style="130" customWidth="1"/>
    <col min="503" max="503" width="0" style="130" hidden="1" customWidth="1"/>
    <col min="504" max="504" width="8.140625" style="130" customWidth="1"/>
    <col min="505" max="508" width="0" style="130" hidden="1" customWidth="1"/>
    <col min="509" max="509" width="9.42578125" style="130" customWidth="1"/>
    <col min="510" max="510" width="0" style="130" hidden="1" customWidth="1"/>
    <col min="511" max="511" width="7.7109375" style="130" customWidth="1"/>
    <col min="512" max="515" width="0" style="130" hidden="1" customWidth="1"/>
    <col min="516" max="516" width="7.28515625" style="130" customWidth="1"/>
    <col min="517" max="517" width="0" style="130" hidden="1" customWidth="1"/>
    <col min="518" max="518" width="8.5703125" style="130" customWidth="1"/>
    <col min="519" max="521" width="0" style="130" hidden="1" customWidth="1"/>
    <col min="522" max="522" width="8" style="130" customWidth="1"/>
    <col min="523" max="523" width="41.5703125" style="130" customWidth="1"/>
    <col min="524" max="745" width="8.85546875" style="130"/>
    <col min="746" max="746" width="3.42578125" style="130" customWidth="1"/>
    <col min="747" max="747" width="4.85546875" style="130" customWidth="1"/>
    <col min="748" max="748" width="0.140625" style="130" customWidth="1"/>
    <col min="749" max="749" width="11" style="130" customWidth="1"/>
    <col min="750" max="750" width="18.7109375" style="130" customWidth="1"/>
    <col min="751" max="751" width="9.42578125" style="130" customWidth="1"/>
    <col min="752" max="752" width="0" style="130" hidden="1" customWidth="1"/>
    <col min="753" max="753" width="9.28515625" style="130" customWidth="1"/>
    <col min="754" max="757" width="0" style="130" hidden="1" customWidth="1"/>
    <col min="758" max="758" width="9.28515625" style="130" customWidth="1"/>
    <col min="759" max="759" width="0" style="130" hidden="1" customWidth="1"/>
    <col min="760" max="760" width="8.140625" style="130" customWidth="1"/>
    <col min="761" max="764" width="0" style="130" hidden="1" customWidth="1"/>
    <col min="765" max="765" width="9.42578125" style="130" customWidth="1"/>
    <col min="766" max="766" width="0" style="130" hidden="1" customWidth="1"/>
    <col min="767" max="767" width="7.7109375" style="130" customWidth="1"/>
    <col min="768" max="771" width="0" style="130" hidden="1" customWidth="1"/>
    <col min="772" max="772" width="7.28515625" style="130" customWidth="1"/>
    <col min="773" max="773" width="0" style="130" hidden="1" customWidth="1"/>
    <col min="774" max="774" width="8.5703125" style="130" customWidth="1"/>
    <col min="775" max="777" width="0" style="130" hidden="1" customWidth="1"/>
    <col min="778" max="778" width="8" style="130" customWidth="1"/>
    <col min="779" max="779" width="41.5703125" style="130" customWidth="1"/>
    <col min="780" max="1001" width="8.85546875" style="130"/>
    <col min="1002" max="1002" width="3.42578125" style="130" customWidth="1"/>
    <col min="1003" max="1003" width="4.85546875" style="130" customWidth="1"/>
    <col min="1004" max="1004" width="0.140625" style="130" customWidth="1"/>
    <col min="1005" max="1005" width="11" style="130" customWidth="1"/>
    <col min="1006" max="1006" width="18.7109375" style="130" customWidth="1"/>
    <col min="1007" max="1007" width="9.42578125" style="130" customWidth="1"/>
    <col min="1008" max="1008" width="0" style="130" hidden="1" customWidth="1"/>
    <col min="1009" max="1009" width="9.28515625" style="130" customWidth="1"/>
    <col min="1010" max="1013" width="0" style="130" hidden="1" customWidth="1"/>
    <col min="1014" max="1014" width="9.28515625" style="130" customWidth="1"/>
    <col min="1015" max="1015" width="0" style="130" hidden="1" customWidth="1"/>
    <col min="1016" max="1016" width="8.140625" style="130" customWidth="1"/>
    <col min="1017" max="1020" width="0" style="130" hidden="1" customWidth="1"/>
    <col min="1021" max="1021" width="9.42578125" style="130" customWidth="1"/>
    <col min="1022" max="1022" width="0" style="130" hidden="1" customWidth="1"/>
    <col min="1023" max="1023" width="7.7109375" style="130" customWidth="1"/>
    <col min="1024" max="1027" width="0" style="130" hidden="1" customWidth="1"/>
    <col min="1028" max="1028" width="7.28515625" style="130" customWidth="1"/>
    <col min="1029" max="1029" width="0" style="130" hidden="1" customWidth="1"/>
    <col min="1030" max="1030" width="8.5703125" style="130" customWidth="1"/>
    <col min="1031" max="1033" width="0" style="130" hidden="1" customWidth="1"/>
    <col min="1034" max="1034" width="8" style="130" customWidth="1"/>
    <col min="1035" max="1035" width="41.5703125" style="130" customWidth="1"/>
    <col min="1036" max="1257" width="8.85546875" style="130"/>
    <col min="1258" max="1258" width="3.42578125" style="130" customWidth="1"/>
    <col min="1259" max="1259" width="4.85546875" style="130" customWidth="1"/>
    <col min="1260" max="1260" width="0.140625" style="130" customWidth="1"/>
    <col min="1261" max="1261" width="11" style="130" customWidth="1"/>
    <col min="1262" max="1262" width="18.7109375" style="130" customWidth="1"/>
    <col min="1263" max="1263" width="9.42578125" style="130" customWidth="1"/>
    <col min="1264" max="1264" width="0" style="130" hidden="1" customWidth="1"/>
    <col min="1265" max="1265" width="9.28515625" style="130" customWidth="1"/>
    <col min="1266" max="1269" width="0" style="130" hidden="1" customWidth="1"/>
    <col min="1270" max="1270" width="9.28515625" style="130" customWidth="1"/>
    <col min="1271" max="1271" width="0" style="130" hidden="1" customWidth="1"/>
    <col min="1272" max="1272" width="8.140625" style="130" customWidth="1"/>
    <col min="1273" max="1276" width="0" style="130" hidden="1" customWidth="1"/>
    <col min="1277" max="1277" width="9.42578125" style="130" customWidth="1"/>
    <col min="1278" max="1278" width="0" style="130" hidden="1" customWidth="1"/>
    <col min="1279" max="1279" width="7.7109375" style="130" customWidth="1"/>
    <col min="1280" max="1283" width="0" style="130" hidden="1" customWidth="1"/>
    <col min="1284" max="1284" width="7.28515625" style="130" customWidth="1"/>
    <col min="1285" max="1285" width="0" style="130" hidden="1" customWidth="1"/>
    <col min="1286" max="1286" width="8.5703125" style="130" customWidth="1"/>
    <col min="1287" max="1289" width="0" style="130" hidden="1" customWidth="1"/>
    <col min="1290" max="1290" width="8" style="130" customWidth="1"/>
    <col min="1291" max="1291" width="41.5703125" style="130" customWidth="1"/>
    <col min="1292" max="1513" width="8.85546875" style="130"/>
    <col min="1514" max="1514" width="3.42578125" style="130" customWidth="1"/>
    <col min="1515" max="1515" width="4.85546875" style="130" customWidth="1"/>
    <col min="1516" max="1516" width="0.140625" style="130" customWidth="1"/>
    <col min="1517" max="1517" width="11" style="130" customWidth="1"/>
    <col min="1518" max="1518" width="18.7109375" style="130" customWidth="1"/>
    <col min="1519" max="1519" width="9.42578125" style="130" customWidth="1"/>
    <col min="1520" max="1520" width="0" style="130" hidden="1" customWidth="1"/>
    <col min="1521" max="1521" width="9.28515625" style="130" customWidth="1"/>
    <col min="1522" max="1525" width="0" style="130" hidden="1" customWidth="1"/>
    <col min="1526" max="1526" width="9.28515625" style="130" customWidth="1"/>
    <col min="1527" max="1527" width="0" style="130" hidden="1" customWidth="1"/>
    <col min="1528" max="1528" width="8.140625" style="130" customWidth="1"/>
    <col min="1529" max="1532" width="0" style="130" hidden="1" customWidth="1"/>
    <col min="1533" max="1533" width="9.42578125" style="130" customWidth="1"/>
    <col min="1534" max="1534" width="0" style="130" hidden="1" customWidth="1"/>
    <col min="1535" max="1535" width="7.7109375" style="130" customWidth="1"/>
    <col min="1536" max="1539" width="0" style="130" hidden="1" customWidth="1"/>
    <col min="1540" max="1540" width="7.28515625" style="130" customWidth="1"/>
    <col min="1541" max="1541" width="0" style="130" hidden="1" customWidth="1"/>
    <col min="1542" max="1542" width="8.5703125" style="130" customWidth="1"/>
    <col min="1543" max="1545" width="0" style="130" hidden="1" customWidth="1"/>
    <col min="1546" max="1546" width="8" style="130" customWidth="1"/>
    <col min="1547" max="1547" width="41.5703125" style="130" customWidth="1"/>
    <col min="1548" max="1769" width="8.85546875" style="130"/>
    <col min="1770" max="1770" width="3.42578125" style="130" customWidth="1"/>
    <col min="1771" max="1771" width="4.85546875" style="130" customWidth="1"/>
    <col min="1772" max="1772" width="0.140625" style="130" customWidth="1"/>
    <col min="1773" max="1773" width="11" style="130" customWidth="1"/>
    <col min="1774" max="1774" width="18.7109375" style="130" customWidth="1"/>
    <col min="1775" max="1775" width="9.42578125" style="130" customWidth="1"/>
    <col min="1776" max="1776" width="0" style="130" hidden="1" customWidth="1"/>
    <col min="1777" max="1777" width="9.28515625" style="130" customWidth="1"/>
    <col min="1778" max="1781" width="0" style="130" hidden="1" customWidth="1"/>
    <col min="1782" max="1782" width="9.28515625" style="130" customWidth="1"/>
    <col min="1783" max="1783" width="0" style="130" hidden="1" customWidth="1"/>
    <col min="1784" max="1784" width="8.140625" style="130" customWidth="1"/>
    <col min="1785" max="1788" width="0" style="130" hidden="1" customWidth="1"/>
    <col min="1789" max="1789" width="9.42578125" style="130" customWidth="1"/>
    <col min="1790" max="1790" width="0" style="130" hidden="1" customWidth="1"/>
    <col min="1791" max="1791" width="7.7109375" style="130" customWidth="1"/>
    <col min="1792" max="1795" width="0" style="130" hidden="1" customWidth="1"/>
    <col min="1796" max="1796" width="7.28515625" style="130" customWidth="1"/>
    <col min="1797" max="1797" width="0" style="130" hidden="1" customWidth="1"/>
    <col min="1798" max="1798" width="8.5703125" style="130" customWidth="1"/>
    <col min="1799" max="1801" width="0" style="130" hidden="1" customWidth="1"/>
    <col min="1802" max="1802" width="8" style="130" customWidth="1"/>
    <col min="1803" max="1803" width="41.5703125" style="130" customWidth="1"/>
    <col min="1804" max="2025" width="8.85546875" style="130"/>
    <col min="2026" max="2026" width="3.42578125" style="130" customWidth="1"/>
    <col min="2027" max="2027" width="4.85546875" style="130" customWidth="1"/>
    <col min="2028" max="2028" width="0.140625" style="130" customWidth="1"/>
    <col min="2029" max="2029" width="11" style="130" customWidth="1"/>
    <col min="2030" max="2030" width="18.7109375" style="130" customWidth="1"/>
    <col min="2031" max="2031" width="9.42578125" style="130" customWidth="1"/>
    <col min="2032" max="2032" width="0" style="130" hidden="1" customWidth="1"/>
    <col min="2033" max="2033" width="9.28515625" style="130" customWidth="1"/>
    <col min="2034" max="2037" width="0" style="130" hidden="1" customWidth="1"/>
    <col min="2038" max="2038" width="9.28515625" style="130" customWidth="1"/>
    <col min="2039" max="2039" width="0" style="130" hidden="1" customWidth="1"/>
    <col min="2040" max="2040" width="8.140625" style="130" customWidth="1"/>
    <col min="2041" max="2044" width="0" style="130" hidden="1" customWidth="1"/>
    <col min="2045" max="2045" width="9.42578125" style="130" customWidth="1"/>
    <col min="2046" max="2046" width="0" style="130" hidden="1" customWidth="1"/>
    <col min="2047" max="2047" width="7.7109375" style="130" customWidth="1"/>
    <col min="2048" max="2051" width="0" style="130" hidden="1" customWidth="1"/>
    <col min="2052" max="2052" width="7.28515625" style="130" customWidth="1"/>
    <col min="2053" max="2053" width="0" style="130" hidden="1" customWidth="1"/>
    <col min="2054" max="2054" width="8.5703125" style="130" customWidth="1"/>
    <col min="2055" max="2057" width="0" style="130" hidden="1" customWidth="1"/>
    <col min="2058" max="2058" width="8" style="130" customWidth="1"/>
    <col min="2059" max="2059" width="41.5703125" style="130" customWidth="1"/>
    <col min="2060" max="2281" width="8.85546875" style="130"/>
    <col min="2282" max="2282" width="3.42578125" style="130" customWidth="1"/>
    <col min="2283" max="2283" width="4.85546875" style="130" customWidth="1"/>
    <col min="2284" max="2284" width="0.140625" style="130" customWidth="1"/>
    <col min="2285" max="2285" width="11" style="130" customWidth="1"/>
    <col min="2286" max="2286" width="18.7109375" style="130" customWidth="1"/>
    <col min="2287" max="2287" width="9.42578125" style="130" customWidth="1"/>
    <col min="2288" max="2288" width="0" style="130" hidden="1" customWidth="1"/>
    <col min="2289" max="2289" width="9.28515625" style="130" customWidth="1"/>
    <col min="2290" max="2293" width="0" style="130" hidden="1" customWidth="1"/>
    <col min="2294" max="2294" width="9.28515625" style="130" customWidth="1"/>
    <col min="2295" max="2295" width="0" style="130" hidden="1" customWidth="1"/>
    <col min="2296" max="2296" width="8.140625" style="130" customWidth="1"/>
    <col min="2297" max="2300" width="0" style="130" hidden="1" customWidth="1"/>
    <col min="2301" max="2301" width="9.42578125" style="130" customWidth="1"/>
    <col min="2302" max="2302" width="0" style="130" hidden="1" customWidth="1"/>
    <col min="2303" max="2303" width="7.7109375" style="130" customWidth="1"/>
    <col min="2304" max="2307" width="0" style="130" hidden="1" customWidth="1"/>
    <col min="2308" max="2308" width="7.28515625" style="130" customWidth="1"/>
    <col min="2309" max="2309" width="0" style="130" hidden="1" customWidth="1"/>
    <col min="2310" max="2310" width="8.5703125" style="130" customWidth="1"/>
    <col min="2311" max="2313" width="0" style="130" hidden="1" customWidth="1"/>
    <col min="2314" max="2314" width="8" style="130" customWidth="1"/>
    <col min="2315" max="2315" width="41.5703125" style="130" customWidth="1"/>
    <col min="2316" max="2537" width="8.85546875" style="130"/>
    <col min="2538" max="2538" width="3.42578125" style="130" customWidth="1"/>
    <col min="2539" max="2539" width="4.85546875" style="130" customWidth="1"/>
    <col min="2540" max="2540" width="0.140625" style="130" customWidth="1"/>
    <col min="2541" max="2541" width="11" style="130" customWidth="1"/>
    <col min="2542" max="2542" width="18.7109375" style="130" customWidth="1"/>
    <col min="2543" max="2543" width="9.42578125" style="130" customWidth="1"/>
    <col min="2544" max="2544" width="0" style="130" hidden="1" customWidth="1"/>
    <col min="2545" max="2545" width="9.28515625" style="130" customWidth="1"/>
    <col min="2546" max="2549" width="0" style="130" hidden="1" customWidth="1"/>
    <col min="2550" max="2550" width="9.28515625" style="130" customWidth="1"/>
    <col min="2551" max="2551" width="0" style="130" hidden="1" customWidth="1"/>
    <col min="2552" max="2552" width="8.140625" style="130" customWidth="1"/>
    <col min="2553" max="2556" width="0" style="130" hidden="1" customWidth="1"/>
    <col min="2557" max="2557" width="9.42578125" style="130" customWidth="1"/>
    <col min="2558" max="2558" width="0" style="130" hidden="1" customWidth="1"/>
    <col min="2559" max="2559" width="7.7109375" style="130" customWidth="1"/>
    <col min="2560" max="2563" width="0" style="130" hidden="1" customWidth="1"/>
    <col min="2564" max="2564" width="7.28515625" style="130" customWidth="1"/>
    <col min="2565" max="2565" width="0" style="130" hidden="1" customWidth="1"/>
    <col min="2566" max="2566" width="8.5703125" style="130" customWidth="1"/>
    <col min="2567" max="2569" width="0" style="130" hidden="1" customWidth="1"/>
    <col min="2570" max="2570" width="8" style="130" customWidth="1"/>
    <col min="2571" max="2571" width="41.5703125" style="130" customWidth="1"/>
    <col min="2572" max="2793" width="8.85546875" style="130"/>
    <col min="2794" max="2794" width="3.42578125" style="130" customWidth="1"/>
    <col min="2795" max="2795" width="4.85546875" style="130" customWidth="1"/>
    <col min="2796" max="2796" width="0.140625" style="130" customWidth="1"/>
    <col min="2797" max="2797" width="11" style="130" customWidth="1"/>
    <col min="2798" max="2798" width="18.7109375" style="130" customWidth="1"/>
    <col min="2799" max="2799" width="9.42578125" style="130" customWidth="1"/>
    <col min="2800" max="2800" width="0" style="130" hidden="1" customWidth="1"/>
    <col min="2801" max="2801" width="9.28515625" style="130" customWidth="1"/>
    <col min="2802" max="2805" width="0" style="130" hidden="1" customWidth="1"/>
    <col min="2806" max="2806" width="9.28515625" style="130" customWidth="1"/>
    <col min="2807" max="2807" width="0" style="130" hidden="1" customWidth="1"/>
    <col min="2808" max="2808" width="8.140625" style="130" customWidth="1"/>
    <col min="2809" max="2812" width="0" style="130" hidden="1" customWidth="1"/>
    <col min="2813" max="2813" width="9.42578125" style="130" customWidth="1"/>
    <col min="2814" max="2814" width="0" style="130" hidden="1" customWidth="1"/>
    <col min="2815" max="2815" width="7.7109375" style="130" customWidth="1"/>
    <col min="2816" max="2819" width="0" style="130" hidden="1" customWidth="1"/>
    <col min="2820" max="2820" width="7.28515625" style="130" customWidth="1"/>
    <col min="2821" max="2821" width="0" style="130" hidden="1" customWidth="1"/>
    <col min="2822" max="2822" width="8.5703125" style="130" customWidth="1"/>
    <col min="2823" max="2825" width="0" style="130" hidden="1" customWidth="1"/>
    <col min="2826" max="2826" width="8" style="130" customWidth="1"/>
    <col min="2827" max="2827" width="41.5703125" style="130" customWidth="1"/>
    <col min="2828" max="3049" width="8.85546875" style="130"/>
    <col min="3050" max="3050" width="3.42578125" style="130" customWidth="1"/>
    <col min="3051" max="3051" width="4.85546875" style="130" customWidth="1"/>
    <col min="3052" max="3052" width="0.140625" style="130" customWidth="1"/>
    <col min="3053" max="3053" width="11" style="130" customWidth="1"/>
    <col min="3054" max="3054" width="18.7109375" style="130" customWidth="1"/>
    <col min="3055" max="3055" width="9.42578125" style="130" customWidth="1"/>
    <col min="3056" max="3056" width="0" style="130" hidden="1" customWidth="1"/>
    <col min="3057" max="3057" width="9.28515625" style="130" customWidth="1"/>
    <col min="3058" max="3061" width="0" style="130" hidden="1" customWidth="1"/>
    <col min="3062" max="3062" width="9.28515625" style="130" customWidth="1"/>
    <col min="3063" max="3063" width="0" style="130" hidden="1" customWidth="1"/>
    <col min="3064" max="3064" width="8.140625" style="130" customWidth="1"/>
    <col min="3065" max="3068" width="0" style="130" hidden="1" customWidth="1"/>
    <col min="3069" max="3069" width="9.42578125" style="130" customWidth="1"/>
    <col min="3070" max="3070" width="0" style="130" hidden="1" customWidth="1"/>
    <col min="3071" max="3071" width="7.7109375" style="130" customWidth="1"/>
    <col min="3072" max="3075" width="0" style="130" hidden="1" customWidth="1"/>
    <col min="3076" max="3076" width="7.28515625" style="130" customWidth="1"/>
    <col min="3077" max="3077" width="0" style="130" hidden="1" customWidth="1"/>
    <col min="3078" max="3078" width="8.5703125" style="130" customWidth="1"/>
    <col min="3079" max="3081" width="0" style="130" hidden="1" customWidth="1"/>
    <col min="3082" max="3082" width="8" style="130" customWidth="1"/>
    <col min="3083" max="3083" width="41.5703125" style="130" customWidth="1"/>
    <col min="3084" max="3305" width="8.85546875" style="130"/>
    <col min="3306" max="3306" width="3.42578125" style="130" customWidth="1"/>
    <col min="3307" max="3307" width="4.85546875" style="130" customWidth="1"/>
    <col min="3308" max="3308" width="0.140625" style="130" customWidth="1"/>
    <col min="3309" max="3309" width="11" style="130" customWidth="1"/>
    <col min="3310" max="3310" width="18.7109375" style="130" customWidth="1"/>
    <col min="3311" max="3311" width="9.42578125" style="130" customWidth="1"/>
    <col min="3312" max="3312" width="0" style="130" hidden="1" customWidth="1"/>
    <col min="3313" max="3313" width="9.28515625" style="130" customWidth="1"/>
    <col min="3314" max="3317" width="0" style="130" hidden="1" customWidth="1"/>
    <col min="3318" max="3318" width="9.28515625" style="130" customWidth="1"/>
    <col min="3319" max="3319" width="0" style="130" hidden="1" customWidth="1"/>
    <col min="3320" max="3320" width="8.140625" style="130" customWidth="1"/>
    <col min="3321" max="3324" width="0" style="130" hidden="1" customWidth="1"/>
    <col min="3325" max="3325" width="9.42578125" style="130" customWidth="1"/>
    <col min="3326" max="3326" width="0" style="130" hidden="1" customWidth="1"/>
    <col min="3327" max="3327" width="7.7109375" style="130" customWidth="1"/>
    <col min="3328" max="3331" width="0" style="130" hidden="1" customWidth="1"/>
    <col min="3332" max="3332" width="7.28515625" style="130" customWidth="1"/>
    <col min="3333" max="3333" width="0" style="130" hidden="1" customWidth="1"/>
    <col min="3334" max="3334" width="8.5703125" style="130" customWidth="1"/>
    <col min="3335" max="3337" width="0" style="130" hidden="1" customWidth="1"/>
    <col min="3338" max="3338" width="8" style="130" customWidth="1"/>
    <col min="3339" max="3339" width="41.5703125" style="130" customWidth="1"/>
    <col min="3340" max="3561" width="8.85546875" style="130"/>
    <col min="3562" max="3562" width="3.42578125" style="130" customWidth="1"/>
    <col min="3563" max="3563" width="4.85546875" style="130" customWidth="1"/>
    <col min="3564" max="3564" width="0.140625" style="130" customWidth="1"/>
    <col min="3565" max="3565" width="11" style="130" customWidth="1"/>
    <col min="3566" max="3566" width="18.7109375" style="130" customWidth="1"/>
    <col min="3567" max="3567" width="9.42578125" style="130" customWidth="1"/>
    <col min="3568" max="3568" width="0" style="130" hidden="1" customWidth="1"/>
    <col min="3569" max="3569" width="9.28515625" style="130" customWidth="1"/>
    <col min="3570" max="3573" width="0" style="130" hidden="1" customWidth="1"/>
    <col min="3574" max="3574" width="9.28515625" style="130" customWidth="1"/>
    <col min="3575" max="3575" width="0" style="130" hidden="1" customWidth="1"/>
    <col min="3576" max="3576" width="8.140625" style="130" customWidth="1"/>
    <col min="3577" max="3580" width="0" style="130" hidden="1" customWidth="1"/>
    <col min="3581" max="3581" width="9.42578125" style="130" customWidth="1"/>
    <col min="3582" max="3582" width="0" style="130" hidden="1" customWidth="1"/>
    <col min="3583" max="3583" width="7.7109375" style="130" customWidth="1"/>
    <col min="3584" max="3587" width="0" style="130" hidden="1" customWidth="1"/>
    <col min="3588" max="3588" width="7.28515625" style="130" customWidth="1"/>
    <col min="3589" max="3589" width="0" style="130" hidden="1" customWidth="1"/>
    <col min="3590" max="3590" width="8.5703125" style="130" customWidth="1"/>
    <col min="3591" max="3593" width="0" style="130" hidden="1" customWidth="1"/>
    <col min="3594" max="3594" width="8" style="130" customWidth="1"/>
    <col min="3595" max="3595" width="41.5703125" style="130" customWidth="1"/>
    <col min="3596" max="3817" width="8.85546875" style="130"/>
    <col min="3818" max="3818" width="3.42578125" style="130" customWidth="1"/>
    <col min="3819" max="3819" width="4.85546875" style="130" customWidth="1"/>
    <col min="3820" max="3820" width="0.140625" style="130" customWidth="1"/>
    <col min="3821" max="3821" width="11" style="130" customWidth="1"/>
    <col min="3822" max="3822" width="18.7109375" style="130" customWidth="1"/>
    <col min="3823" max="3823" width="9.42578125" style="130" customWidth="1"/>
    <col min="3824" max="3824" width="0" style="130" hidden="1" customWidth="1"/>
    <col min="3825" max="3825" width="9.28515625" style="130" customWidth="1"/>
    <col min="3826" max="3829" width="0" style="130" hidden="1" customWidth="1"/>
    <col min="3830" max="3830" width="9.28515625" style="130" customWidth="1"/>
    <col min="3831" max="3831" width="0" style="130" hidden="1" customWidth="1"/>
    <col min="3832" max="3832" width="8.140625" style="130" customWidth="1"/>
    <col min="3833" max="3836" width="0" style="130" hidden="1" customWidth="1"/>
    <col min="3837" max="3837" width="9.42578125" style="130" customWidth="1"/>
    <col min="3838" max="3838" width="0" style="130" hidden="1" customWidth="1"/>
    <col min="3839" max="3839" width="7.7109375" style="130" customWidth="1"/>
    <col min="3840" max="3843" width="0" style="130" hidden="1" customWidth="1"/>
    <col min="3844" max="3844" width="7.28515625" style="130" customWidth="1"/>
    <col min="3845" max="3845" width="0" style="130" hidden="1" customWidth="1"/>
    <col min="3846" max="3846" width="8.5703125" style="130" customWidth="1"/>
    <col min="3847" max="3849" width="0" style="130" hidden="1" customWidth="1"/>
    <col min="3850" max="3850" width="8" style="130" customWidth="1"/>
    <col min="3851" max="3851" width="41.5703125" style="130" customWidth="1"/>
    <col min="3852" max="4073" width="8.85546875" style="130"/>
    <col min="4074" max="4074" width="3.42578125" style="130" customWidth="1"/>
    <col min="4075" max="4075" width="4.85546875" style="130" customWidth="1"/>
    <col min="4076" max="4076" width="0.140625" style="130" customWidth="1"/>
    <col min="4077" max="4077" width="11" style="130" customWidth="1"/>
    <col min="4078" max="4078" width="18.7109375" style="130" customWidth="1"/>
    <col min="4079" max="4079" width="9.42578125" style="130" customWidth="1"/>
    <col min="4080" max="4080" width="0" style="130" hidden="1" customWidth="1"/>
    <col min="4081" max="4081" width="9.28515625" style="130" customWidth="1"/>
    <col min="4082" max="4085" width="0" style="130" hidden="1" customWidth="1"/>
    <col min="4086" max="4086" width="9.28515625" style="130" customWidth="1"/>
    <col min="4087" max="4087" width="0" style="130" hidden="1" customWidth="1"/>
    <col min="4088" max="4088" width="8.140625" style="130" customWidth="1"/>
    <col min="4089" max="4092" width="0" style="130" hidden="1" customWidth="1"/>
    <col min="4093" max="4093" width="9.42578125" style="130" customWidth="1"/>
    <col min="4094" max="4094" width="0" style="130" hidden="1" customWidth="1"/>
    <col min="4095" max="4095" width="7.7109375" style="130" customWidth="1"/>
    <col min="4096" max="4099" width="0" style="130" hidden="1" customWidth="1"/>
    <col min="4100" max="4100" width="7.28515625" style="130" customWidth="1"/>
    <col min="4101" max="4101" width="0" style="130" hidden="1" customWidth="1"/>
    <col min="4102" max="4102" width="8.5703125" style="130" customWidth="1"/>
    <col min="4103" max="4105" width="0" style="130" hidden="1" customWidth="1"/>
    <col min="4106" max="4106" width="8" style="130" customWidth="1"/>
    <col min="4107" max="4107" width="41.5703125" style="130" customWidth="1"/>
    <col min="4108" max="4329" width="8.85546875" style="130"/>
    <col min="4330" max="4330" width="3.42578125" style="130" customWidth="1"/>
    <col min="4331" max="4331" width="4.85546875" style="130" customWidth="1"/>
    <col min="4332" max="4332" width="0.140625" style="130" customWidth="1"/>
    <col min="4333" max="4333" width="11" style="130" customWidth="1"/>
    <col min="4334" max="4334" width="18.7109375" style="130" customWidth="1"/>
    <col min="4335" max="4335" width="9.42578125" style="130" customWidth="1"/>
    <col min="4336" max="4336" width="0" style="130" hidden="1" customWidth="1"/>
    <col min="4337" max="4337" width="9.28515625" style="130" customWidth="1"/>
    <col min="4338" max="4341" width="0" style="130" hidden="1" customWidth="1"/>
    <col min="4342" max="4342" width="9.28515625" style="130" customWidth="1"/>
    <col min="4343" max="4343" width="0" style="130" hidden="1" customWidth="1"/>
    <col min="4344" max="4344" width="8.140625" style="130" customWidth="1"/>
    <col min="4345" max="4348" width="0" style="130" hidden="1" customWidth="1"/>
    <col min="4349" max="4349" width="9.42578125" style="130" customWidth="1"/>
    <col min="4350" max="4350" width="0" style="130" hidden="1" customWidth="1"/>
    <col min="4351" max="4351" width="7.7109375" style="130" customWidth="1"/>
    <col min="4352" max="4355" width="0" style="130" hidden="1" customWidth="1"/>
    <col min="4356" max="4356" width="7.28515625" style="130" customWidth="1"/>
    <col min="4357" max="4357" width="0" style="130" hidden="1" customWidth="1"/>
    <col min="4358" max="4358" width="8.5703125" style="130" customWidth="1"/>
    <col min="4359" max="4361" width="0" style="130" hidden="1" customWidth="1"/>
    <col min="4362" max="4362" width="8" style="130" customWidth="1"/>
    <col min="4363" max="4363" width="41.5703125" style="130" customWidth="1"/>
    <col min="4364" max="4585" width="8.85546875" style="130"/>
    <col min="4586" max="4586" width="3.42578125" style="130" customWidth="1"/>
    <col min="4587" max="4587" width="4.85546875" style="130" customWidth="1"/>
    <col min="4588" max="4588" width="0.140625" style="130" customWidth="1"/>
    <col min="4589" max="4589" width="11" style="130" customWidth="1"/>
    <col min="4590" max="4590" width="18.7109375" style="130" customWidth="1"/>
    <col min="4591" max="4591" width="9.42578125" style="130" customWidth="1"/>
    <col min="4592" max="4592" width="0" style="130" hidden="1" customWidth="1"/>
    <col min="4593" max="4593" width="9.28515625" style="130" customWidth="1"/>
    <col min="4594" max="4597" width="0" style="130" hidden="1" customWidth="1"/>
    <col min="4598" max="4598" width="9.28515625" style="130" customWidth="1"/>
    <col min="4599" max="4599" width="0" style="130" hidden="1" customWidth="1"/>
    <col min="4600" max="4600" width="8.140625" style="130" customWidth="1"/>
    <col min="4601" max="4604" width="0" style="130" hidden="1" customWidth="1"/>
    <col min="4605" max="4605" width="9.42578125" style="130" customWidth="1"/>
    <col min="4606" max="4606" width="0" style="130" hidden="1" customWidth="1"/>
    <col min="4607" max="4607" width="7.7109375" style="130" customWidth="1"/>
    <col min="4608" max="4611" width="0" style="130" hidden="1" customWidth="1"/>
    <col min="4612" max="4612" width="7.28515625" style="130" customWidth="1"/>
    <col min="4613" max="4613" width="0" style="130" hidden="1" customWidth="1"/>
    <col min="4614" max="4614" width="8.5703125" style="130" customWidth="1"/>
    <col min="4615" max="4617" width="0" style="130" hidden="1" customWidth="1"/>
    <col min="4618" max="4618" width="8" style="130" customWidth="1"/>
    <col min="4619" max="4619" width="41.5703125" style="130" customWidth="1"/>
    <col min="4620" max="4841" width="8.85546875" style="130"/>
    <col min="4842" max="4842" width="3.42578125" style="130" customWidth="1"/>
    <col min="4843" max="4843" width="4.85546875" style="130" customWidth="1"/>
    <col min="4844" max="4844" width="0.140625" style="130" customWidth="1"/>
    <col min="4845" max="4845" width="11" style="130" customWidth="1"/>
    <col min="4846" max="4846" width="18.7109375" style="130" customWidth="1"/>
    <col min="4847" max="4847" width="9.42578125" style="130" customWidth="1"/>
    <col min="4848" max="4848" width="0" style="130" hidden="1" customWidth="1"/>
    <col min="4849" max="4849" width="9.28515625" style="130" customWidth="1"/>
    <col min="4850" max="4853" width="0" style="130" hidden="1" customWidth="1"/>
    <col min="4854" max="4854" width="9.28515625" style="130" customWidth="1"/>
    <col min="4855" max="4855" width="0" style="130" hidden="1" customWidth="1"/>
    <col min="4856" max="4856" width="8.140625" style="130" customWidth="1"/>
    <col min="4857" max="4860" width="0" style="130" hidden="1" customWidth="1"/>
    <col min="4861" max="4861" width="9.42578125" style="130" customWidth="1"/>
    <col min="4862" max="4862" width="0" style="130" hidden="1" customWidth="1"/>
    <col min="4863" max="4863" width="7.7109375" style="130" customWidth="1"/>
    <col min="4864" max="4867" width="0" style="130" hidden="1" customWidth="1"/>
    <col min="4868" max="4868" width="7.28515625" style="130" customWidth="1"/>
    <col min="4869" max="4869" width="0" style="130" hidden="1" customWidth="1"/>
    <col min="4870" max="4870" width="8.5703125" style="130" customWidth="1"/>
    <col min="4871" max="4873" width="0" style="130" hidden="1" customWidth="1"/>
    <col min="4874" max="4874" width="8" style="130" customWidth="1"/>
    <col min="4875" max="4875" width="41.5703125" style="130" customWidth="1"/>
    <col min="4876" max="5097" width="8.85546875" style="130"/>
    <col min="5098" max="5098" width="3.42578125" style="130" customWidth="1"/>
    <col min="5099" max="5099" width="4.85546875" style="130" customWidth="1"/>
    <col min="5100" max="5100" width="0.140625" style="130" customWidth="1"/>
    <col min="5101" max="5101" width="11" style="130" customWidth="1"/>
    <col min="5102" max="5102" width="18.7109375" style="130" customWidth="1"/>
    <col min="5103" max="5103" width="9.42578125" style="130" customWidth="1"/>
    <col min="5104" max="5104" width="0" style="130" hidden="1" customWidth="1"/>
    <col min="5105" max="5105" width="9.28515625" style="130" customWidth="1"/>
    <col min="5106" max="5109" width="0" style="130" hidden="1" customWidth="1"/>
    <col min="5110" max="5110" width="9.28515625" style="130" customWidth="1"/>
    <col min="5111" max="5111" width="0" style="130" hidden="1" customWidth="1"/>
    <col min="5112" max="5112" width="8.140625" style="130" customWidth="1"/>
    <col min="5113" max="5116" width="0" style="130" hidden="1" customWidth="1"/>
    <col min="5117" max="5117" width="9.42578125" style="130" customWidth="1"/>
    <col min="5118" max="5118" width="0" style="130" hidden="1" customWidth="1"/>
    <col min="5119" max="5119" width="7.7109375" style="130" customWidth="1"/>
    <col min="5120" max="5123" width="0" style="130" hidden="1" customWidth="1"/>
    <col min="5124" max="5124" width="7.28515625" style="130" customWidth="1"/>
    <col min="5125" max="5125" width="0" style="130" hidden="1" customWidth="1"/>
    <col min="5126" max="5126" width="8.5703125" style="130" customWidth="1"/>
    <col min="5127" max="5129" width="0" style="130" hidden="1" customWidth="1"/>
    <col min="5130" max="5130" width="8" style="130" customWidth="1"/>
    <col min="5131" max="5131" width="41.5703125" style="130" customWidth="1"/>
    <col min="5132" max="5353" width="8.85546875" style="130"/>
    <col min="5354" max="5354" width="3.42578125" style="130" customWidth="1"/>
    <col min="5355" max="5355" width="4.85546875" style="130" customWidth="1"/>
    <col min="5356" max="5356" width="0.140625" style="130" customWidth="1"/>
    <col min="5357" max="5357" width="11" style="130" customWidth="1"/>
    <col min="5358" max="5358" width="18.7109375" style="130" customWidth="1"/>
    <col min="5359" max="5359" width="9.42578125" style="130" customWidth="1"/>
    <col min="5360" max="5360" width="0" style="130" hidden="1" customWidth="1"/>
    <col min="5361" max="5361" width="9.28515625" style="130" customWidth="1"/>
    <col min="5362" max="5365" width="0" style="130" hidden="1" customWidth="1"/>
    <col min="5366" max="5366" width="9.28515625" style="130" customWidth="1"/>
    <col min="5367" max="5367" width="0" style="130" hidden="1" customWidth="1"/>
    <col min="5368" max="5368" width="8.140625" style="130" customWidth="1"/>
    <col min="5369" max="5372" width="0" style="130" hidden="1" customWidth="1"/>
    <col min="5373" max="5373" width="9.42578125" style="130" customWidth="1"/>
    <col min="5374" max="5374" width="0" style="130" hidden="1" customWidth="1"/>
    <col min="5375" max="5375" width="7.7109375" style="130" customWidth="1"/>
    <col min="5376" max="5379" width="0" style="130" hidden="1" customWidth="1"/>
    <col min="5380" max="5380" width="7.28515625" style="130" customWidth="1"/>
    <col min="5381" max="5381" width="0" style="130" hidden="1" customWidth="1"/>
    <col min="5382" max="5382" width="8.5703125" style="130" customWidth="1"/>
    <col min="5383" max="5385" width="0" style="130" hidden="1" customWidth="1"/>
    <col min="5386" max="5386" width="8" style="130" customWidth="1"/>
    <col min="5387" max="5387" width="41.5703125" style="130" customWidth="1"/>
    <col min="5388" max="5609" width="8.85546875" style="130"/>
    <col min="5610" max="5610" width="3.42578125" style="130" customWidth="1"/>
    <col min="5611" max="5611" width="4.85546875" style="130" customWidth="1"/>
    <col min="5612" max="5612" width="0.140625" style="130" customWidth="1"/>
    <col min="5613" max="5613" width="11" style="130" customWidth="1"/>
    <col min="5614" max="5614" width="18.7109375" style="130" customWidth="1"/>
    <col min="5615" max="5615" width="9.42578125" style="130" customWidth="1"/>
    <col min="5616" max="5616" width="0" style="130" hidden="1" customWidth="1"/>
    <col min="5617" max="5617" width="9.28515625" style="130" customWidth="1"/>
    <col min="5618" max="5621" width="0" style="130" hidden="1" customWidth="1"/>
    <col min="5622" max="5622" width="9.28515625" style="130" customWidth="1"/>
    <col min="5623" max="5623" width="0" style="130" hidden="1" customWidth="1"/>
    <col min="5624" max="5624" width="8.140625" style="130" customWidth="1"/>
    <col min="5625" max="5628" width="0" style="130" hidden="1" customWidth="1"/>
    <col min="5629" max="5629" width="9.42578125" style="130" customWidth="1"/>
    <col min="5630" max="5630" width="0" style="130" hidden="1" customWidth="1"/>
    <col min="5631" max="5631" width="7.7109375" style="130" customWidth="1"/>
    <col min="5632" max="5635" width="0" style="130" hidden="1" customWidth="1"/>
    <col min="5636" max="5636" width="7.28515625" style="130" customWidth="1"/>
    <col min="5637" max="5637" width="0" style="130" hidden="1" customWidth="1"/>
    <col min="5638" max="5638" width="8.5703125" style="130" customWidth="1"/>
    <col min="5639" max="5641" width="0" style="130" hidden="1" customWidth="1"/>
    <col min="5642" max="5642" width="8" style="130" customWidth="1"/>
    <col min="5643" max="5643" width="41.5703125" style="130" customWidth="1"/>
    <col min="5644" max="5865" width="8.85546875" style="130"/>
    <col min="5866" max="5866" width="3.42578125" style="130" customWidth="1"/>
    <col min="5867" max="5867" width="4.85546875" style="130" customWidth="1"/>
    <col min="5868" max="5868" width="0.140625" style="130" customWidth="1"/>
    <col min="5869" max="5869" width="11" style="130" customWidth="1"/>
    <col min="5870" max="5870" width="18.7109375" style="130" customWidth="1"/>
    <col min="5871" max="5871" width="9.42578125" style="130" customWidth="1"/>
    <col min="5872" max="5872" width="0" style="130" hidden="1" customWidth="1"/>
    <col min="5873" max="5873" width="9.28515625" style="130" customWidth="1"/>
    <col min="5874" max="5877" width="0" style="130" hidden="1" customWidth="1"/>
    <col min="5878" max="5878" width="9.28515625" style="130" customWidth="1"/>
    <col min="5879" max="5879" width="0" style="130" hidden="1" customWidth="1"/>
    <col min="5880" max="5880" width="8.140625" style="130" customWidth="1"/>
    <col min="5881" max="5884" width="0" style="130" hidden="1" customWidth="1"/>
    <col min="5885" max="5885" width="9.42578125" style="130" customWidth="1"/>
    <col min="5886" max="5886" width="0" style="130" hidden="1" customWidth="1"/>
    <col min="5887" max="5887" width="7.7109375" style="130" customWidth="1"/>
    <col min="5888" max="5891" width="0" style="130" hidden="1" customWidth="1"/>
    <col min="5892" max="5892" width="7.28515625" style="130" customWidth="1"/>
    <col min="5893" max="5893" width="0" style="130" hidden="1" customWidth="1"/>
    <col min="5894" max="5894" width="8.5703125" style="130" customWidth="1"/>
    <col min="5895" max="5897" width="0" style="130" hidden="1" customWidth="1"/>
    <col min="5898" max="5898" width="8" style="130" customWidth="1"/>
    <col min="5899" max="5899" width="41.5703125" style="130" customWidth="1"/>
    <col min="5900" max="6121" width="8.85546875" style="130"/>
    <col min="6122" max="6122" width="3.42578125" style="130" customWidth="1"/>
    <col min="6123" max="6123" width="4.85546875" style="130" customWidth="1"/>
    <col min="6124" max="6124" width="0.140625" style="130" customWidth="1"/>
    <col min="6125" max="6125" width="11" style="130" customWidth="1"/>
    <col min="6126" max="6126" width="18.7109375" style="130" customWidth="1"/>
    <col min="6127" max="6127" width="9.42578125" style="130" customWidth="1"/>
    <col min="6128" max="6128" width="0" style="130" hidden="1" customWidth="1"/>
    <col min="6129" max="6129" width="9.28515625" style="130" customWidth="1"/>
    <col min="6130" max="6133" width="0" style="130" hidden="1" customWidth="1"/>
    <col min="6134" max="6134" width="9.28515625" style="130" customWidth="1"/>
    <col min="6135" max="6135" width="0" style="130" hidden="1" customWidth="1"/>
    <col min="6136" max="6136" width="8.140625" style="130" customWidth="1"/>
    <col min="6137" max="6140" width="0" style="130" hidden="1" customWidth="1"/>
    <col min="6141" max="6141" width="9.42578125" style="130" customWidth="1"/>
    <col min="6142" max="6142" width="0" style="130" hidden="1" customWidth="1"/>
    <col min="6143" max="6143" width="7.7109375" style="130" customWidth="1"/>
    <col min="6144" max="6147" width="0" style="130" hidden="1" customWidth="1"/>
    <col min="6148" max="6148" width="7.28515625" style="130" customWidth="1"/>
    <col min="6149" max="6149" width="0" style="130" hidden="1" customWidth="1"/>
    <col min="6150" max="6150" width="8.5703125" style="130" customWidth="1"/>
    <col min="6151" max="6153" width="0" style="130" hidden="1" customWidth="1"/>
    <col min="6154" max="6154" width="8" style="130" customWidth="1"/>
    <col min="6155" max="6155" width="41.5703125" style="130" customWidth="1"/>
    <col min="6156" max="6377" width="8.85546875" style="130"/>
    <col min="6378" max="6378" width="3.42578125" style="130" customWidth="1"/>
    <col min="6379" max="6379" width="4.85546875" style="130" customWidth="1"/>
    <col min="6380" max="6380" width="0.140625" style="130" customWidth="1"/>
    <col min="6381" max="6381" width="11" style="130" customWidth="1"/>
    <col min="6382" max="6382" width="18.7109375" style="130" customWidth="1"/>
    <col min="6383" max="6383" width="9.42578125" style="130" customWidth="1"/>
    <col min="6384" max="6384" width="0" style="130" hidden="1" customWidth="1"/>
    <col min="6385" max="6385" width="9.28515625" style="130" customWidth="1"/>
    <col min="6386" max="6389" width="0" style="130" hidden="1" customWidth="1"/>
    <col min="6390" max="6390" width="9.28515625" style="130" customWidth="1"/>
    <col min="6391" max="6391" width="0" style="130" hidden="1" customWidth="1"/>
    <col min="6392" max="6392" width="8.140625" style="130" customWidth="1"/>
    <col min="6393" max="6396" width="0" style="130" hidden="1" customWidth="1"/>
    <col min="6397" max="6397" width="9.42578125" style="130" customWidth="1"/>
    <col min="6398" max="6398" width="0" style="130" hidden="1" customWidth="1"/>
    <col min="6399" max="6399" width="7.7109375" style="130" customWidth="1"/>
    <col min="6400" max="6403" width="0" style="130" hidden="1" customWidth="1"/>
    <col min="6404" max="6404" width="7.28515625" style="130" customWidth="1"/>
    <col min="6405" max="6405" width="0" style="130" hidden="1" customWidth="1"/>
    <col min="6406" max="6406" width="8.5703125" style="130" customWidth="1"/>
    <col min="6407" max="6409" width="0" style="130" hidden="1" customWidth="1"/>
    <col min="6410" max="6410" width="8" style="130" customWidth="1"/>
    <col min="6411" max="6411" width="41.5703125" style="130" customWidth="1"/>
    <col min="6412" max="6633" width="8.85546875" style="130"/>
    <col min="6634" max="6634" width="3.42578125" style="130" customWidth="1"/>
    <col min="6635" max="6635" width="4.85546875" style="130" customWidth="1"/>
    <col min="6636" max="6636" width="0.140625" style="130" customWidth="1"/>
    <col min="6637" max="6637" width="11" style="130" customWidth="1"/>
    <col min="6638" max="6638" width="18.7109375" style="130" customWidth="1"/>
    <col min="6639" max="6639" width="9.42578125" style="130" customWidth="1"/>
    <col min="6640" max="6640" width="0" style="130" hidden="1" customWidth="1"/>
    <col min="6641" max="6641" width="9.28515625" style="130" customWidth="1"/>
    <col min="6642" max="6645" width="0" style="130" hidden="1" customWidth="1"/>
    <col min="6646" max="6646" width="9.28515625" style="130" customWidth="1"/>
    <col min="6647" max="6647" width="0" style="130" hidden="1" customWidth="1"/>
    <col min="6648" max="6648" width="8.140625" style="130" customWidth="1"/>
    <col min="6649" max="6652" width="0" style="130" hidden="1" customWidth="1"/>
    <col min="6653" max="6653" width="9.42578125" style="130" customWidth="1"/>
    <col min="6654" max="6654" width="0" style="130" hidden="1" customWidth="1"/>
    <col min="6655" max="6655" width="7.7109375" style="130" customWidth="1"/>
    <col min="6656" max="6659" width="0" style="130" hidden="1" customWidth="1"/>
    <col min="6660" max="6660" width="7.28515625" style="130" customWidth="1"/>
    <col min="6661" max="6661" width="0" style="130" hidden="1" customWidth="1"/>
    <col min="6662" max="6662" width="8.5703125" style="130" customWidth="1"/>
    <col min="6663" max="6665" width="0" style="130" hidden="1" customWidth="1"/>
    <col min="6666" max="6666" width="8" style="130" customWidth="1"/>
    <col min="6667" max="6667" width="41.5703125" style="130" customWidth="1"/>
    <col min="6668" max="6889" width="8.85546875" style="130"/>
    <col min="6890" max="6890" width="3.42578125" style="130" customWidth="1"/>
    <col min="6891" max="6891" width="4.85546875" style="130" customWidth="1"/>
    <col min="6892" max="6892" width="0.140625" style="130" customWidth="1"/>
    <col min="6893" max="6893" width="11" style="130" customWidth="1"/>
    <col min="6894" max="6894" width="18.7109375" style="130" customWidth="1"/>
    <col min="6895" max="6895" width="9.42578125" style="130" customWidth="1"/>
    <col min="6896" max="6896" width="0" style="130" hidden="1" customWidth="1"/>
    <col min="6897" max="6897" width="9.28515625" style="130" customWidth="1"/>
    <col min="6898" max="6901" width="0" style="130" hidden="1" customWidth="1"/>
    <col min="6902" max="6902" width="9.28515625" style="130" customWidth="1"/>
    <col min="6903" max="6903" width="0" style="130" hidden="1" customWidth="1"/>
    <col min="6904" max="6904" width="8.140625" style="130" customWidth="1"/>
    <col min="6905" max="6908" width="0" style="130" hidden="1" customWidth="1"/>
    <col min="6909" max="6909" width="9.42578125" style="130" customWidth="1"/>
    <col min="6910" max="6910" width="0" style="130" hidden="1" customWidth="1"/>
    <col min="6911" max="6911" width="7.7109375" style="130" customWidth="1"/>
    <col min="6912" max="6915" width="0" style="130" hidden="1" customWidth="1"/>
    <col min="6916" max="6916" width="7.28515625" style="130" customWidth="1"/>
    <col min="6917" max="6917" width="0" style="130" hidden="1" customWidth="1"/>
    <col min="6918" max="6918" width="8.5703125" style="130" customWidth="1"/>
    <col min="6919" max="6921" width="0" style="130" hidden="1" customWidth="1"/>
    <col min="6922" max="6922" width="8" style="130" customWidth="1"/>
    <col min="6923" max="6923" width="41.5703125" style="130" customWidth="1"/>
    <col min="6924" max="7145" width="8.85546875" style="130"/>
    <col min="7146" max="7146" width="3.42578125" style="130" customWidth="1"/>
    <col min="7147" max="7147" width="4.85546875" style="130" customWidth="1"/>
    <col min="7148" max="7148" width="0.140625" style="130" customWidth="1"/>
    <col min="7149" max="7149" width="11" style="130" customWidth="1"/>
    <col min="7150" max="7150" width="18.7109375" style="130" customWidth="1"/>
    <col min="7151" max="7151" width="9.42578125" style="130" customWidth="1"/>
    <col min="7152" max="7152" width="0" style="130" hidden="1" customWidth="1"/>
    <col min="7153" max="7153" width="9.28515625" style="130" customWidth="1"/>
    <col min="7154" max="7157" width="0" style="130" hidden="1" customWidth="1"/>
    <col min="7158" max="7158" width="9.28515625" style="130" customWidth="1"/>
    <col min="7159" max="7159" width="0" style="130" hidden="1" customWidth="1"/>
    <col min="7160" max="7160" width="8.140625" style="130" customWidth="1"/>
    <col min="7161" max="7164" width="0" style="130" hidden="1" customWidth="1"/>
    <col min="7165" max="7165" width="9.42578125" style="130" customWidth="1"/>
    <col min="7166" max="7166" width="0" style="130" hidden="1" customWidth="1"/>
    <col min="7167" max="7167" width="7.7109375" style="130" customWidth="1"/>
    <col min="7168" max="7171" width="0" style="130" hidden="1" customWidth="1"/>
    <col min="7172" max="7172" width="7.28515625" style="130" customWidth="1"/>
    <col min="7173" max="7173" width="0" style="130" hidden="1" customWidth="1"/>
    <col min="7174" max="7174" width="8.5703125" style="130" customWidth="1"/>
    <col min="7175" max="7177" width="0" style="130" hidden="1" customWidth="1"/>
    <col min="7178" max="7178" width="8" style="130" customWidth="1"/>
    <col min="7179" max="7179" width="41.5703125" style="130" customWidth="1"/>
    <col min="7180" max="7401" width="8.85546875" style="130"/>
    <col min="7402" max="7402" width="3.42578125" style="130" customWidth="1"/>
    <col min="7403" max="7403" width="4.85546875" style="130" customWidth="1"/>
    <col min="7404" max="7404" width="0.140625" style="130" customWidth="1"/>
    <col min="7405" max="7405" width="11" style="130" customWidth="1"/>
    <col min="7406" max="7406" width="18.7109375" style="130" customWidth="1"/>
    <col min="7407" max="7407" width="9.42578125" style="130" customWidth="1"/>
    <col min="7408" max="7408" width="0" style="130" hidden="1" customWidth="1"/>
    <col min="7409" max="7409" width="9.28515625" style="130" customWidth="1"/>
    <col min="7410" max="7413" width="0" style="130" hidden="1" customWidth="1"/>
    <col min="7414" max="7414" width="9.28515625" style="130" customWidth="1"/>
    <col min="7415" max="7415" width="0" style="130" hidden="1" customWidth="1"/>
    <col min="7416" max="7416" width="8.140625" style="130" customWidth="1"/>
    <col min="7417" max="7420" width="0" style="130" hidden="1" customWidth="1"/>
    <col min="7421" max="7421" width="9.42578125" style="130" customWidth="1"/>
    <col min="7422" max="7422" width="0" style="130" hidden="1" customWidth="1"/>
    <col min="7423" max="7423" width="7.7109375" style="130" customWidth="1"/>
    <col min="7424" max="7427" width="0" style="130" hidden="1" customWidth="1"/>
    <col min="7428" max="7428" width="7.28515625" style="130" customWidth="1"/>
    <col min="7429" max="7429" width="0" style="130" hidden="1" customWidth="1"/>
    <col min="7430" max="7430" width="8.5703125" style="130" customWidth="1"/>
    <col min="7431" max="7433" width="0" style="130" hidden="1" customWidth="1"/>
    <col min="7434" max="7434" width="8" style="130" customWidth="1"/>
    <col min="7435" max="7435" width="41.5703125" style="130" customWidth="1"/>
    <col min="7436" max="7657" width="8.85546875" style="130"/>
    <col min="7658" max="7658" width="3.42578125" style="130" customWidth="1"/>
    <col min="7659" max="7659" width="4.85546875" style="130" customWidth="1"/>
    <col min="7660" max="7660" width="0.140625" style="130" customWidth="1"/>
    <col min="7661" max="7661" width="11" style="130" customWidth="1"/>
    <col min="7662" max="7662" width="18.7109375" style="130" customWidth="1"/>
    <col min="7663" max="7663" width="9.42578125" style="130" customWidth="1"/>
    <col min="7664" max="7664" width="0" style="130" hidden="1" customWidth="1"/>
    <col min="7665" max="7665" width="9.28515625" style="130" customWidth="1"/>
    <col min="7666" max="7669" width="0" style="130" hidden="1" customWidth="1"/>
    <col min="7670" max="7670" width="9.28515625" style="130" customWidth="1"/>
    <col min="7671" max="7671" width="0" style="130" hidden="1" customWidth="1"/>
    <col min="7672" max="7672" width="8.140625" style="130" customWidth="1"/>
    <col min="7673" max="7676" width="0" style="130" hidden="1" customWidth="1"/>
    <col min="7677" max="7677" width="9.42578125" style="130" customWidth="1"/>
    <col min="7678" max="7678" width="0" style="130" hidden="1" customWidth="1"/>
    <col min="7679" max="7679" width="7.7109375" style="130" customWidth="1"/>
    <col min="7680" max="7683" width="0" style="130" hidden="1" customWidth="1"/>
    <col min="7684" max="7684" width="7.28515625" style="130" customWidth="1"/>
    <col min="7685" max="7685" width="0" style="130" hidden="1" customWidth="1"/>
    <col min="7686" max="7686" width="8.5703125" style="130" customWidth="1"/>
    <col min="7687" max="7689" width="0" style="130" hidden="1" customWidth="1"/>
    <col min="7690" max="7690" width="8" style="130" customWidth="1"/>
    <col min="7691" max="7691" width="41.5703125" style="130" customWidth="1"/>
    <col min="7692" max="7913" width="8.85546875" style="130"/>
    <col min="7914" max="7914" width="3.42578125" style="130" customWidth="1"/>
    <col min="7915" max="7915" width="4.85546875" style="130" customWidth="1"/>
    <col min="7916" max="7916" width="0.140625" style="130" customWidth="1"/>
    <col min="7917" max="7917" width="11" style="130" customWidth="1"/>
    <col min="7918" max="7918" width="18.7109375" style="130" customWidth="1"/>
    <col min="7919" max="7919" width="9.42578125" style="130" customWidth="1"/>
    <col min="7920" max="7920" width="0" style="130" hidden="1" customWidth="1"/>
    <col min="7921" max="7921" width="9.28515625" style="130" customWidth="1"/>
    <col min="7922" max="7925" width="0" style="130" hidden="1" customWidth="1"/>
    <col min="7926" max="7926" width="9.28515625" style="130" customWidth="1"/>
    <col min="7927" max="7927" width="0" style="130" hidden="1" customWidth="1"/>
    <col min="7928" max="7928" width="8.140625" style="130" customWidth="1"/>
    <col min="7929" max="7932" width="0" style="130" hidden="1" customWidth="1"/>
    <col min="7933" max="7933" width="9.42578125" style="130" customWidth="1"/>
    <col min="7934" max="7934" width="0" style="130" hidden="1" customWidth="1"/>
    <col min="7935" max="7935" width="7.7109375" style="130" customWidth="1"/>
    <col min="7936" max="7939" width="0" style="130" hidden="1" customWidth="1"/>
    <col min="7940" max="7940" width="7.28515625" style="130" customWidth="1"/>
    <col min="7941" max="7941" width="0" style="130" hidden="1" customWidth="1"/>
    <col min="7942" max="7942" width="8.5703125" style="130" customWidth="1"/>
    <col min="7943" max="7945" width="0" style="130" hidden="1" customWidth="1"/>
    <col min="7946" max="7946" width="8" style="130" customWidth="1"/>
    <col min="7947" max="7947" width="41.5703125" style="130" customWidth="1"/>
    <col min="7948" max="8169" width="8.85546875" style="130"/>
    <col min="8170" max="8170" width="3.42578125" style="130" customWidth="1"/>
    <col min="8171" max="8171" width="4.85546875" style="130" customWidth="1"/>
    <col min="8172" max="8172" width="0.140625" style="130" customWidth="1"/>
    <col min="8173" max="8173" width="11" style="130" customWidth="1"/>
    <col min="8174" max="8174" width="18.7109375" style="130" customWidth="1"/>
    <col min="8175" max="8175" width="9.42578125" style="130" customWidth="1"/>
    <col min="8176" max="8176" width="0" style="130" hidden="1" customWidth="1"/>
    <col min="8177" max="8177" width="9.28515625" style="130" customWidth="1"/>
    <col min="8178" max="8181" width="0" style="130" hidden="1" customWidth="1"/>
    <col min="8182" max="8182" width="9.28515625" style="130" customWidth="1"/>
    <col min="8183" max="8183" width="0" style="130" hidden="1" customWidth="1"/>
    <col min="8184" max="8184" width="8.140625" style="130" customWidth="1"/>
    <col min="8185" max="8188" width="0" style="130" hidden="1" customWidth="1"/>
    <col min="8189" max="8189" width="9.42578125" style="130" customWidth="1"/>
    <col min="8190" max="8190" width="0" style="130" hidden="1" customWidth="1"/>
    <col min="8191" max="8191" width="7.7109375" style="130" customWidth="1"/>
    <col min="8192" max="8195" width="0" style="130" hidden="1" customWidth="1"/>
    <col min="8196" max="8196" width="7.28515625" style="130" customWidth="1"/>
    <col min="8197" max="8197" width="0" style="130" hidden="1" customWidth="1"/>
    <col min="8198" max="8198" width="8.5703125" style="130" customWidth="1"/>
    <col min="8199" max="8201" width="0" style="130" hidden="1" customWidth="1"/>
    <col min="8202" max="8202" width="8" style="130" customWidth="1"/>
    <col min="8203" max="8203" width="41.5703125" style="130" customWidth="1"/>
    <col min="8204" max="8425" width="8.85546875" style="130"/>
    <col min="8426" max="8426" width="3.42578125" style="130" customWidth="1"/>
    <col min="8427" max="8427" width="4.85546875" style="130" customWidth="1"/>
    <col min="8428" max="8428" width="0.140625" style="130" customWidth="1"/>
    <col min="8429" max="8429" width="11" style="130" customWidth="1"/>
    <col min="8430" max="8430" width="18.7109375" style="130" customWidth="1"/>
    <col min="8431" max="8431" width="9.42578125" style="130" customWidth="1"/>
    <col min="8432" max="8432" width="0" style="130" hidden="1" customWidth="1"/>
    <col min="8433" max="8433" width="9.28515625" style="130" customWidth="1"/>
    <col min="8434" max="8437" width="0" style="130" hidden="1" customWidth="1"/>
    <col min="8438" max="8438" width="9.28515625" style="130" customWidth="1"/>
    <col min="8439" max="8439" width="0" style="130" hidden="1" customWidth="1"/>
    <col min="8440" max="8440" width="8.140625" style="130" customWidth="1"/>
    <col min="8441" max="8444" width="0" style="130" hidden="1" customWidth="1"/>
    <col min="8445" max="8445" width="9.42578125" style="130" customWidth="1"/>
    <col min="8446" max="8446" width="0" style="130" hidden="1" customWidth="1"/>
    <col min="8447" max="8447" width="7.7109375" style="130" customWidth="1"/>
    <col min="8448" max="8451" width="0" style="130" hidden="1" customWidth="1"/>
    <col min="8452" max="8452" width="7.28515625" style="130" customWidth="1"/>
    <col min="8453" max="8453" width="0" style="130" hidden="1" customWidth="1"/>
    <col min="8454" max="8454" width="8.5703125" style="130" customWidth="1"/>
    <col min="8455" max="8457" width="0" style="130" hidden="1" customWidth="1"/>
    <col min="8458" max="8458" width="8" style="130" customWidth="1"/>
    <col min="8459" max="8459" width="41.5703125" style="130" customWidth="1"/>
    <col min="8460" max="8681" width="8.85546875" style="130"/>
    <col min="8682" max="8682" width="3.42578125" style="130" customWidth="1"/>
    <col min="8683" max="8683" width="4.85546875" style="130" customWidth="1"/>
    <col min="8684" max="8684" width="0.140625" style="130" customWidth="1"/>
    <col min="8685" max="8685" width="11" style="130" customWidth="1"/>
    <col min="8686" max="8686" width="18.7109375" style="130" customWidth="1"/>
    <col min="8687" max="8687" width="9.42578125" style="130" customWidth="1"/>
    <col min="8688" max="8688" width="0" style="130" hidden="1" customWidth="1"/>
    <col min="8689" max="8689" width="9.28515625" style="130" customWidth="1"/>
    <col min="8690" max="8693" width="0" style="130" hidden="1" customWidth="1"/>
    <col min="8694" max="8694" width="9.28515625" style="130" customWidth="1"/>
    <col min="8695" max="8695" width="0" style="130" hidden="1" customWidth="1"/>
    <col min="8696" max="8696" width="8.140625" style="130" customWidth="1"/>
    <col min="8697" max="8700" width="0" style="130" hidden="1" customWidth="1"/>
    <col min="8701" max="8701" width="9.42578125" style="130" customWidth="1"/>
    <col min="8702" max="8702" width="0" style="130" hidden="1" customWidth="1"/>
    <col min="8703" max="8703" width="7.7109375" style="130" customWidth="1"/>
    <col min="8704" max="8707" width="0" style="130" hidden="1" customWidth="1"/>
    <col min="8708" max="8708" width="7.28515625" style="130" customWidth="1"/>
    <col min="8709" max="8709" width="0" style="130" hidden="1" customWidth="1"/>
    <col min="8710" max="8710" width="8.5703125" style="130" customWidth="1"/>
    <col min="8711" max="8713" width="0" style="130" hidden="1" customWidth="1"/>
    <col min="8714" max="8714" width="8" style="130" customWidth="1"/>
    <col min="8715" max="8715" width="41.5703125" style="130" customWidth="1"/>
    <col min="8716" max="8937" width="8.85546875" style="130"/>
    <col min="8938" max="8938" width="3.42578125" style="130" customWidth="1"/>
    <col min="8939" max="8939" width="4.85546875" style="130" customWidth="1"/>
    <col min="8940" max="8940" width="0.140625" style="130" customWidth="1"/>
    <col min="8941" max="8941" width="11" style="130" customWidth="1"/>
    <col min="8942" max="8942" width="18.7109375" style="130" customWidth="1"/>
    <col min="8943" max="8943" width="9.42578125" style="130" customWidth="1"/>
    <col min="8944" max="8944" width="0" style="130" hidden="1" customWidth="1"/>
    <col min="8945" max="8945" width="9.28515625" style="130" customWidth="1"/>
    <col min="8946" max="8949" width="0" style="130" hidden="1" customWidth="1"/>
    <col min="8950" max="8950" width="9.28515625" style="130" customWidth="1"/>
    <col min="8951" max="8951" width="0" style="130" hidden="1" customWidth="1"/>
    <col min="8952" max="8952" width="8.140625" style="130" customWidth="1"/>
    <col min="8953" max="8956" width="0" style="130" hidden="1" customWidth="1"/>
    <col min="8957" max="8957" width="9.42578125" style="130" customWidth="1"/>
    <col min="8958" max="8958" width="0" style="130" hidden="1" customWidth="1"/>
    <col min="8959" max="8959" width="7.7109375" style="130" customWidth="1"/>
    <col min="8960" max="8963" width="0" style="130" hidden="1" customWidth="1"/>
    <col min="8964" max="8964" width="7.28515625" style="130" customWidth="1"/>
    <col min="8965" max="8965" width="0" style="130" hidden="1" customWidth="1"/>
    <col min="8966" max="8966" width="8.5703125" style="130" customWidth="1"/>
    <col min="8967" max="8969" width="0" style="130" hidden="1" customWidth="1"/>
    <col min="8970" max="8970" width="8" style="130" customWidth="1"/>
    <col min="8971" max="8971" width="41.5703125" style="130" customWidth="1"/>
    <col min="8972" max="9193" width="8.85546875" style="130"/>
    <col min="9194" max="9194" width="3.42578125" style="130" customWidth="1"/>
    <col min="9195" max="9195" width="4.85546875" style="130" customWidth="1"/>
    <col min="9196" max="9196" width="0.140625" style="130" customWidth="1"/>
    <col min="9197" max="9197" width="11" style="130" customWidth="1"/>
    <col min="9198" max="9198" width="18.7109375" style="130" customWidth="1"/>
    <col min="9199" max="9199" width="9.42578125" style="130" customWidth="1"/>
    <col min="9200" max="9200" width="0" style="130" hidden="1" customWidth="1"/>
    <col min="9201" max="9201" width="9.28515625" style="130" customWidth="1"/>
    <col min="9202" max="9205" width="0" style="130" hidden="1" customWidth="1"/>
    <col min="9206" max="9206" width="9.28515625" style="130" customWidth="1"/>
    <col min="9207" max="9207" width="0" style="130" hidden="1" customWidth="1"/>
    <col min="9208" max="9208" width="8.140625" style="130" customWidth="1"/>
    <col min="9209" max="9212" width="0" style="130" hidden="1" customWidth="1"/>
    <col min="9213" max="9213" width="9.42578125" style="130" customWidth="1"/>
    <col min="9214" max="9214" width="0" style="130" hidden="1" customWidth="1"/>
    <col min="9215" max="9215" width="7.7109375" style="130" customWidth="1"/>
    <col min="9216" max="9219" width="0" style="130" hidden="1" customWidth="1"/>
    <col min="9220" max="9220" width="7.28515625" style="130" customWidth="1"/>
    <col min="9221" max="9221" width="0" style="130" hidden="1" customWidth="1"/>
    <col min="9222" max="9222" width="8.5703125" style="130" customWidth="1"/>
    <col min="9223" max="9225" width="0" style="130" hidden="1" customWidth="1"/>
    <col min="9226" max="9226" width="8" style="130" customWidth="1"/>
    <col min="9227" max="9227" width="41.5703125" style="130" customWidth="1"/>
    <col min="9228" max="9449" width="8.85546875" style="130"/>
    <col min="9450" max="9450" width="3.42578125" style="130" customWidth="1"/>
    <col min="9451" max="9451" width="4.85546875" style="130" customWidth="1"/>
    <col min="9452" max="9452" width="0.140625" style="130" customWidth="1"/>
    <col min="9453" max="9453" width="11" style="130" customWidth="1"/>
    <col min="9454" max="9454" width="18.7109375" style="130" customWidth="1"/>
    <col min="9455" max="9455" width="9.42578125" style="130" customWidth="1"/>
    <col min="9456" max="9456" width="0" style="130" hidden="1" customWidth="1"/>
    <col min="9457" max="9457" width="9.28515625" style="130" customWidth="1"/>
    <col min="9458" max="9461" width="0" style="130" hidden="1" customWidth="1"/>
    <col min="9462" max="9462" width="9.28515625" style="130" customWidth="1"/>
    <col min="9463" max="9463" width="0" style="130" hidden="1" customWidth="1"/>
    <col min="9464" max="9464" width="8.140625" style="130" customWidth="1"/>
    <col min="9465" max="9468" width="0" style="130" hidden="1" customWidth="1"/>
    <col min="9469" max="9469" width="9.42578125" style="130" customWidth="1"/>
    <col min="9470" max="9470" width="0" style="130" hidden="1" customWidth="1"/>
    <col min="9471" max="9471" width="7.7109375" style="130" customWidth="1"/>
    <col min="9472" max="9475" width="0" style="130" hidden="1" customWidth="1"/>
    <col min="9476" max="9476" width="7.28515625" style="130" customWidth="1"/>
    <col min="9477" max="9477" width="0" style="130" hidden="1" customWidth="1"/>
    <col min="9478" max="9478" width="8.5703125" style="130" customWidth="1"/>
    <col min="9479" max="9481" width="0" style="130" hidden="1" customWidth="1"/>
    <col min="9482" max="9482" width="8" style="130" customWidth="1"/>
    <col min="9483" max="9483" width="41.5703125" style="130" customWidth="1"/>
    <col min="9484" max="9705" width="8.85546875" style="130"/>
    <col min="9706" max="9706" width="3.42578125" style="130" customWidth="1"/>
    <col min="9707" max="9707" width="4.85546875" style="130" customWidth="1"/>
    <col min="9708" max="9708" width="0.140625" style="130" customWidth="1"/>
    <col min="9709" max="9709" width="11" style="130" customWidth="1"/>
    <col min="9710" max="9710" width="18.7109375" style="130" customWidth="1"/>
    <col min="9711" max="9711" width="9.42578125" style="130" customWidth="1"/>
    <col min="9712" max="9712" width="0" style="130" hidden="1" customWidth="1"/>
    <col min="9713" max="9713" width="9.28515625" style="130" customWidth="1"/>
    <col min="9714" max="9717" width="0" style="130" hidden="1" customWidth="1"/>
    <col min="9718" max="9718" width="9.28515625" style="130" customWidth="1"/>
    <col min="9719" max="9719" width="0" style="130" hidden="1" customWidth="1"/>
    <col min="9720" max="9720" width="8.140625" style="130" customWidth="1"/>
    <col min="9721" max="9724" width="0" style="130" hidden="1" customWidth="1"/>
    <col min="9725" max="9725" width="9.42578125" style="130" customWidth="1"/>
    <col min="9726" max="9726" width="0" style="130" hidden="1" customWidth="1"/>
    <col min="9727" max="9727" width="7.7109375" style="130" customWidth="1"/>
    <col min="9728" max="9731" width="0" style="130" hidden="1" customWidth="1"/>
    <col min="9732" max="9732" width="7.28515625" style="130" customWidth="1"/>
    <col min="9733" max="9733" width="0" style="130" hidden="1" customWidth="1"/>
    <col min="9734" max="9734" width="8.5703125" style="130" customWidth="1"/>
    <col min="9735" max="9737" width="0" style="130" hidden="1" customWidth="1"/>
    <col min="9738" max="9738" width="8" style="130" customWidth="1"/>
    <col min="9739" max="9739" width="41.5703125" style="130" customWidth="1"/>
    <col min="9740" max="9961" width="8.85546875" style="130"/>
    <col min="9962" max="9962" width="3.42578125" style="130" customWidth="1"/>
    <col min="9963" max="9963" width="4.85546875" style="130" customWidth="1"/>
    <col min="9964" max="9964" width="0.140625" style="130" customWidth="1"/>
    <col min="9965" max="9965" width="11" style="130" customWidth="1"/>
    <col min="9966" max="9966" width="18.7109375" style="130" customWidth="1"/>
    <col min="9967" max="9967" width="9.42578125" style="130" customWidth="1"/>
    <col min="9968" max="9968" width="0" style="130" hidden="1" customWidth="1"/>
    <col min="9969" max="9969" width="9.28515625" style="130" customWidth="1"/>
    <col min="9970" max="9973" width="0" style="130" hidden="1" customWidth="1"/>
    <col min="9974" max="9974" width="9.28515625" style="130" customWidth="1"/>
    <col min="9975" max="9975" width="0" style="130" hidden="1" customWidth="1"/>
    <col min="9976" max="9976" width="8.140625" style="130" customWidth="1"/>
    <col min="9977" max="9980" width="0" style="130" hidden="1" customWidth="1"/>
    <col min="9981" max="9981" width="9.42578125" style="130" customWidth="1"/>
    <col min="9982" max="9982" width="0" style="130" hidden="1" customWidth="1"/>
    <col min="9983" max="9983" width="7.7109375" style="130" customWidth="1"/>
    <col min="9984" max="9987" width="0" style="130" hidden="1" customWidth="1"/>
    <col min="9988" max="9988" width="7.28515625" style="130" customWidth="1"/>
    <col min="9989" max="9989" width="0" style="130" hidden="1" customWidth="1"/>
    <col min="9990" max="9990" width="8.5703125" style="130" customWidth="1"/>
    <col min="9991" max="9993" width="0" style="130" hidden="1" customWidth="1"/>
    <col min="9994" max="9994" width="8" style="130" customWidth="1"/>
    <col min="9995" max="9995" width="41.5703125" style="130" customWidth="1"/>
    <col min="9996" max="10217" width="8.85546875" style="130"/>
    <col min="10218" max="10218" width="3.42578125" style="130" customWidth="1"/>
    <col min="10219" max="10219" width="4.85546875" style="130" customWidth="1"/>
    <col min="10220" max="10220" width="0.140625" style="130" customWidth="1"/>
    <col min="10221" max="10221" width="11" style="130" customWidth="1"/>
    <col min="10222" max="10222" width="18.7109375" style="130" customWidth="1"/>
    <col min="10223" max="10223" width="9.42578125" style="130" customWidth="1"/>
    <col min="10224" max="10224" width="0" style="130" hidden="1" customWidth="1"/>
    <col min="10225" max="10225" width="9.28515625" style="130" customWidth="1"/>
    <col min="10226" max="10229" width="0" style="130" hidden="1" customWidth="1"/>
    <col min="10230" max="10230" width="9.28515625" style="130" customWidth="1"/>
    <col min="10231" max="10231" width="0" style="130" hidden="1" customWidth="1"/>
    <col min="10232" max="10232" width="8.140625" style="130" customWidth="1"/>
    <col min="10233" max="10236" width="0" style="130" hidden="1" customWidth="1"/>
    <col min="10237" max="10237" width="9.42578125" style="130" customWidth="1"/>
    <col min="10238" max="10238" width="0" style="130" hidden="1" customWidth="1"/>
    <col min="10239" max="10239" width="7.7109375" style="130" customWidth="1"/>
    <col min="10240" max="10243" width="0" style="130" hidden="1" customWidth="1"/>
    <col min="10244" max="10244" width="7.28515625" style="130" customWidth="1"/>
    <col min="10245" max="10245" width="0" style="130" hidden="1" customWidth="1"/>
    <col min="10246" max="10246" width="8.5703125" style="130" customWidth="1"/>
    <col min="10247" max="10249" width="0" style="130" hidden="1" customWidth="1"/>
    <col min="10250" max="10250" width="8" style="130" customWidth="1"/>
    <col min="10251" max="10251" width="41.5703125" style="130" customWidth="1"/>
    <col min="10252" max="10473" width="8.85546875" style="130"/>
    <col min="10474" max="10474" width="3.42578125" style="130" customWidth="1"/>
    <col min="10475" max="10475" width="4.85546875" style="130" customWidth="1"/>
    <col min="10476" max="10476" width="0.140625" style="130" customWidth="1"/>
    <col min="10477" max="10477" width="11" style="130" customWidth="1"/>
    <col min="10478" max="10478" width="18.7109375" style="130" customWidth="1"/>
    <col min="10479" max="10479" width="9.42578125" style="130" customWidth="1"/>
    <col min="10480" max="10480" width="0" style="130" hidden="1" customWidth="1"/>
    <col min="10481" max="10481" width="9.28515625" style="130" customWidth="1"/>
    <col min="10482" max="10485" width="0" style="130" hidden="1" customWidth="1"/>
    <col min="10486" max="10486" width="9.28515625" style="130" customWidth="1"/>
    <col min="10487" max="10487" width="0" style="130" hidden="1" customWidth="1"/>
    <col min="10488" max="10488" width="8.140625" style="130" customWidth="1"/>
    <col min="10489" max="10492" width="0" style="130" hidden="1" customWidth="1"/>
    <col min="10493" max="10493" width="9.42578125" style="130" customWidth="1"/>
    <col min="10494" max="10494" width="0" style="130" hidden="1" customWidth="1"/>
    <col min="10495" max="10495" width="7.7109375" style="130" customWidth="1"/>
    <col min="10496" max="10499" width="0" style="130" hidden="1" customWidth="1"/>
    <col min="10500" max="10500" width="7.28515625" style="130" customWidth="1"/>
    <col min="10501" max="10501" width="0" style="130" hidden="1" customWidth="1"/>
    <col min="10502" max="10502" width="8.5703125" style="130" customWidth="1"/>
    <col min="10503" max="10505" width="0" style="130" hidden="1" customWidth="1"/>
    <col min="10506" max="10506" width="8" style="130" customWidth="1"/>
    <col min="10507" max="10507" width="41.5703125" style="130" customWidth="1"/>
    <col min="10508" max="10729" width="8.85546875" style="130"/>
    <col min="10730" max="10730" width="3.42578125" style="130" customWidth="1"/>
    <col min="10731" max="10731" width="4.85546875" style="130" customWidth="1"/>
    <col min="10732" max="10732" width="0.140625" style="130" customWidth="1"/>
    <col min="10733" max="10733" width="11" style="130" customWidth="1"/>
    <col min="10734" max="10734" width="18.7109375" style="130" customWidth="1"/>
    <col min="10735" max="10735" width="9.42578125" style="130" customWidth="1"/>
    <col min="10736" max="10736" width="0" style="130" hidden="1" customWidth="1"/>
    <col min="10737" max="10737" width="9.28515625" style="130" customWidth="1"/>
    <col min="10738" max="10741" width="0" style="130" hidden="1" customWidth="1"/>
    <col min="10742" max="10742" width="9.28515625" style="130" customWidth="1"/>
    <col min="10743" max="10743" width="0" style="130" hidden="1" customWidth="1"/>
    <col min="10744" max="10744" width="8.140625" style="130" customWidth="1"/>
    <col min="10745" max="10748" width="0" style="130" hidden="1" customWidth="1"/>
    <col min="10749" max="10749" width="9.42578125" style="130" customWidth="1"/>
    <col min="10750" max="10750" width="0" style="130" hidden="1" customWidth="1"/>
    <col min="10751" max="10751" width="7.7109375" style="130" customWidth="1"/>
    <col min="10752" max="10755" width="0" style="130" hidden="1" customWidth="1"/>
    <col min="10756" max="10756" width="7.28515625" style="130" customWidth="1"/>
    <col min="10757" max="10757" width="0" style="130" hidden="1" customWidth="1"/>
    <col min="10758" max="10758" width="8.5703125" style="130" customWidth="1"/>
    <col min="10759" max="10761" width="0" style="130" hidden="1" customWidth="1"/>
    <col min="10762" max="10762" width="8" style="130" customWidth="1"/>
    <col min="10763" max="10763" width="41.5703125" style="130" customWidth="1"/>
    <col min="10764" max="10985" width="8.85546875" style="130"/>
    <col min="10986" max="10986" width="3.42578125" style="130" customWidth="1"/>
    <col min="10987" max="10987" width="4.85546875" style="130" customWidth="1"/>
    <col min="10988" max="10988" width="0.140625" style="130" customWidth="1"/>
    <col min="10989" max="10989" width="11" style="130" customWidth="1"/>
    <col min="10990" max="10990" width="18.7109375" style="130" customWidth="1"/>
    <col min="10991" max="10991" width="9.42578125" style="130" customWidth="1"/>
    <col min="10992" max="10992" width="0" style="130" hidden="1" customWidth="1"/>
    <col min="10993" max="10993" width="9.28515625" style="130" customWidth="1"/>
    <col min="10994" max="10997" width="0" style="130" hidden="1" customWidth="1"/>
    <col min="10998" max="10998" width="9.28515625" style="130" customWidth="1"/>
    <col min="10999" max="10999" width="0" style="130" hidden="1" customWidth="1"/>
    <col min="11000" max="11000" width="8.140625" style="130" customWidth="1"/>
    <col min="11001" max="11004" width="0" style="130" hidden="1" customWidth="1"/>
    <col min="11005" max="11005" width="9.42578125" style="130" customWidth="1"/>
    <col min="11006" max="11006" width="0" style="130" hidden="1" customWidth="1"/>
    <col min="11007" max="11007" width="7.7109375" style="130" customWidth="1"/>
    <col min="11008" max="11011" width="0" style="130" hidden="1" customWidth="1"/>
    <col min="11012" max="11012" width="7.28515625" style="130" customWidth="1"/>
    <col min="11013" max="11013" width="0" style="130" hidden="1" customWidth="1"/>
    <col min="11014" max="11014" width="8.5703125" style="130" customWidth="1"/>
    <col min="11015" max="11017" width="0" style="130" hidden="1" customWidth="1"/>
    <col min="11018" max="11018" width="8" style="130" customWidth="1"/>
    <col min="11019" max="11019" width="41.5703125" style="130" customWidth="1"/>
    <col min="11020" max="11241" width="8.85546875" style="130"/>
    <col min="11242" max="11242" width="3.42578125" style="130" customWidth="1"/>
    <col min="11243" max="11243" width="4.85546875" style="130" customWidth="1"/>
    <col min="11244" max="11244" width="0.140625" style="130" customWidth="1"/>
    <col min="11245" max="11245" width="11" style="130" customWidth="1"/>
    <col min="11246" max="11246" width="18.7109375" style="130" customWidth="1"/>
    <col min="11247" max="11247" width="9.42578125" style="130" customWidth="1"/>
    <col min="11248" max="11248" width="0" style="130" hidden="1" customWidth="1"/>
    <col min="11249" max="11249" width="9.28515625" style="130" customWidth="1"/>
    <col min="11250" max="11253" width="0" style="130" hidden="1" customWidth="1"/>
    <col min="11254" max="11254" width="9.28515625" style="130" customWidth="1"/>
    <col min="11255" max="11255" width="0" style="130" hidden="1" customWidth="1"/>
    <col min="11256" max="11256" width="8.140625" style="130" customWidth="1"/>
    <col min="11257" max="11260" width="0" style="130" hidden="1" customWidth="1"/>
    <col min="11261" max="11261" width="9.42578125" style="130" customWidth="1"/>
    <col min="11262" max="11262" width="0" style="130" hidden="1" customWidth="1"/>
    <col min="11263" max="11263" width="7.7109375" style="130" customWidth="1"/>
    <col min="11264" max="11267" width="0" style="130" hidden="1" customWidth="1"/>
    <col min="11268" max="11268" width="7.28515625" style="130" customWidth="1"/>
    <col min="11269" max="11269" width="0" style="130" hidden="1" customWidth="1"/>
    <col min="11270" max="11270" width="8.5703125" style="130" customWidth="1"/>
    <col min="11271" max="11273" width="0" style="130" hidden="1" customWidth="1"/>
    <col min="11274" max="11274" width="8" style="130" customWidth="1"/>
    <col min="11275" max="11275" width="41.5703125" style="130" customWidth="1"/>
    <col min="11276" max="11497" width="8.85546875" style="130"/>
    <col min="11498" max="11498" width="3.42578125" style="130" customWidth="1"/>
    <col min="11499" max="11499" width="4.85546875" style="130" customWidth="1"/>
    <col min="11500" max="11500" width="0.140625" style="130" customWidth="1"/>
    <col min="11501" max="11501" width="11" style="130" customWidth="1"/>
    <col min="11502" max="11502" width="18.7109375" style="130" customWidth="1"/>
    <col min="11503" max="11503" width="9.42578125" style="130" customWidth="1"/>
    <col min="11504" max="11504" width="0" style="130" hidden="1" customWidth="1"/>
    <col min="11505" max="11505" width="9.28515625" style="130" customWidth="1"/>
    <col min="11506" max="11509" width="0" style="130" hidden="1" customWidth="1"/>
    <col min="11510" max="11510" width="9.28515625" style="130" customWidth="1"/>
    <col min="11511" max="11511" width="0" style="130" hidden="1" customWidth="1"/>
    <col min="11512" max="11512" width="8.140625" style="130" customWidth="1"/>
    <col min="11513" max="11516" width="0" style="130" hidden="1" customWidth="1"/>
    <col min="11517" max="11517" width="9.42578125" style="130" customWidth="1"/>
    <col min="11518" max="11518" width="0" style="130" hidden="1" customWidth="1"/>
    <col min="11519" max="11519" width="7.7109375" style="130" customWidth="1"/>
    <col min="11520" max="11523" width="0" style="130" hidden="1" customWidth="1"/>
    <col min="11524" max="11524" width="7.28515625" style="130" customWidth="1"/>
    <col min="11525" max="11525" width="0" style="130" hidden="1" customWidth="1"/>
    <col min="11526" max="11526" width="8.5703125" style="130" customWidth="1"/>
    <col min="11527" max="11529" width="0" style="130" hidden="1" customWidth="1"/>
    <col min="11530" max="11530" width="8" style="130" customWidth="1"/>
    <col min="11531" max="11531" width="41.5703125" style="130" customWidth="1"/>
    <col min="11532" max="11753" width="8.85546875" style="130"/>
    <col min="11754" max="11754" width="3.42578125" style="130" customWidth="1"/>
    <col min="11755" max="11755" width="4.85546875" style="130" customWidth="1"/>
    <col min="11756" max="11756" width="0.140625" style="130" customWidth="1"/>
    <col min="11757" max="11757" width="11" style="130" customWidth="1"/>
    <col min="11758" max="11758" width="18.7109375" style="130" customWidth="1"/>
    <col min="11759" max="11759" width="9.42578125" style="130" customWidth="1"/>
    <col min="11760" max="11760" width="0" style="130" hidden="1" customWidth="1"/>
    <col min="11761" max="11761" width="9.28515625" style="130" customWidth="1"/>
    <col min="11762" max="11765" width="0" style="130" hidden="1" customWidth="1"/>
    <col min="11766" max="11766" width="9.28515625" style="130" customWidth="1"/>
    <col min="11767" max="11767" width="0" style="130" hidden="1" customWidth="1"/>
    <col min="11768" max="11768" width="8.140625" style="130" customWidth="1"/>
    <col min="11769" max="11772" width="0" style="130" hidden="1" customWidth="1"/>
    <col min="11773" max="11773" width="9.42578125" style="130" customWidth="1"/>
    <col min="11774" max="11774" width="0" style="130" hidden="1" customWidth="1"/>
    <col min="11775" max="11775" width="7.7109375" style="130" customWidth="1"/>
    <col min="11776" max="11779" width="0" style="130" hidden="1" customWidth="1"/>
    <col min="11780" max="11780" width="7.28515625" style="130" customWidth="1"/>
    <col min="11781" max="11781" width="0" style="130" hidden="1" customWidth="1"/>
    <col min="11782" max="11782" width="8.5703125" style="130" customWidth="1"/>
    <col min="11783" max="11785" width="0" style="130" hidden="1" customWidth="1"/>
    <col min="11786" max="11786" width="8" style="130" customWidth="1"/>
    <col min="11787" max="11787" width="41.5703125" style="130" customWidth="1"/>
    <col min="11788" max="12009" width="8.85546875" style="130"/>
    <col min="12010" max="12010" width="3.42578125" style="130" customWidth="1"/>
    <col min="12011" max="12011" width="4.85546875" style="130" customWidth="1"/>
    <col min="12012" max="12012" width="0.140625" style="130" customWidth="1"/>
    <col min="12013" max="12013" width="11" style="130" customWidth="1"/>
    <col min="12014" max="12014" width="18.7109375" style="130" customWidth="1"/>
    <col min="12015" max="12015" width="9.42578125" style="130" customWidth="1"/>
    <col min="12016" max="12016" width="0" style="130" hidden="1" customWidth="1"/>
    <col min="12017" max="12017" width="9.28515625" style="130" customWidth="1"/>
    <col min="12018" max="12021" width="0" style="130" hidden="1" customWidth="1"/>
    <col min="12022" max="12022" width="9.28515625" style="130" customWidth="1"/>
    <col min="12023" max="12023" width="0" style="130" hidden="1" customWidth="1"/>
    <col min="12024" max="12024" width="8.140625" style="130" customWidth="1"/>
    <col min="12025" max="12028" width="0" style="130" hidden="1" customWidth="1"/>
    <col min="12029" max="12029" width="9.42578125" style="130" customWidth="1"/>
    <col min="12030" max="12030" width="0" style="130" hidden="1" customWidth="1"/>
    <col min="12031" max="12031" width="7.7109375" style="130" customWidth="1"/>
    <col min="12032" max="12035" width="0" style="130" hidden="1" customWidth="1"/>
    <col min="12036" max="12036" width="7.28515625" style="130" customWidth="1"/>
    <col min="12037" max="12037" width="0" style="130" hidden="1" customWidth="1"/>
    <col min="12038" max="12038" width="8.5703125" style="130" customWidth="1"/>
    <col min="12039" max="12041" width="0" style="130" hidden="1" customWidth="1"/>
    <col min="12042" max="12042" width="8" style="130" customWidth="1"/>
    <col min="12043" max="12043" width="41.5703125" style="130" customWidth="1"/>
    <col min="12044" max="12265" width="8.85546875" style="130"/>
    <col min="12266" max="12266" width="3.42578125" style="130" customWidth="1"/>
    <col min="12267" max="12267" width="4.85546875" style="130" customWidth="1"/>
    <col min="12268" max="12268" width="0.140625" style="130" customWidth="1"/>
    <col min="12269" max="12269" width="11" style="130" customWidth="1"/>
    <col min="12270" max="12270" width="18.7109375" style="130" customWidth="1"/>
    <col min="12271" max="12271" width="9.42578125" style="130" customWidth="1"/>
    <col min="12272" max="12272" width="0" style="130" hidden="1" customWidth="1"/>
    <col min="12273" max="12273" width="9.28515625" style="130" customWidth="1"/>
    <col min="12274" max="12277" width="0" style="130" hidden="1" customWidth="1"/>
    <col min="12278" max="12278" width="9.28515625" style="130" customWidth="1"/>
    <col min="12279" max="12279" width="0" style="130" hidden="1" customWidth="1"/>
    <col min="12280" max="12280" width="8.140625" style="130" customWidth="1"/>
    <col min="12281" max="12284" width="0" style="130" hidden="1" customWidth="1"/>
    <col min="12285" max="12285" width="9.42578125" style="130" customWidth="1"/>
    <col min="12286" max="12286" width="0" style="130" hidden="1" customWidth="1"/>
    <col min="12287" max="12287" width="7.7109375" style="130" customWidth="1"/>
    <col min="12288" max="12291" width="0" style="130" hidden="1" customWidth="1"/>
    <col min="12292" max="12292" width="7.28515625" style="130" customWidth="1"/>
    <col min="12293" max="12293" width="0" style="130" hidden="1" customWidth="1"/>
    <col min="12294" max="12294" width="8.5703125" style="130" customWidth="1"/>
    <col min="12295" max="12297" width="0" style="130" hidden="1" customWidth="1"/>
    <col min="12298" max="12298" width="8" style="130" customWidth="1"/>
    <col min="12299" max="12299" width="41.5703125" style="130" customWidth="1"/>
    <col min="12300" max="12521" width="8.85546875" style="130"/>
    <col min="12522" max="12522" width="3.42578125" style="130" customWidth="1"/>
    <col min="12523" max="12523" width="4.85546875" style="130" customWidth="1"/>
    <col min="12524" max="12524" width="0.140625" style="130" customWidth="1"/>
    <col min="12525" max="12525" width="11" style="130" customWidth="1"/>
    <col min="12526" max="12526" width="18.7109375" style="130" customWidth="1"/>
    <col min="12527" max="12527" width="9.42578125" style="130" customWidth="1"/>
    <col min="12528" max="12528" width="0" style="130" hidden="1" customWidth="1"/>
    <col min="12529" max="12529" width="9.28515625" style="130" customWidth="1"/>
    <col min="12530" max="12533" width="0" style="130" hidden="1" customWidth="1"/>
    <col min="12534" max="12534" width="9.28515625" style="130" customWidth="1"/>
    <col min="12535" max="12535" width="0" style="130" hidden="1" customWidth="1"/>
    <col min="12536" max="12536" width="8.140625" style="130" customWidth="1"/>
    <col min="12537" max="12540" width="0" style="130" hidden="1" customWidth="1"/>
    <col min="12541" max="12541" width="9.42578125" style="130" customWidth="1"/>
    <col min="12542" max="12542" width="0" style="130" hidden="1" customWidth="1"/>
    <col min="12543" max="12543" width="7.7109375" style="130" customWidth="1"/>
    <col min="12544" max="12547" width="0" style="130" hidden="1" customWidth="1"/>
    <col min="12548" max="12548" width="7.28515625" style="130" customWidth="1"/>
    <col min="12549" max="12549" width="0" style="130" hidden="1" customWidth="1"/>
    <col min="12550" max="12550" width="8.5703125" style="130" customWidth="1"/>
    <col min="12551" max="12553" width="0" style="130" hidden="1" customWidth="1"/>
    <col min="12554" max="12554" width="8" style="130" customWidth="1"/>
    <col min="12555" max="12555" width="41.5703125" style="130" customWidth="1"/>
    <col min="12556" max="12777" width="8.85546875" style="130"/>
    <col min="12778" max="12778" width="3.42578125" style="130" customWidth="1"/>
    <col min="12779" max="12779" width="4.85546875" style="130" customWidth="1"/>
    <col min="12780" max="12780" width="0.140625" style="130" customWidth="1"/>
    <col min="12781" max="12781" width="11" style="130" customWidth="1"/>
    <col min="12782" max="12782" width="18.7109375" style="130" customWidth="1"/>
    <col min="12783" max="12783" width="9.42578125" style="130" customWidth="1"/>
    <col min="12784" max="12784" width="0" style="130" hidden="1" customWidth="1"/>
    <col min="12785" max="12785" width="9.28515625" style="130" customWidth="1"/>
    <col min="12786" max="12789" width="0" style="130" hidden="1" customWidth="1"/>
    <col min="12790" max="12790" width="9.28515625" style="130" customWidth="1"/>
    <col min="12791" max="12791" width="0" style="130" hidden="1" customWidth="1"/>
    <col min="12792" max="12792" width="8.140625" style="130" customWidth="1"/>
    <col min="12793" max="12796" width="0" style="130" hidden="1" customWidth="1"/>
    <col min="12797" max="12797" width="9.42578125" style="130" customWidth="1"/>
    <col min="12798" max="12798" width="0" style="130" hidden="1" customWidth="1"/>
    <col min="12799" max="12799" width="7.7109375" style="130" customWidth="1"/>
    <col min="12800" max="12803" width="0" style="130" hidden="1" customWidth="1"/>
    <col min="12804" max="12804" width="7.28515625" style="130" customWidth="1"/>
    <col min="12805" max="12805" width="0" style="130" hidden="1" customWidth="1"/>
    <col min="12806" max="12806" width="8.5703125" style="130" customWidth="1"/>
    <col min="12807" max="12809" width="0" style="130" hidden="1" customWidth="1"/>
    <col min="12810" max="12810" width="8" style="130" customWidth="1"/>
    <col min="12811" max="12811" width="41.5703125" style="130" customWidth="1"/>
    <col min="12812" max="13033" width="8.85546875" style="130"/>
    <col min="13034" max="13034" width="3.42578125" style="130" customWidth="1"/>
    <col min="13035" max="13035" width="4.85546875" style="130" customWidth="1"/>
    <col min="13036" max="13036" width="0.140625" style="130" customWidth="1"/>
    <col min="13037" max="13037" width="11" style="130" customWidth="1"/>
    <col min="13038" max="13038" width="18.7109375" style="130" customWidth="1"/>
    <col min="13039" max="13039" width="9.42578125" style="130" customWidth="1"/>
    <col min="13040" max="13040" width="0" style="130" hidden="1" customWidth="1"/>
    <col min="13041" max="13041" width="9.28515625" style="130" customWidth="1"/>
    <col min="13042" max="13045" width="0" style="130" hidden="1" customWidth="1"/>
    <col min="13046" max="13046" width="9.28515625" style="130" customWidth="1"/>
    <col min="13047" max="13047" width="0" style="130" hidden="1" customWidth="1"/>
    <col min="13048" max="13048" width="8.140625" style="130" customWidth="1"/>
    <col min="13049" max="13052" width="0" style="130" hidden="1" customWidth="1"/>
    <col min="13053" max="13053" width="9.42578125" style="130" customWidth="1"/>
    <col min="13054" max="13054" width="0" style="130" hidden="1" customWidth="1"/>
    <col min="13055" max="13055" width="7.7109375" style="130" customWidth="1"/>
    <col min="13056" max="13059" width="0" style="130" hidden="1" customWidth="1"/>
    <col min="13060" max="13060" width="7.28515625" style="130" customWidth="1"/>
    <col min="13061" max="13061" width="0" style="130" hidden="1" customWidth="1"/>
    <col min="13062" max="13062" width="8.5703125" style="130" customWidth="1"/>
    <col min="13063" max="13065" width="0" style="130" hidden="1" customWidth="1"/>
    <col min="13066" max="13066" width="8" style="130" customWidth="1"/>
    <col min="13067" max="13067" width="41.5703125" style="130" customWidth="1"/>
    <col min="13068" max="13289" width="8.85546875" style="130"/>
    <col min="13290" max="13290" width="3.42578125" style="130" customWidth="1"/>
    <col min="13291" max="13291" width="4.85546875" style="130" customWidth="1"/>
    <col min="13292" max="13292" width="0.140625" style="130" customWidth="1"/>
    <col min="13293" max="13293" width="11" style="130" customWidth="1"/>
    <col min="13294" max="13294" width="18.7109375" style="130" customWidth="1"/>
    <col min="13295" max="13295" width="9.42578125" style="130" customWidth="1"/>
    <col min="13296" max="13296" width="0" style="130" hidden="1" customWidth="1"/>
    <col min="13297" max="13297" width="9.28515625" style="130" customWidth="1"/>
    <col min="13298" max="13301" width="0" style="130" hidden="1" customWidth="1"/>
    <col min="13302" max="13302" width="9.28515625" style="130" customWidth="1"/>
    <col min="13303" max="13303" width="0" style="130" hidden="1" customWidth="1"/>
    <col min="13304" max="13304" width="8.140625" style="130" customWidth="1"/>
    <col min="13305" max="13308" width="0" style="130" hidden="1" customWidth="1"/>
    <col min="13309" max="13309" width="9.42578125" style="130" customWidth="1"/>
    <col min="13310" max="13310" width="0" style="130" hidden="1" customWidth="1"/>
    <col min="13311" max="13311" width="7.7109375" style="130" customWidth="1"/>
    <col min="13312" max="13315" width="0" style="130" hidden="1" customWidth="1"/>
    <col min="13316" max="13316" width="7.28515625" style="130" customWidth="1"/>
    <col min="13317" max="13317" width="0" style="130" hidden="1" customWidth="1"/>
    <col min="13318" max="13318" width="8.5703125" style="130" customWidth="1"/>
    <col min="13319" max="13321" width="0" style="130" hidden="1" customWidth="1"/>
    <col min="13322" max="13322" width="8" style="130" customWidth="1"/>
    <col min="13323" max="13323" width="41.5703125" style="130" customWidth="1"/>
    <col min="13324" max="13545" width="8.85546875" style="130"/>
    <col min="13546" max="13546" width="3.42578125" style="130" customWidth="1"/>
    <col min="13547" max="13547" width="4.85546875" style="130" customWidth="1"/>
    <col min="13548" max="13548" width="0.140625" style="130" customWidth="1"/>
    <col min="13549" max="13549" width="11" style="130" customWidth="1"/>
    <col min="13550" max="13550" width="18.7109375" style="130" customWidth="1"/>
    <col min="13551" max="13551" width="9.42578125" style="130" customWidth="1"/>
    <col min="13552" max="13552" width="0" style="130" hidden="1" customWidth="1"/>
    <col min="13553" max="13553" width="9.28515625" style="130" customWidth="1"/>
    <col min="13554" max="13557" width="0" style="130" hidden="1" customWidth="1"/>
    <col min="13558" max="13558" width="9.28515625" style="130" customWidth="1"/>
    <col min="13559" max="13559" width="0" style="130" hidden="1" customWidth="1"/>
    <col min="13560" max="13560" width="8.140625" style="130" customWidth="1"/>
    <col min="13561" max="13564" width="0" style="130" hidden="1" customWidth="1"/>
    <col min="13565" max="13565" width="9.42578125" style="130" customWidth="1"/>
    <col min="13566" max="13566" width="0" style="130" hidden="1" customWidth="1"/>
    <col min="13567" max="13567" width="7.7109375" style="130" customWidth="1"/>
    <col min="13568" max="13571" width="0" style="130" hidden="1" customWidth="1"/>
    <col min="13572" max="13572" width="7.28515625" style="130" customWidth="1"/>
    <col min="13573" max="13573" width="0" style="130" hidden="1" customWidth="1"/>
    <col min="13574" max="13574" width="8.5703125" style="130" customWidth="1"/>
    <col min="13575" max="13577" width="0" style="130" hidden="1" customWidth="1"/>
    <col min="13578" max="13578" width="8" style="130" customWidth="1"/>
    <col min="13579" max="13579" width="41.5703125" style="130" customWidth="1"/>
    <col min="13580" max="13801" width="8.85546875" style="130"/>
    <col min="13802" max="13802" width="3.42578125" style="130" customWidth="1"/>
    <col min="13803" max="13803" width="4.85546875" style="130" customWidth="1"/>
    <col min="13804" max="13804" width="0.140625" style="130" customWidth="1"/>
    <col min="13805" max="13805" width="11" style="130" customWidth="1"/>
    <col min="13806" max="13806" width="18.7109375" style="130" customWidth="1"/>
    <col min="13807" max="13807" width="9.42578125" style="130" customWidth="1"/>
    <col min="13808" max="13808" width="0" style="130" hidden="1" customWidth="1"/>
    <col min="13809" max="13809" width="9.28515625" style="130" customWidth="1"/>
    <col min="13810" max="13813" width="0" style="130" hidden="1" customWidth="1"/>
    <col min="13814" max="13814" width="9.28515625" style="130" customWidth="1"/>
    <col min="13815" max="13815" width="0" style="130" hidden="1" customWidth="1"/>
    <col min="13816" max="13816" width="8.140625" style="130" customWidth="1"/>
    <col min="13817" max="13820" width="0" style="130" hidden="1" customWidth="1"/>
    <col min="13821" max="13821" width="9.42578125" style="130" customWidth="1"/>
    <col min="13822" max="13822" width="0" style="130" hidden="1" customWidth="1"/>
    <col min="13823" max="13823" width="7.7109375" style="130" customWidth="1"/>
    <col min="13824" max="13827" width="0" style="130" hidden="1" customWidth="1"/>
    <col min="13828" max="13828" width="7.28515625" style="130" customWidth="1"/>
    <col min="13829" max="13829" width="0" style="130" hidden="1" customWidth="1"/>
    <col min="13830" max="13830" width="8.5703125" style="130" customWidth="1"/>
    <col min="13831" max="13833" width="0" style="130" hidden="1" customWidth="1"/>
    <col min="13834" max="13834" width="8" style="130" customWidth="1"/>
    <col min="13835" max="13835" width="41.5703125" style="130" customWidth="1"/>
    <col min="13836" max="14057" width="8.85546875" style="130"/>
    <col min="14058" max="14058" width="3.42578125" style="130" customWidth="1"/>
    <col min="14059" max="14059" width="4.85546875" style="130" customWidth="1"/>
    <col min="14060" max="14060" width="0.140625" style="130" customWidth="1"/>
    <col min="14061" max="14061" width="11" style="130" customWidth="1"/>
    <col min="14062" max="14062" width="18.7109375" style="130" customWidth="1"/>
    <col min="14063" max="14063" width="9.42578125" style="130" customWidth="1"/>
    <col min="14064" max="14064" width="0" style="130" hidden="1" customWidth="1"/>
    <col min="14065" max="14065" width="9.28515625" style="130" customWidth="1"/>
    <col min="14066" max="14069" width="0" style="130" hidden="1" customWidth="1"/>
    <col min="14070" max="14070" width="9.28515625" style="130" customWidth="1"/>
    <col min="14071" max="14071" width="0" style="130" hidden="1" customWidth="1"/>
    <col min="14072" max="14072" width="8.140625" style="130" customWidth="1"/>
    <col min="14073" max="14076" width="0" style="130" hidden="1" customWidth="1"/>
    <col min="14077" max="14077" width="9.42578125" style="130" customWidth="1"/>
    <col min="14078" max="14078" width="0" style="130" hidden="1" customWidth="1"/>
    <col min="14079" max="14079" width="7.7109375" style="130" customWidth="1"/>
    <col min="14080" max="14083" width="0" style="130" hidden="1" customWidth="1"/>
    <col min="14084" max="14084" width="7.28515625" style="130" customWidth="1"/>
    <col min="14085" max="14085" width="0" style="130" hidden="1" customWidth="1"/>
    <col min="14086" max="14086" width="8.5703125" style="130" customWidth="1"/>
    <col min="14087" max="14089" width="0" style="130" hidden="1" customWidth="1"/>
    <col min="14090" max="14090" width="8" style="130" customWidth="1"/>
    <col min="14091" max="14091" width="41.5703125" style="130" customWidth="1"/>
    <col min="14092" max="14313" width="8.85546875" style="130"/>
    <col min="14314" max="14314" width="3.42578125" style="130" customWidth="1"/>
    <col min="14315" max="14315" width="4.85546875" style="130" customWidth="1"/>
    <col min="14316" max="14316" width="0.140625" style="130" customWidth="1"/>
    <col min="14317" max="14317" width="11" style="130" customWidth="1"/>
    <col min="14318" max="14318" width="18.7109375" style="130" customWidth="1"/>
    <col min="14319" max="14319" width="9.42578125" style="130" customWidth="1"/>
    <col min="14320" max="14320" width="0" style="130" hidden="1" customWidth="1"/>
    <col min="14321" max="14321" width="9.28515625" style="130" customWidth="1"/>
    <col min="14322" max="14325" width="0" style="130" hidden="1" customWidth="1"/>
    <col min="14326" max="14326" width="9.28515625" style="130" customWidth="1"/>
    <col min="14327" max="14327" width="0" style="130" hidden="1" customWidth="1"/>
    <col min="14328" max="14328" width="8.140625" style="130" customWidth="1"/>
    <col min="14329" max="14332" width="0" style="130" hidden="1" customWidth="1"/>
    <col min="14333" max="14333" width="9.42578125" style="130" customWidth="1"/>
    <col min="14334" max="14334" width="0" style="130" hidden="1" customWidth="1"/>
    <col min="14335" max="14335" width="7.7109375" style="130" customWidth="1"/>
    <col min="14336" max="14339" width="0" style="130" hidden="1" customWidth="1"/>
    <col min="14340" max="14340" width="7.28515625" style="130" customWidth="1"/>
    <col min="14341" max="14341" width="0" style="130" hidden="1" customWidth="1"/>
    <col min="14342" max="14342" width="8.5703125" style="130" customWidth="1"/>
    <col min="14343" max="14345" width="0" style="130" hidden="1" customWidth="1"/>
    <col min="14346" max="14346" width="8" style="130" customWidth="1"/>
    <col min="14347" max="14347" width="41.5703125" style="130" customWidth="1"/>
    <col min="14348" max="14569" width="8.85546875" style="130"/>
    <col min="14570" max="14570" width="3.42578125" style="130" customWidth="1"/>
    <col min="14571" max="14571" width="4.85546875" style="130" customWidth="1"/>
    <col min="14572" max="14572" width="0.140625" style="130" customWidth="1"/>
    <col min="14573" max="14573" width="11" style="130" customWidth="1"/>
    <col min="14574" max="14574" width="18.7109375" style="130" customWidth="1"/>
    <col min="14575" max="14575" width="9.42578125" style="130" customWidth="1"/>
    <col min="14576" max="14576" width="0" style="130" hidden="1" customWidth="1"/>
    <col min="14577" max="14577" width="9.28515625" style="130" customWidth="1"/>
    <col min="14578" max="14581" width="0" style="130" hidden="1" customWidth="1"/>
    <col min="14582" max="14582" width="9.28515625" style="130" customWidth="1"/>
    <col min="14583" max="14583" width="0" style="130" hidden="1" customWidth="1"/>
    <col min="14584" max="14584" width="8.140625" style="130" customWidth="1"/>
    <col min="14585" max="14588" width="0" style="130" hidden="1" customWidth="1"/>
    <col min="14589" max="14589" width="9.42578125" style="130" customWidth="1"/>
    <col min="14590" max="14590" width="0" style="130" hidden="1" customWidth="1"/>
    <col min="14591" max="14591" width="7.7109375" style="130" customWidth="1"/>
    <col min="14592" max="14595" width="0" style="130" hidden="1" customWidth="1"/>
    <col min="14596" max="14596" width="7.28515625" style="130" customWidth="1"/>
    <col min="14597" max="14597" width="0" style="130" hidden="1" customWidth="1"/>
    <col min="14598" max="14598" width="8.5703125" style="130" customWidth="1"/>
    <col min="14599" max="14601" width="0" style="130" hidden="1" customWidth="1"/>
    <col min="14602" max="14602" width="8" style="130" customWidth="1"/>
    <col min="14603" max="14603" width="41.5703125" style="130" customWidth="1"/>
    <col min="14604" max="14825" width="8.85546875" style="130"/>
    <col min="14826" max="14826" width="3.42578125" style="130" customWidth="1"/>
    <col min="14827" max="14827" width="4.85546875" style="130" customWidth="1"/>
    <col min="14828" max="14828" width="0.140625" style="130" customWidth="1"/>
    <col min="14829" max="14829" width="11" style="130" customWidth="1"/>
    <col min="14830" max="14830" width="18.7109375" style="130" customWidth="1"/>
    <col min="14831" max="14831" width="9.42578125" style="130" customWidth="1"/>
    <col min="14832" max="14832" width="0" style="130" hidden="1" customWidth="1"/>
    <col min="14833" max="14833" width="9.28515625" style="130" customWidth="1"/>
    <col min="14834" max="14837" width="0" style="130" hidden="1" customWidth="1"/>
    <col min="14838" max="14838" width="9.28515625" style="130" customWidth="1"/>
    <col min="14839" max="14839" width="0" style="130" hidden="1" customWidth="1"/>
    <col min="14840" max="14840" width="8.140625" style="130" customWidth="1"/>
    <col min="14841" max="14844" width="0" style="130" hidden="1" customWidth="1"/>
    <col min="14845" max="14845" width="9.42578125" style="130" customWidth="1"/>
    <col min="14846" max="14846" width="0" style="130" hidden="1" customWidth="1"/>
    <col min="14847" max="14847" width="7.7109375" style="130" customWidth="1"/>
    <col min="14848" max="14851" width="0" style="130" hidden="1" customWidth="1"/>
    <col min="14852" max="14852" width="7.28515625" style="130" customWidth="1"/>
    <col min="14853" max="14853" width="0" style="130" hidden="1" customWidth="1"/>
    <col min="14854" max="14854" width="8.5703125" style="130" customWidth="1"/>
    <col min="14855" max="14857" width="0" style="130" hidden="1" customWidth="1"/>
    <col min="14858" max="14858" width="8" style="130" customWidth="1"/>
    <col min="14859" max="14859" width="41.5703125" style="130" customWidth="1"/>
    <col min="14860" max="15081" width="8.85546875" style="130"/>
    <col min="15082" max="15082" width="3.42578125" style="130" customWidth="1"/>
    <col min="15083" max="15083" width="4.85546875" style="130" customWidth="1"/>
    <col min="15084" max="15084" width="0.140625" style="130" customWidth="1"/>
    <col min="15085" max="15085" width="11" style="130" customWidth="1"/>
    <col min="15086" max="15086" width="18.7109375" style="130" customWidth="1"/>
    <col min="15087" max="15087" width="9.42578125" style="130" customWidth="1"/>
    <col min="15088" max="15088" width="0" style="130" hidden="1" customWidth="1"/>
    <col min="15089" max="15089" width="9.28515625" style="130" customWidth="1"/>
    <col min="15090" max="15093" width="0" style="130" hidden="1" customWidth="1"/>
    <col min="15094" max="15094" width="9.28515625" style="130" customWidth="1"/>
    <col min="15095" max="15095" width="0" style="130" hidden="1" customWidth="1"/>
    <col min="15096" max="15096" width="8.140625" style="130" customWidth="1"/>
    <col min="15097" max="15100" width="0" style="130" hidden="1" customWidth="1"/>
    <col min="15101" max="15101" width="9.42578125" style="130" customWidth="1"/>
    <col min="15102" max="15102" width="0" style="130" hidden="1" customWidth="1"/>
    <col min="15103" max="15103" width="7.7109375" style="130" customWidth="1"/>
    <col min="15104" max="15107" width="0" style="130" hidden="1" customWidth="1"/>
    <col min="15108" max="15108" width="7.28515625" style="130" customWidth="1"/>
    <col min="15109" max="15109" width="0" style="130" hidden="1" customWidth="1"/>
    <col min="15110" max="15110" width="8.5703125" style="130" customWidth="1"/>
    <col min="15111" max="15113" width="0" style="130" hidden="1" customWidth="1"/>
    <col min="15114" max="15114" width="8" style="130" customWidth="1"/>
    <col min="15115" max="15115" width="41.5703125" style="130" customWidth="1"/>
    <col min="15116" max="15337" width="8.85546875" style="130"/>
    <col min="15338" max="15338" width="3.42578125" style="130" customWidth="1"/>
    <col min="15339" max="15339" width="4.85546875" style="130" customWidth="1"/>
    <col min="15340" max="15340" width="0.140625" style="130" customWidth="1"/>
    <col min="15341" max="15341" width="11" style="130" customWidth="1"/>
    <col min="15342" max="15342" width="18.7109375" style="130" customWidth="1"/>
    <col min="15343" max="15343" width="9.42578125" style="130" customWidth="1"/>
    <col min="15344" max="15344" width="0" style="130" hidden="1" customWidth="1"/>
    <col min="15345" max="15345" width="9.28515625" style="130" customWidth="1"/>
    <col min="15346" max="15349" width="0" style="130" hidden="1" customWidth="1"/>
    <col min="15350" max="15350" width="9.28515625" style="130" customWidth="1"/>
    <col min="15351" max="15351" width="0" style="130" hidden="1" customWidth="1"/>
    <col min="15352" max="15352" width="8.140625" style="130" customWidth="1"/>
    <col min="15353" max="15356" width="0" style="130" hidden="1" customWidth="1"/>
    <col min="15357" max="15357" width="9.42578125" style="130" customWidth="1"/>
    <col min="15358" max="15358" width="0" style="130" hidden="1" customWidth="1"/>
    <col min="15359" max="15359" width="7.7109375" style="130" customWidth="1"/>
    <col min="15360" max="15363" width="0" style="130" hidden="1" customWidth="1"/>
    <col min="15364" max="15364" width="7.28515625" style="130" customWidth="1"/>
    <col min="15365" max="15365" width="0" style="130" hidden="1" customWidth="1"/>
    <col min="15366" max="15366" width="8.5703125" style="130" customWidth="1"/>
    <col min="15367" max="15369" width="0" style="130" hidden="1" customWidth="1"/>
    <col min="15370" max="15370" width="8" style="130" customWidth="1"/>
    <col min="15371" max="15371" width="41.5703125" style="130" customWidth="1"/>
    <col min="15372" max="15593" width="8.85546875" style="130"/>
    <col min="15594" max="15594" width="3.42578125" style="130" customWidth="1"/>
    <col min="15595" max="15595" width="4.85546875" style="130" customWidth="1"/>
    <col min="15596" max="15596" width="0.140625" style="130" customWidth="1"/>
    <col min="15597" max="15597" width="11" style="130" customWidth="1"/>
    <col min="15598" max="15598" width="18.7109375" style="130" customWidth="1"/>
    <col min="15599" max="15599" width="9.42578125" style="130" customWidth="1"/>
    <col min="15600" max="15600" width="0" style="130" hidden="1" customWidth="1"/>
    <col min="15601" max="15601" width="9.28515625" style="130" customWidth="1"/>
    <col min="15602" max="15605" width="0" style="130" hidden="1" customWidth="1"/>
    <col min="15606" max="15606" width="9.28515625" style="130" customWidth="1"/>
    <col min="15607" max="15607" width="0" style="130" hidden="1" customWidth="1"/>
    <col min="15608" max="15608" width="8.140625" style="130" customWidth="1"/>
    <col min="15609" max="15612" width="0" style="130" hidden="1" customWidth="1"/>
    <col min="15613" max="15613" width="9.42578125" style="130" customWidth="1"/>
    <col min="15614" max="15614" width="0" style="130" hidden="1" customWidth="1"/>
    <col min="15615" max="15615" width="7.7109375" style="130" customWidth="1"/>
    <col min="15616" max="15619" width="0" style="130" hidden="1" customWidth="1"/>
    <col min="15620" max="15620" width="7.28515625" style="130" customWidth="1"/>
    <col min="15621" max="15621" width="0" style="130" hidden="1" customWidth="1"/>
    <col min="15622" max="15622" width="8.5703125" style="130" customWidth="1"/>
    <col min="15623" max="15625" width="0" style="130" hidden="1" customWidth="1"/>
    <col min="15626" max="15626" width="8" style="130" customWidth="1"/>
    <col min="15627" max="15627" width="41.5703125" style="130" customWidth="1"/>
    <col min="15628" max="15849" width="8.85546875" style="130"/>
    <col min="15850" max="15850" width="3.42578125" style="130" customWidth="1"/>
    <col min="15851" max="15851" width="4.85546875" style="130" customWidth="1"/>
    <col min="15852" max="15852" width="0.140625" style="130" customWidth="1"/>
    <col min="15853" max="15853" width="11" style="130" customWidth="1"/>
    <col min="15854" max="15854" width="18.7109375" style="130" customWidth="1"/>
    <col min="15855" max="15855" width="9.42578125" style="130" customWidth="1"/>
    <col min="15856" max="15856" width="0" style="130" hidden="1" customWidth="1"/>
    <col min="15857" max="15857" width="9.28515625" style="130" customWidth="1"/>
    <col min="15858" max="15861" width="0" style="130" hidden="1" customWidth="1"/>
    <col min="15862" max="15862" width="9.28515625" style="130" customWidth="1"/>
    <col min="15863" max="15863" width="0" style="130" hidden="1" customWidth="1"/>
    <col min="15864" max="15864" width="8.140625" style="130" customWidth="1"/>
    <col min="15865" max="15868" width="0" style="130" hidden="1" customWidth="1"/>
    <col min="15869" max="15869" width="9.42578125" style="130" customWidth="1"/>
    <col min="15870" max="15870" width="0" style="130" hidden="1" customWidth="1"/>
    <col min="15871" max="15871" width="7.7109375" style="130" customWidth="1"/>
    <col min="15872" max="15875" width="0" style="130" hidden="1" customWidth="1"/>
    <col min="15876" max="15876" width="7.28515625" style="130" customWidth="1"/>
    <col min="15877" max="15877" width="0" style="130" hidden="1" customWidth="1"/>
    <col min="15878" max="15878" width="8.5703125" style="130" customWidth="1"/>
    <col min="15879" max="15881" width="0" style="130" hidden="1" customWidth="1"/>
    <col min="15882" max="15882" width="8" style="130" customWidth="1"/>
    <col min="15883" max="15883" width="41.5703125" style="130" customWidth="1"/>
    <col min="15884" max="16105" width="8.85546875" style="130"/>
    <col min="16106" max="16106" width="3.42578125" style="130" customWidth="1"/>
    <col min="16107" max="16107" width="4.85546875" style="130" customWidth="1"/>
    <col min="16108" max="16108" width="0.140625" style="130" customWidth="1"/>
    <col min="16109" max="16109" width="11" style="130" customWidth="1"/>
    <col min="16110" max="16110" width="18.7109375" style="130" customWidth="1"/>
    <col min="16111" max="16111" width="9.42578125" style="130" customWidth="1"/>
    <col min="16112" max="16112" width="0" style="130" hidden="1" customWidth="1"/>
    <col min="16113" max="16113" width="9.28515625" style="130" customWidth="1"/>
    <col min="16114" max="16117" width="0" style="130" hidden="1" customWidth="1"/>
    <col min="16118" max="16118" width="9.28515625" style="130" customWidth="1"/>
    <col min="16119" max="16119" width="0" style="130" hidden="1" customWidth="1"/>
    <col min="16120" max="16120" width="8.140625" style="130" customWidth="1"/>
    <col min="16121" max="16124" width="0" style="130" hidden="1" customWidth="1"/>
    <col min="16125" max="16125" width="9.42578125" style="130" customWidth="1"/>
    <col min="16126" max="16126" width="0" style="130" hidden="1" customWidth="1"/>
    <col min="16127" max="16127" width="7.7109375" style="130" customWidth="1"/>
    <col min="16128" max="16131" width="0" style="130" hidden="1" customWidth="1"/>
    <col min="16132" max="16132" width="7.28515625" style="130" customWidth="1"/>
    <col min="16133" max="16133" width="0" style="130" hidden="1" customWidth="1"/>
    <col min="16134" max="16134" width="8.5703125" style="130" customWidth="1"/>
    <col min="16135" max="16137" width="0" style="130" hidden="1" customWidth="1"/>
    <col min="16138" max="16138" width="8" style="130" customWidth="1"/>
    <col min="16139" max="16139" width="41.5703125" style="130" customWidth="1"/>
    <col min="16140" max="16384" width="8.85546875" style="130"/>
  </cols>
  <sheetData>
    <row r="1" spans="1:15" ht="12.75" x14ac:dyDescent="0.2">
      <c r="O1" s="603" t="s">
        <v>1005</v>
      </c>
    </row>
    <row r="2" spans="1:15" ht="15" customHeight="1" x14ac:dyDescent="0.2">
      <c r="A2" s="1558" t="s">
        <v>794</v>
      </c>
      <c r="B2" s="1558"/>
      <c r="C2" s="1558"/>
      <c r="D2" s="1558"/>
      <c r="E2" s="1558"/>
      <c r="F2" s="1558"/>
      <c r="G2" s="1558"/>
      <c r="H2" s="1558"/>
      <c r="I2" s="1558"/>
      <c r="J2" s="1558"/>
      <c r="K2" s="1558"/>
      <c r="L2" s="1558"/>
      <c r="M2" s="1558"/>
      <c r="N2" s="1558"/>
      <c r="O2" s="1558"/>
    </row>
    <row r="3" spans="1:15" ht="12" customHeight="1" x14ac:dyDescent="0.2">
      <c r="D3" s="1559"/>
      <c r="E3" s="1559"/>
      <c r="F3" s="1559"/>
      <c r="M3" s="131"/>
      <c r="N3" s="248"/>
      <c r="O3" s="211" t="s">
        <v>0</v>
      </c>
    </row>
    <row r="4" spans="1:15" ht="12" customHeight="1" x14ac:dyDescent="0.2">
      <c r="A4" s="1560" t="s">
        <v>1</v>
      </c>
      <c r="B4" s="1560"/>
      <c r="C4" s="1560" t="s">
        <v>77</v>
      </c>
      <c r="D4" s="1560"/>
      <c r="E4" s="1561" t="s">
        <v>523</v>
      </c>
      <c r="F4" s="242" t="s">
        <v>5</v>
      </c>
      <c r="G4" s="1561" t="s">
        <v>61</v>
      </c>
      <c r="H4" s="242" t="s">
        <v>5</v>
      </c>
      <c r="I4" s="1561" t="s">
        <v>62</v>
      </c>
      <c r="J4" s="242" t="s">
        <v>5</v>
      </c>
      <c r="K4" s="1561" t="s">
        <v>64</v>
      </c>
      <c r="L4" s="242" t="s">
        <v>5</v>
      </c>
      <c r="M4" s="1539" t="s">
        <v>798</v>
      </c>
      <c r="N4" s="1539" t="s">
        <v>807</v>
      </c>
      <c r="O4" s="1562" t="s">
        <v>190</v>
      </c>
    </row>
    <row r="5" spans="1:15" ht="5.0999999999999996" customHeight="1" x14ac:dyDescent="0.2">
      <c r="A5" s="1560"/>
      <c r="B5" s="1560"/>
      <c r="C5" s="1560"/>
      <c r="D5" s="1560"/>
      <c r="E5" s="1561"/>
      <c r="F5" s="1564" t="s">
        <v>59</v>
      </c>
      <c r="G5" s="1561"/>
      <c r="H5" s="1564" t="s">
        <v>59</v>
      </c>
      <c r="I5" s="1561"/>
      <c r="J5" s="1564" t="s">
        <v>59</v>
      </c>
      <c r="K5" s="1561"/>
      <c r="L5" s="1564" t="s">
        <v>59</v>
      </c>
      <c r="M5" s="1539"/>
      <c r="N5" s="1539"/>
      <c r="O5" s="1563"/>
    </row>
    <row r="6" spans="1:15" ht="44.25" customHeight="1" x14ac:dyDescent="0.2">
      <c r="A6" s="243" t="s">
        <v>78</v>
      </c>
      <c r="B6" s="243" t="s">
        <v>81</v>
      </c>
      <c r="C6" s="243" t="s">
        <v>78</v>
      </c>
      <c r="D6" s="243" t="s">
        <v>81</v>
      </c>
      <c r="E6" s="1561"/>
      <c r="F6" s="1564"/>
      <c r="G6" s="1561"/>
      <c r="H6" s="1564"/>
      <c r="I6" s="1561"/>
      <c r="J6" s="1564"/>
      <c r="K6" s="1561"/>
      <c r="L6" s="1564"/>
      <c r="M6" s="1539"/>
      <c r="N6" s="1539"/>
      <c r="O6" s="1563"/>
    </row>
    <row r="7" spans="1:15" ht="12" customHeight="1" x14ac:dyDescent="0.2">
      <c r="A7" s="242">
        <v>1</v>
      </c>
      <c r="B7" s="242">
        <v>2</v>
      </c>
      <c r="C7" s="242">
        <v>3</v>
      </c>
      <c r="D7" s="242">
        <v>4</v>
      </c>
      <c r="E7" s="260">
        <v>5</v>
      </c>
      <c r="F7" s="243">
        <v>6</v>
      </c>
      <c r="G7" s="260">
        <v>7</v>
      </c>
      <c r="H7" s="243">
        <v>8</v>
      </c>
      <c r="I7" s="264">
        <v>9</v>
      </c>
      <c r="J7" s="243">
        <v>10</v>
      </c>
      <c r="K7" s="264">
        <v>11</v>
      </c>
      <c r="L7" s="243">
        <v>12</v>
      </c>
      <c r="M7" s="424">
        <v>13</v>
      </c>
      <c r="N7" s="424">
        <v>14</v>
      </c>
      <c r="O7" s="172">
        <v>15</v>
      </c>
    </row>
    <row r="8" spans="1:15" ht="41.25" hidden="1" customHeight="1" x14ac:dyDescent="0.2">
      <c r="A8" s="1565">
        <v>7</v>
      </c>
      <c r="B8" s="1566" t="s">
        <v>507</v>
      </c>
      <c r="C8" s="244"/>
      <c r="D8" s="132" t="s">
        <v>511</v>
      </c>
      <c r="E8" s="261"/>
      <c r="F8" s="242"/>
      <c r="G8" s="261"/>
      <c r="H8" s="242"/>
      <c r="I8" s="260"/>
      <c r="J8" s="242"/>
      <c r="K8" s="260"/>
      <c r="L8" s="242"/>
      <c r="M8" s="425" t="e">
        <f>#REF!-#REF!</f>
        <v>#REF!</v>
      </c>
      <c r="N8" s="425"/>
      <c r="O8" s="173"/>
    </row>
    <row r="9" spans="1:15" ht="21.6" hidden="1" customHeight="1" x14ac:dyDescent="0.2">
      <c r="A9" s="1565"/>
      <c r="B9" s="1566"/>
      <c r="C9" s="244"/>
      <c r="D9" s="133" t="s">
        <v>147</v>
      </c>
      <c r="E9" s="262"/>
      <c r="F9" s="242"/>
      <c r="G9" s="262"/>
      <c r="H9" s="242"/>
      <c r="I9" s="260"/>
      <c r="J9" s="242"/>
      <c r="K9" s="260"/>
      <c r="L9" s="242"/>
      <c r="M9" s="425" t="e">
        <f>#REF!-#REF!</f>
        <v>#REF!</v>
      </c>
      <c r="N9" s="425"/>
      <c r="O9" s="173"/>
    </row>
    <row r="10" spans="1:15" ht="31.5" hidden="1" customHeight="1" x14ac:dyDescent="0.2">
      <c r="A10" s="1565"/>
      <c r="B10" s="1566"/>
      <c r="C10" s="244"/>
      <c r="D10" s="132" t="s">
        <v>524</v>
      </c>
      <c r="E10" s="261"/>
      <c r="F10" s="242"/>
      <c r="G10" s="261"/>
      <c r="H10" s="242"/>
      <c r="I10" s="260"/>
      <c r="J10" s="242"/>
      <c r="K10" s="260"/>
      <c r="L10" s="242"/>
      <c r="M10" s="425" t="e">
        <f>#REF!-#REF!</f>
        <v>#REF!</v>
      </c>
      <c r="N10" s="425"/>
      <c r="O10" s="173"/>
    </row>
    <row r="11" spans="1:15" ht="19.899999999999999" hidden="1" customHeight="1" x14ac:dyDescent="0.2">
      <c r="A11" s="1565"/>
      <c r="B11" s="1566"/>
      <c r="C11" s="244"/>
      <c r="D11" s="133" t="s">
        <v>147</v>
      </c>
      <c r="E11" s="262"/>
      <c r="F11" s="242"/>
      <c r="G11" s="262"/>
      <c r="H11" s="242"/>
      <c r="I11" s="260"/>
      <c r="J11" s="242"/>
      <c r="K11" s="260"/>
      <c r="L11" s="242"/>
      <c r="M11" s="425" t="e">
        <f>#REF!-#REF!</f>
        <v>#REF!</v>
      </c>
      <c r="N11" s="425"/>
      <c r="O11" s="173"/>
    </row>
    <row r="12" spans="1:15" ht="22.9" hidden="1" customHeight="1" x14ac:dyDescent="0.2">
      <c r="A12" s="1567" t="s">
        <v>525</v>
      </c>
      <c r="B12" s="1567"/>
      <c r="C12" s="1567"/>
      <c r="D12" s="1567"/>
      <c r="E12" s="263"/>
      <c r="F12" s="134">
        <f>F8+F10</f>
        <v>0</v>
      </c>
      <c r="G12" s="263"/>
      <c r="H12" s="134">
        <f>H8+H10</f>
        <v>0</v>
      </c>
      <c r="I12" s="265"/>
      <c r="J12" s="134">
        <f>J8+J10</f>
        <v>0</v>
      </c>
      <c r="K12" s="265"/>
      <c r="L12" s="134">
        <f>L8+L10</f>
        <v>0</v>
      </c>
      <c r="M12" s="425" t="e">
        <f>#REF!-#REF!</f>
        <v>#REF!</v>
      </c>
      <c r="N12" s="425"/>
      <c r="O12" s="173"/>
    </row>
    <row r="13" spans="1:15" ht="22.9" hidden="1" customHeight="1" x14ac:dyDescent="0.2">
      <c r="A13" s="1567" t="s">
        <v>147</v>
      </c>
      <c r="B13" s="1567"/>
      <c r="C13" s="1567"/>
      <c r="D13" s="1567"/>
      <c r="E13" s="263"/>
      <c r="F13" s="134">
        <f>F11+F9</f>
        <v>0</v>
      </c>
      <c r="G13" s="263"/>
      <c r="H13" s="134">
        <f>H11+H9</f>
        <v>0</v>
      </c>
      <c r="I13" s="265"/>
      <c r="J13" s="134">
        <f>J11+J9</f>
        <v>0</v>
      </c>
      <c r="K13" s="265"/>
      <c r="L13" s="134">
        <f>L11+L9</f>
        <v>0</v>
      </c>
      <c r="M13" s="425" t="e">
        <f>M11+M9</f>
        <v>#REF!</v>
      </c>
      <c r="N13" s="425"/>
      <c r="O13" s="173"/>
    </row>
    <row r="14" spans="1:15" s="136" customFormat="1" ht="108" x14ac:dyDescent="0.2">
      <c r="A14" s="1564">
        <v>10</v>
      </c>
      <c r="B14" s="1568" t="s">
        <v>288</v>
      </c>
      <c r="C14" s="245">
        <v>10010101</v>
      </c>
      <c r="D14" s="297" t="s">
        <v>526</v>
      </c>
      <c r="E14" s="152">
        <v>64.900000000000006</v>
      </c>
      <c r="F14" s="287">
        <v>64.900000000000006</v>
      </c>
      <c r="G14" s="152">
        <f>SUM(H14)</f>
        <v>108.4</v>
      </c>
      <c r="H14" s="287">
        <v>108.4</v>
      </c>
      <c r="I14" s="152">
        <v>121.6</v>
      </c>
      <c r="J14" s="287">
        <v>121.6</v>
      </c>
      <c r="K14" s="152">
        <v>121.6</v>
      </c>
      <c r="L14" s="287">
        <v>121.6</v>
      </c>
      <c r="M14" s="426">
        <f>+K14-I14</f>
        <v>0</v>
      </c>
      <c r="N14" s="426">
        <f>+K14-E14</f>
        <v>56.699999999999989</v>
      </c>
      <c r="O14" s="174" t="s">
        <v>527</v>
      </c>
    </row>
    <row r="15" spans="1:15" s="136" customFormat="1" ht="67.900000000000006" hidden="1" customHeight="1" x14ac:dyDescent="0.2">
      <c r="A15" s="1564"/>
      <c r="B15" s="1568"/>
      <c r="C15" s="245"/>
      <c r="D15" s="135" t="s">
        <v>528</v>
      </c>
      <c r="E15" s="13">
        <f>SUM(F15:K15)</f>
        <v>0</v>
      </c>
      <c r="F15" s="78"/>
      <c r="G15" s="13">
        <f>SUM(H15:M15)</f>
        <v>0</v>
      </c>
      <c r="H15" s="78"/>
      <c r="I15" s="13"/>
      <c r="J15" s="11">
        <f>SUM(K15:L15)</f>
        <v>0</v>
      </c>
      <c r="K15" s="13"/>
      <c r="L15" s="11"/>
      <c r="M15" s="89">
        <f>+K15-I15</f>
        <v>0</v>
      </c>
      <c r="N15" s="87">
        <f t="shared" ref="N15:N41" si="0">+K15-E15</f>
        <v>0</v>
      </c>
      <c r="O15" s="137"/>
    </row>
    <row r="16" spans="1:15" s="136" customFormat="1" ht="36" hidden="1" customHeight="1" x14ac:dyDescent="0.2">
      <c r="A16" s="1564"/>
      <c r="B16" s="1568"/>
      <c r="C16" s="245"/>
      <c r="D16" s="135" t="s">
        <v>529</v>
      </c>
      <c r="E16" s="13">
        <f>SUM(F16:K16)</f>
        <v>0</v>
      </c>
      <c r="F16" s="11"/>
      <c r="G16" s="13">
        <f>SUM(H16:M16)</f>
        <v>0</v>
      </c>
      <c r="H16" s="11"/>
      <c r="I16" s="13"/>
      <c r="J16" s="11">
        <f>SUM(K16:L16)</f>
        <v>0</v>
      </c>
      <c r="K16" s="13"/>
      <c r="L16" s="11"/>
      <c r="M16" s="89">
        <f>+K16-I16</f>
        <v>0</v>
      </c>
      <c r="N16" s="87">
        <f t="shared" si="0"/>
        <v>0</v>
      </c>
      <c r="O16" s="137"/>
    </row>
    <row r="17" spans="1:17" s="136" customFormat="1" ht="15.75" customHeight="1" x14ac:dyDescent="0.2">
      <c r="A17" s="1564"/>
      <c r="B17" s="1568"/>
      <c r="C17" s="1569" t="s">
        <v>292</v>
      </c>
      <c r="D17" s="1569"/>
      <c r="E17" s="271">
        <f>SUM(E14:E16)</f>
        <v>64.900000000000006</v>
      </c>
      <c r="F17" s="288">
        <f>SUM(F14:F16)</f>
        <v>64.900000000000006</v>
      </c>
      <c r="G17" s="271">
        <f>SUM(G14:G16)</f>
        <v>108.4</v>
      </c>
      <c r="H17" s="288">
        <f>SUM(H14:H16)</f>
        <v>108.4</v>
      </c>
      <c r="I17" s="288">
        <f>SUM(I14)</f>
        <v>121.6</v>
      </c>
      <c r="J17" s="288">
        <f>SUM(J14:J16)</f>
        <v>121.6</v>
      </c>
      <c r="K17" s="288">
        <f>SUM(K14)</f>
        <v>121.6</v>
      </c>
      <c r="L17" s="288">
        <f>SUM(L14:L16)</f>
        <v>121.6</v>
      </c>
      <c r="M17" s="289">
        <f t="shared" ref="M17" si="1">SUM(M14)</f>
        <v>0</v>
      </c>
      <c r="N17" s="289">
        <f t="shared" si="0"/>
        <v>56.699999999999989</v>
      </c>
      <c r="O17" s="138"/>
    </row>
    <row r="18" spans="1:17" s="136" customFormat="1" ht="12.6" hidden="1" customHeight="1" x14ac:dyDescent="0.2">
      <c r="A18" s="1564"/>
      <c r="B18" s="1568"/>
      <c r="C18" s="1570" t="s">
        <v>147</v>
      </c>
      <c r="D18" s="1570"/>
      <c r="E18" s="80"/>
      <c r="F18" s="81"/>
      <c r="G18" s="80"/>
      <c r="H18" s="81"/>
      <c r="I18" s="81"/>
      <c r="J18" s="81"/>
      <c r="K18" s="81"/>
      <c r="L18" s="81"/>
      <c r="M18" s="139">
        <f>K18-E18</f>
        <v>0</v>
      </c>
      <c r="N18" s="87">
        <f t="shared" si="0"/>
        <v>0</v>
      </c>
      <c r="O18" s="140"/>
    </row>
    <row r="19" spans="1:17" s="136" customFormat="1" ht="45" customHeight="1" x14ac:dyDescent="0.2">
      <c r="A19" s="1564">
        <v>11</v>
      </c>
      <c r="B19" s="1564" t="s">
        <v>493</v>
      </c>
      <c r="C19" s="245">
        <v>11010223</v>
      </c>
      <c r="D19" s="297" t="s">
        <v>530</v>
      </c>
      <c r="E19" s="152">
        <v>43</v>
      </c>
      <c r="F19" s="287">
        <v>20</v>
      </c>
      <c r="G19" s="152">
        <v>43</v>
      </c>
      <c r="H19" s="287">
        <v>20</v>
      </c>
      <c r="I19" s="152">
        <v>20</v>
      </c>
      <c r="J19" s="287">
        <v>20</v>
      </c>
      <c r="K19" s="152">
        <v>20</v>
      </c>
      <c r="L19" s="287">
        <v>20</v>
      </c>
      <c r="M19" s="417"/>
      <c r="N19" s="426">
        <f t="shared" si="0"/>
        <v>-23</v>
      </c>
      <c r="O19" s="174" t="s">
        <v>531</v>
      </c>
    </row>
    <row r="20" spans="1:17" s="136" customFormat="1" ht="408" x14ac:dyDescent="0.2">
      <c r="A20" s="1564"/>
      <c r="B20" s="1564"/>
      <c r="C20" s="245">
        <v>11020101</v>
      </c>
      <c r="D20" s="297" t="s">
        <v>532</v>
      </c>
      <c r="E20" s="152">
        <v>155.69999999999999</v>
      </c>
      <c r="F20" s="287">
        <v>155.69999999999999</v>
      </c>
      <c r="G20" s="152">
        <f>SUM(H20)</f>
        <v>192.4</v>
      </c>
      <c r="H20" s="287">
        <v>192.4</v>
      </c>
      <c r="I20" s="152">
        <v>292.8</v>
      </c>
      <c r="J20" s="287">
        <v>292.8</v>
      </c>
      <c r="K20" s="152">
        <f>SUM(L20)</f>
        <v>279.89999999999998</v>
      </c>
      <c r="L20" s="287">
        <f>278+1.9</f>
        <v>279.89999999999998</v>
      </c>
      <c r="M20" s="426">
        <f t="shared" ref="M20:M28" si="2">+K20-I20</f>
        <v>-12.900000000000034</v>
      </c>
      <c r="N20" s="426">
        <f t="shared" si="0"/>
        <v>124.19999999999999</v>
      </c>
      <c r="O20" s="175" t="s">
        <v>741</v>
      </c>
    </row>
    <row r="21" spans="1:17" s="136" customFormat="1" ht="60" x14ac:dyDescent="0.2">
      <c r="A21" s="1564">
        <v>11</v>
      </c>
      <c r="B21" s="1564" t="s">
        <v>493</v>
      </c>
      <c r="C21" s="245">
        <v>11020102</v>
      </c>
      <c r="D21" s="297" t="s">
        <v>533</v>
      </c>
      <c r="E21" s="152">
        <v>6</v>
      </c>
      <c r="F21" s="290"/>
      <c r="G21" s="152">
        <v>6</v>
      </c>
      <c r="H21" s="290"/>
      <c r="I21" s="152">
        <v>6</v>
      </c>
      <c r="J21" s="290"/>
      <c r="K21" s="152">
        <v>6</v>
      </c>
      <c r="L21" s="290"/>
      <c r="M21" s="426">
        <f t="shared" si="2"/>
        <v>0</v>
      </c>
      <c r="N21" s="426">
        <f t="shared" si="0"/>
        <v>0</v>
      </c>
      <c r="O21" s="175" t="s">
        <v>534</v>
      </c>
    </row>
    <row r="22" spans="1:17" s="136" customFormat="1" ht="44.25" customHeight="1" x14ac:dyDescent="0.2">
      <c r="A22" s="1564"/>
      <c r="B22" s="1564"/>
      <c r="C22" s="245">
        <v>11020103</v>
      </c>
      <c r="D22" s="297" t="s">
        <v>535</v>
      </c>
      <c r="E22" s="152">
        <v>15.5</v>
      </c>
      <c r="F22" s="287">
        <v>6</v>
      </c>
      <c r="G22" s="152">
        <v>15.5</v>
      </c>
      <c r="H22" s="287">
        <v>6</v>
      </c>
      <c r="I22" s="152">
        <v>15.5</v>
      </c>
      <c r="J22" s="287">
        <v>6</v>
      </c>
      <c r="K22" s="152">
        <v>15.5</v>
      </c>
      <c r="L22" s="287">
        <v>6</v>
      </c>
      <c r="M22" s="426">
        <f t="shared" si="2"/>
        <v>0</v>
      </c>
      <c r="N22" s="426">
        <f t="shared" si="0"/>
        <v>0</v>
      </c>
      <c r="O22" s="175" t="s">
        <v>536</v>
      </c>
    </row>
    <row r="23" spans="1:17" s="136" customFormat="1" ht="48" customHeight="1" x14ac:dyDescent="0.2">
      <c r="A23" s="1564"/>
      <c r="B23" s="1564"/>
      <c r="C23" s="141">
        <v>11020201</v>
      </c>
      <c r="D23" s="298" t="s">
        <v>537</v>
      </c>
      <c r="E23" s="152">
        <v>6</v>
      </c>
      <c r="F23" s="290"/>
      <c r="G23" s="152">
        <v>6</v>
      </c>
      <c r="H23" s="290"/>
      <c r="I23" s="152">
        <v>18</v>
      </c>
      <c r="J23" s="287">
        <v>12</v>
      </c>
      <c r="K23" s="152">
        <v>12</v>
      </c>
      <c r="L23" s="287">
        <v>6</v>
      </c>
      <c r="M23" s="426">
        <f t="shared" si="2"/>
        <v>-6</v>
      </c>
      <c r="N23" s="426">
        <f t="shared" si="0"/>
        <v>6</v>
      </c>
      <c r="O23" s="174" t="s">
        <v>538</v>
      </c>
    </row>
    <row r="24" spans="1:17" s="136" customFormat="1" ht="94.5" customHeight="1" x14ac:dyDescent="0.2">
      <c r="A24" s="1564"/>
      <c r="B24" s="1564"/>
      <c r="C24" s="245">
        <v>11020202</v>
      </c>
      <c r="D24" s="297" t="s">
        <v>539</v>
      </c>
      <c r="E24" s="152">
        <v>79.5</v>
      </c>
      <c r="F24" s="287"/>
      <c r="G24" s="152">
        <v>79.5</v>
      </c>
      <c r="H24" s="287"/>
      <c r="I24" s="152">
        <v>129.30000000000001</v>
      </c>
      <c r="J24" s="287">
        <v>49.8</v>
      </c>
      <c r="K24" s="152">
        <v>129.30000000000001</v>
      </c>
      <c r="L24" s="287">
        <v>49.8</v>
      </c>
      <c r="M24" s="426">
        <f t="shared" si="2"/>
        <v>0</v>
      </c>
      <c r="N24" s="426">
        <f t="shared" si="0"/>
        <v>49.800000000000011</v>
      </c>
      <c r="O24" s="176" t="s">
        <v>540</v>
      </c>
    </row>
    <row r="25" spans="1:17" ht="60" x14ac:dyDescent="0.2">
      <c r="A25" s="1564"/>
      <c r="B25" s="1564"/>
      <c r="C25" s="142">
        <v>11020204</v>
      </c>
      <c r="D25" s="297" t="s">
        <v>542</v>
      </c>
      <c r="E25" s="152">
        <v>15</v>
      </c>
      <c r="F25" s="287"/>
      <c r="G25" s="152">
        <v>15</v>
      </c>
      <c r="H25" s="287"/>
      <c r="I25" s="152"/>
      <c r="J25" s="287">
        <f t="shared" ref="J25:J26" si="3">SUM(K25:L25)</f>
        <v>-15</v>
      </c>
      <c r="K25" s="152"/>
      <c r="L25" s="287">
        <f t="shared" ref="L25:L26" si="4">SUM(M25:O25)</f>
        <v>-15</v>
      </c>
      <c r="M25" s="426">
        <f t="shared" si="2"/>
        <v>0</v>
      </c>
      <c r="N25" s="426">
        <f t="shared" si="0"/>
        <v>-15</v>
      </c>
      <c r="O25" s="176" t="s">
        <v>688</v>
      </c>
      <c r="Q25" s="136"/>
    </row>
    <row r="26" spans="1:17" ht="36" x14ac:dyDescent="0.2">
      <c r="A26" s="1564"/>
      <c r="B26" s="1564"/>
      <c r="C26" s="142">
        <v>11020108</v>
      </c>
      <c r="D26" s="299" t="s">
        <v>541</v>
      </c>
      <c r="E26" s="152"/>
      <c r="F26" s="287"/>
      <c r="G26" s="152"/>
      <c r="H26" s="287"/>
      <c r="I26" s="152">
        <v>15</v>
      </c>
      <c r="J26" s="287">
        <f t="shared" si="3"/>
        <v>30</v>
      </c>
      <c r="K26" s="152">
        <v>15</v>
      </c>
      <c r="L26" s="287">
        <f t="shared" si="4"/>
        <v>15</v>
      </c>
      <c r="M26" s="426">
        <f t="shared" si="2"/>
        <v>0</v>
      </c>
      <c r="N26" s="426">
        <f t="shared" si="0"/>
        <v>15</v>
      </c>
      <c r="O26" s="177" t="s">
        <v>687</v>
      </c>
      <c r="Q26" s="136"/>
    </row>
    <row r="27" spans="1:17" ht="18" customHeight="1" x14ac:dyDescent="0.2">
      <c r="A27" s="1564"/>
      <c r="B27" s="1564"/>
      <c r="C27" s="143"/>
      <c r="D27" s="143" t="s">
        <v>543</v>
      </c>
      <c r="E27" s="271">
        <f t="shared" ref="E27:L27" si="5">SUM(E19:E26)</f>
        <v>320.7</v>
      </c>
      <c r="F27" s="288">
        <f t="shared" si="5"/>
        <v>181.7</v>
      </c>
      <c r="G27" s="271">
        <f t="shared" si="5"/>
        <v>357.4</v>
      </c>
      <c r="H27" s="288">
        <f t="shared" si="5"/>
        <v>218.4</v>
      </c>
      <c r="I27" s="288">
        <f t="shared" si="5"/>
        <v>496.6</v>
      </c>
      <c r="J27" s="288">
        <f t="shared" si="5"/>
        <v>395.6</v>
      </c>
      <c r="K27" s="288">
        <f t="shared" si="5"/>
        <v>477.7</v>
      </c>
      <c r="L27" s="288">
        <f t="shared" si="5"/>
        <v>361.7</v>
      </c>
      <c r="M27" s="289">
        <f t="shared" si="2"/>
        <v>-18.900000000000034</v>
      </c>
      <c r="N27" s="289">
        <f t="shared" si="0"/>
        <v>157</v>
      </c>
      <c r="O27" s="138"/>
      <c r="Q27" s="136"/>
    </row>
    <row r="28" spans="1:17" ht="14.1" hidden="1" customHeight="1" x14ac:dyDescent="0.2">
      <c r="A28" s="1569" t="s">
        <v>147</v>
      </c>
      <c r="B28" s="1569"/>
      <c r="C28" s="1569"/>
      <c r="D28" s="1569"/>
      <c r="E28" s="74"/>
      <c r="F28" s="79"/>
      <c r="G28" s="74"/>
      <c r="H28" s="79"/>
      <c r="I28" s="13"/>
      <c r="J28" s="79"/>
      <c r="K28" s="13"/>
      <c r="L28" s="79"/>
      <c r="M28" s="87">
        <f t="shared" si="2"/>
        <v>0</v>
      </c>
      <c r="N28" s="87">
        <f t="shared" si="0"/>
        <v>0</v>
      </c>
      <c r="O28" s="144"/>
      <c r="Q28" s="136"/>
    </row>
    <row r="29" spans="1:17" s="136" customFormat="1" ht="117.75" customHeight="1" x14ac:dyDescent="0.2">
      <c r="A29" s="503">
        <v>13</v>
      </c>
      <c r="B29" s="504" t="s">
        <v>544</v>
      </c>
      <c r="C29" s="245">
        <v>13010101</v>
      </c>
      <c r="D29" s="297" t="s">
        <v>545</v>
      </c>
      <c r="E29" s="152">
        <v>164.8</v>
      </c>
      <c r="F29" s="287">
        <v>11.8</v>
      </c>
      <c r="G29" s="152">
        <v>164.8</v>
      </c>
      <c r="H29" s="287">
        <v>11.8</v>
      </c>
      <c r="I29" s="152">
        <f>120+46.5</f>
        <v>166.5</v>
      </c>
      <c r="J29" s="287">
        <v>15</v>
      </c>
      <c r="K29" s="152">
        <f>120+46.5</f>
        <v>166.5</v>
      </c>
      <c r="L29" s="287">
        <v>15</v>
      </c>
      <c r="M29" s="426">
        <f>+K29-I29</f>
        <v>0</v>
      </c>
      <c r="N29" s="426">
        <f t="shared" si="0"/>
        <v>1.6999999999999886</v>
      </c>
      <c r="O29" s="178" t="s">
        <v>799</v>
      </c>
    </row>
    <row r="30" spans="1:17" s="136" customFormat="1" ht="409.5" customHeight="1" x14ac:dyDescent="0.2">
      <c r="A30" s="1564">
        <v>13</v>
      </c>
      <c r="B30" s="1568" t="s">
        <v>544</v>
      </c>
      <c r="C30" s="245">
        <v>13010201</v>
      </c>
      <c r="D30" s="297" t="s">
        <v>546</v>
      </c>
      <c r="E30" s="152">
        <v>1664.1</v>
      </c>
      <c r="F30" s="287">
        <v>530.4</v>
      </c>
      <c r="G30" s="152">
        <v>1694.1</v>
      </c>
      <c r="H30" s="287">
        <v>560.4</v>
      </c>
      <c r="I30" s="152">
        <v>1573.6</v>
      </c>
      <c r="J30" s="287">
        <v>634.9</v>
      </c>
      <c r="K30" s="152">
        <v>1479.9</v>
      </c>
      <c r="L30" s="287">
        <v>541.20000000000005</v>
      </c>
      <c r="M30" s="426">
        <f>+K30-I30</f>
        <v>-93.699999999999818</v>
      </c>
      <c r="N30" s="426">
        <f t="shared" si="0"/>
        <v>-184.19999999999982</v>
      </c>
      <c r="O30" s="179" t="s">
        <v>717</v>
      </c>
    </row>
    <row r="31" spans="1:17" s="136" customFormat="1" ht="15" customHeight="1" x14ac:dyDescent="0.2">
      <c r="A31" s="1564"/>
      <c r="B31" s="1568"/>
      <c r="C31" s="245"/>
      <c r="D31" s="291" t="s">
        <v>147</v>
      </c>
      <c r="E31" s="292">
        <v>409.7</v>
      </c>
      <c r="F31" s="293">
        <v>409.7</v>
      </c>
      <c r="G31" s="292">
        <v>258.5</v>
      </c>
      <c r="H31" s="293">
        <v>134</v>
      </c>
      <c r="I31" s="152"/>
      <c r="J31" s="287"/>
      <c r="K31" s="152"/>
      <c r="L31" s="287"/>
      <c r="M31" s="426"/>
      <c r="N31" s="426">
        <f t="shared" si="0"/>
        <v>-409.7</v>
      </c>
      <c r="O31" s="179"/>
    </row>
    <row r="32" spans="1:17" s="136" customFormat="1" ht="25.5" x14ac:dyDescent="0.2">
      <c r="A32" s="1564"/>
      <c r="B32" s="1568"/>
      <c r="C32" s="128">
        <v>13010222</v>
      </c>
      <c r="D32" s="276" t="s">
        <v>547</v>
      </c>
      <c r="E32" s="152">
        <v>20</v>
      </c>
      <c r="F32" s="287">
        <v>20</v>
      </c>
      <c r="G32" s="152">
        <v>20</v>
      </c>
      <c r="H32" s="287">
        <v>20</v>
      </c>
      <c r="I32" s="152"/>
      <c r="J32" s="287"/>
      <c r="K32" s="152"/>
      <c r="L32" s="287"/>
      <c r="M32" s="426">
        <f t="shared" ref="M32:M41" si="6">+K32-I32</f>
        <v>0</v>
      </c>
      <c r="N32" s="426">
        <f t="shared" si="0"/>
        <v>-20</v>
      </c>
      <c r="O32" s="179" t="s">
        <v>548</v>
      </c>
    </row>
    <row r="33" spans="1:18" s="136" customFormat="1" ht="84" x14ac:dyDescent="0.2">
      <c r="A33" s="1564"/>
      <c r="B33" s="1568"/>
      <c r="C33" s="128">
        <v>13010301</v>
      </c>
      <c r="D33" s="276" t="s">
        <v>549</v>
      </c>
      <c r="E33" s="152">
        <v>286.5</v>
      </c>
      <c r="F33" s="287">
        <v>286.5</v>
      </c>
      <c r="G33" s="152">
        <v>286.5</v>
      </c>
      <c r="H33" s="287">
        <v>286.5</v>
      </c>
      <c r="I33" s="152">
        <v>221.3</v>
      </c>
      <c r="J33" s="287">
        <v>221.3</v>
      </c>
      <c r="K33" s="152">
        <v>190</v>
      </c>
      <c r="L33" s="287">
        <v>190</v>
      </c>
      <c r="M33" s="426">
        <f t="shared" si="6"/>
        <v>-31.300000000000011</v>
      </c>
      <c r="N33" s="426">
        <f t="shared" si="0"/>
        <v>-96.5</v>
      </c>
      <c r="O33" s="178" t="s">
        <v>800</v>
      </c>
    </row>
    <row r="34" spans="1:18" s="136" customFormat="1" ht="51" x14ac:dyDescent="0.2">
      <c r="A34" s="1564"/>
      <c r="B34" s="1568"/>
      <c r="C34" s="128">
        <v>13010401</v>
      </c>
      <c r="D34" s="276" t="s">
        <v>550</v>
      </c>
      <c r="E34" s="152">
        <v>92.5</v>
      </c>
      <c r="F34" s="287">
        <v>92.5</v>
      </c>
      <c r="G34" s="152">
        <v>92.5</v>
      </c>
      <c r="H34" s="287">
        <v>92.5</v>
      </c>
      <c r="I34" s="152">
        <v>70</v>
      </c>
      <c r="J34" s="287">
        <v>70</v>
      </c>
      <c r="K34" s="152">
        <v>70</v>
      </c>
      <c r="L34" s="287">
        <v>70</v>
      </c>
      <c r="M34" s="426">
        <f t="shared" si="6"/>
        <v>0</v>
      </c>
      <c r="N34" s="426">
        <f t="shared" si="0"/>
        <v>-22.5</v>
      </c>
      <c r="O34" s="179" t="s">
        <v>749</v>
      </c>
    </row>
    <row r="35" spans="1:18" s="136" customFormat="1" ht="71.25" customHeight="1" x14ac:dyDescent="0.2">
      <c r="A35" s="1564"/>
      <c r="B35" s="1568"/>
      <c r="C35" s="128">
        <v>13010402</v>
      </c>
      <c r="D35" s="276" t="s">
        <v>551</v>
      </c>
      <c r="E35" s="152">
        <v>5</v>
      </c>
      <c r="F35" s="287">
        <v>5</v>
      </c>
      <c r="G35" s="152">
        <v>5</v>
      </c>
      <c r="H35" s="287">
        <v>5</v>
      </c>
      <c r="I35" s="152">
        <v>5</v>
      </c>
      <c r="J35" s="287">
        <v>5</v>
      </c>
      <c r="K35" s="152">
        <v>5</v>
      </c>
      <c r="L35" s="287">
        <v>5</v>
      </c>
      <c r="M35" s="426">
        <f t="shared" si="6"/>
        <v>0</v>
      </c>
      <c r="N35" s="426">
        <f t="shared" si="0"/>
        <v>0</v>
      </c>
      <c r="O35" s="178" t="s">
        <v>750</v>
      </c>
    </row>
    <row r="36" spans="1:18" s="136" customFormat="1" ht="36.75" customHeight="1" x14ac:dyDescent="0.2">
      <c r="A36" s="1564"/>
      <c r="B36" s="1568"/>
      <c r="C36" s="128">
        <v>13010224</v>
      </c>
      <c r="D36" s="276" t="s">
        <v>552</v>
      </c>
      <c r="E36" s="152"/>
      <c r="F36" s="287"/>
      <c r="G36" s="152">
        <v>125</v>
      </c>
      <c r="H36" s="287">
        <v>125</v>
      </c>
      <c r="I36" s="152">
        <v>125</v>
      </c>
      <c r="J36" s="287">
        <v>125</v>
      </c>
      <c r="K36" s="152">
        <v>125</v>
      </c>
      <c r="L36" s="287">
        <v>125</v>
      </c>
      <c r="M36" s="426">
        <f t="shared" si="6"/>
        <v>0</v>
      </c>
      <c r="N36" s="426">
        <f t="shared" si="0"/>
        <v>125</v>
      </c>
      <c r="O36" s="178" t="s">
        <v>751</v>
      </c>
    </row>
    <row r="37" spans="1:18" s="136" customFormat="1" ht="33.75" customHeight="1" x14ac:dyDescent="0.2">
      <c r="A37" s="1564">
        <v>13</v>
      </c>
      <c r="B37" s="1568" t="s">
        <v>544</v>
      </c>
      <c r="C37" s="128">
        <v>13010226</v>
      </c>
      <c r="D37" s="276" t="s">
        <v>553</v>
      </c>
      <c r="E37" s="152"/>
      <c r="F37" s="287"/>
      <c r="G37" s="152"/>
      <c r="H37" s="287"/>
      <c r="I37" s="152">
        <v>200</v>
      </c>
      <c r="J37" s="287">
        <v>200</v>
      </c>
      <c r="K37" s="152">
        <v>100</v>
      </c>
      <c r="L37" s="287">
        <v>100</v>
      </c>
      <c r="M37" s="426">
        <f t="shared" si="6"/>
        <v>-100</v>
      </c>
      <c r="N37" s="426">
        <f t="shared" si="0"/>
        <v>100</v>
      </c>
      <c r="O37" s="179" t="s">
        <v>752</v>
      </c>
    </row>
    <row r="38" spans="1:18" s="136" customFormat="1" ht="36" x14ac:dyDescent="0.2">
      <c r="A38" s="1564"/>
      <c r="B38" s="1568"/>
      <c r="C38" s="145">
        <v>13010501</v>
      </c>
      <c r="D38" s="276" t="s">
        <v>554</v>
      </c>
      <c r="E38" s="152">
        <v>15</v>
      </c>
      <c r="F38" s="287"/>
      <c r="G38" s="152">
        <v>15</v>
      </c>
      <c r="H38" s="287"/>
      <c r="I38" s="152">
        <v>15</v>
      </c>
      <c r="J38" s="287"/>
      <c r="K38" s="152">
        <v>15</v>
      </c>
      <c r="L38" s="287"/>
      <c r="M38" s="426">
        <f t="shared" si="6"/>
        <v>0</v>
      </c>
      <c r="N38" s="426">
        <f t="shared" si="0"/>
        <v>0</v>
      </c>
      <c r="O38" s="179" t="s">
        <v>686</v>
      </c>
    </row>
    <row r="39" spans="1:18" s="136" customFormat="1" ht="18.75" customHeight="1" x14ac:dyDescent="0.2">
      <c r="A39" s="1569" t="s">
        <v>555</v>
      </c>
      <c r="B39" s="1569"/>
      <c r="C39" s="1569"/>
      <c r="D39" s="1569"/>
      <c r="E39" s="271">
        <f>SUM(E29:E30,E32:E38)</f>
        <v>2247.8999999999996</v>
      </c>
      <c r="F39" s="271">
        <f t="shared" ref="F39" si="7">SUM(F29:F30,F32:F38)</f>
        <v>946.19999999999993</v>
      </c>
      <c r="G39" s="271">
        <f>SUM(G29:G30,G32:G38)</f>
        <v>2402.8999999999996</v>
      </c>
      <c r="H39" s="271">
        <f t="shared" ref="H39:L39" si="8">SUM(H29:H30,H32:H38)</f>
        <v>1101.1999999999998</v>
      </c>
      <c r="I39" s="271">
        <f t="shared" si="8"/>
        <v>2376.3999999999996</v>
      </c>
      <c r="J39" s="271">
        <f t="shared" si="8"/>
        <v>1271.2</v>
      </c>
      <c r="K39" s="271">
        <f t="shared" si="8"/>
        <v>2151.4</v>
      </c>
      <c r="L39" s="271">
        <f t="shared" si="8"/>
        <v>1046.2</v>
      </c>
      <c r="M39" s="289">
        <f t="shared" si="6"/>
        <v>-224.99999999999955</v>
      </c>
      <c r="N39" s="289">
        <f t="shared" si="0"/>
        <v>-96.499999999999545</v>
      </c>
      <c r="O39" s="138"/>
    </row>
    <row r="40" spans="1:18" s="136" customFormat="1" ht="16.149999999999999" customHeight="1" x14ac:dyDescent="0.2">
      <c r="A40" s="1572" t="s">
        <v>147</v>
      </c>
      <c r="B40" s="1572"/>
      <c r="C40" s="1572"/>
      <c r="D40" s="1572"/>
      <c r="E40" s="294">
        <v>409.7</v>
      </c>
      <c r="F40" s="295">
        <v>409.7</v>
      </c>
      <c r="G40" s="294">
        <v>258.5</v>
      </c>
      <c r="H40" s="295">
        <v>136</v>
      </c>
      <c r="I40" s="295"/>
      <c r="J40" s="295"/>
      <c r="K40" s="295"/>
      <c r="L40" s="295"/>
      <c r="M40" s="296">
        <f t="shared" si="6"/>
        <v>0</v>
      </c>
      <c r="N40" s="296">
        <f t="shared" si="0"/>
        <v>-409.7</v>
      </c>
      <c r="O40" s="138"/>
    </row>
    <row r="41" spans="1:18" s="136" customFormat="1" ht="23.45" customHeight="1" x14ac:dyDescent="0.2">
      <c r="A41" s="1573" t="s">
        <v>556</v>
      </c>
      <c r="B41" s="1573"/>
      <c r="C41" s="1573"/>
      <c r="D41" s="1573"/>
      <c r="E41" s="146">
        <f>E17+E27+E39</f>
        <v>2633.4999999999995</v>
      </c>
      <c r="F41" s="152">
        <f>SUM(F17,F27,F39)</f>
        <v>1192.8</v>
      </c>
      <c r="G41" s="146">
        <f>G17+G27+G39</f>
        <v>2868.7</v>
      </c>
      <c r="H41" s="152">
        <f>SUM(H17,H27,H39)</f>
        <v>1427.9999999999998</v>
      </c>
      <c r="I41" s="152">
        <f>I17+I27+I39</f>
        <v>2994.5999999999995</v>
      </c>
      <c r="J41" s="152">
        <f>SUM(J17,J27,J39)</f>
        <v>1788.4</v>
      </c>
      <c r="K41" s="152">
        <f>K17+K27+K39</f>
        <v>2750.7</v>
      </c>
      <c r="L41" s="152">
        <f>SUM(L17,L27,L39)</f>
        <v>1529.5</v>
      </c>
      <c r="M41" s="267">
        <f t="shared" si="6"/>
        <v>-243.89999999999964</v>
      </c>
      <c r="N41" s="267">
        <f t="shared" si="0"/>
        <v>117.20000000000027</v>
      </c>
      <c r="O41" s="147"/>
      <c r="R41" s="220"/>
    </row>
    <row r="42" spans="1:18" ht="17.25" customHeight="1" x14ac:dyDescent="0.2">
      <c r="A42" s="1572" t="s">
        <v>147</v>
      </c>
      <c r="B42" s="1572"/>
      <c r="C42" s="1572"/>
      <c r="D42" s="1572"/>
      <c r="E42" s="271">
        <f>E18+E28+E40</f>
        <v>409.7</v>
      </c>
      <c r="F42" s="288">
        <f>F40+F28+F18+F13</f>
        <v>409.7</v>
      </c>
      <c r="G42" s="271">
        <f>G18+G28+G40</f>
        <v>258.5</v>
      </c>
      <c r="H42" s="288">
        <f>H40+H28+H18+H13</f>
        <v>136</v>
      </c>
      <c r="I42" s="288"/>
      <c r="J42" s="288">
        <f>J40+J28+J18+J13</f>
        <v>0</v>
      </c>
      <c r="K42" s="288">
        <f>SUM(L42)</f>
        <v>0</v>
      </c>
      <c r="L42" s="288">
        <f>L40+L28+L18+L13</f>
        <v>0</v>
      </c>
      <c r="M42" s="289"/>
      <c r="N42" s="289">
        <f>+K42-E42</f>
        <v>-409.7</v>
      </c>
      <c r="O42" s="138"/>
      <c r="Q42" s="136"/>
    </row>
    <row r="43" spans="1:18" ht="25.5" customHeight="1" x14ac:dyDescent="0.2">
      <c r="A43" s="148"/>
      <c r="B43" s="1571"/>
      <c r="C43" s="1571"/>
      <c r="D43" s="1571"/>
      <c r="E43" s="1571"/>
      <c r="F43" s="1571"/>
      <c r="G43" s="148"/>
      <c r="H43" s="148"/>
      <c r="I43" s="148"/>
      <c r="J43" s="148"/>
      <c r="K43" s="148"/>
      <c r="L43" s="148"/>
      <c r="M43" s="149"/>
      <c r="N43" s="149"/>
      <c r="Q43" s="136"/>
    </row>
    <row r="44" spans="1:18" ht="12.75" x14ac:dyDescent="0.2">
      <c r="B44" s="1540" t="s">
        <v>128</v>
      </c>
      <c r="C44" s="1540"/>
      <c r="D44" s="1540"/>
      <c r="F44" s="136"/>
      <c r="L44" s="136"/>
      <c r="Q44" s="136"/>
    </row>
    <row r="45" spans="1:18" x14ac:dyDescent="0.2">
      <c r="F45" s="136"/>
      <c r="L45" s="136"/>
      <c r="Q45" s="136"/>
    </row>
    <row r="46" spans="1:18" x14ac:dyDescent="0.2">
      <c r="L46" s="136"/>
      <c r="Q46" s="136"/>
    </row>
    <row r="47" spans="1:18" x14ac:dyDescent="0.2">
      <c r="L47" s="136"/>
      <c r="Q47" s="136"/>
    </row>
    <row r="48" spans="1:18" x14ac:dyDescent="0.2">
      <c r="L48" s="136"/>
      <c r="Q48" s="136"/>
    </row>
    <row r="49" spans="12:17" x14ac:dyDescent="0.2">
      <c r="L49" s="136"/>
      <c r="Q49" s="136"/>
    </row>
    <row r="50" spans="12:17" x14ac:dyDescent="0.2">
      <c r="L50" s="136"/>
      <c r="Q50" s="136">
        <f t="shared" ref="Q50:Q51" si="9">+K50-I50-M50</f>
        <v>0</v>
      </c>
    </row>
    <row r="51" spans="12:17" x14ac:dyDescent="0.2">
      <c r="L51" s="136"/>
      <c r="Q51" s="136">
        <f t="shared" si="9"/>
        <v>0</v>
      </c>
    </row>
    <row r="52" spans="12:17" x14ac:dyDescent="0.2">
      <c r="L52" s="136"/>
    </row>
    <row r="53" spans="12:17" x14ac:dyDescent="0.2">
      <c r="L53" s="136"/>
    </row>
    <row r="54" spans="12:17" x14ac:dyDescent="0.2">
      <c r="L54" s="136"/>
    </row>
    <row r="55" spans="12:17" x14ac:dyDescent="0.2">
      <c r="L55" s="136"/>
    </row>
    <row r="56" spans="12:17" x14ac:dyDescent="0.2">
      <c r="L56" s="136"/>
    </row>
    <row r="57" spans="12:17" x14ac:dyDescent="0.2">
      <c r="L57" s="136"/>
    </row>
    <row r="58" spans="12:17" x14ac:dyDescent="0.2">
      <c r="L58" s="136"/>
    </row>
    <row r="59" spans="12:17" x14ac:dyDescent="0.2">
      <c r="L59" s="136"/>
    </row>
    <row r="60" spans="12:17" x14ac:dyDescent="0.2">
      <c r="L60" s="136"/>
    </row>
    <row r="61" spans="12:17" x14ac:dyDescent="0.2">
      <c r="L61" s="136"/>
    </row>
    <row r="62" spans="12:17" x14ac:dyDescent="0.2">
      <c r="L62" s="136"/>
    </row>
    <row r="63" spans="12:17" x14ac:dyDescent="0.2">
      <c r="L63" s="136"/>
    </row>
    <row r="64" spans="12:17" x14ac:dyDescent="0.2">
      <c r="L64" s="136"/>
    </row>
    <row r="65" spans="12:12" x14ac:dyDescent="0.2">
      <c r="L65" s="136"/>
    </row>
    <row r="66" spans="12:12" x14ac:dyDescent="0.2">
      <c r="L66" s="136"/>
    </row>
    <row r="67" spans="12:12" x14ac:dyDescent="0.2">
      <c r="L67" s="136"/>
    </row>
    <row r="68" spans="12:12" x14ac:dyDescent="0.2">
      <c r="L68" s="136"/>
    </row>
    <row r="69" spans="12:12" x14ac:dyDescent="0.2">
      <c r="L69" s="136"/>
    </row>
    <row r="70" spans="12:12" x14ac:dyDescent="0.2">
      <c r="L70" s="136"/>
    </row>
    <row r="71" spans="12:12" x14ac:dyDescent="0.2">
      <c r="L71" s="136"/>
    </row>
    <row r="72" spans="12:12" x14ac:dyDescent="0.2">
      <c r="L72" s="136"/>
    </row>
    <row r="73" spans="12:12" x14ac:dyDescent="0.2">
      <c r="L73" s="136"/>
    </row>
    <row r="74" spans="12:12" x14ac:dyDescent="0.2">
      <c r="L74" s="136"/>
    </row>
    <row r="75" spans="12:12" x14ac:dyDescent="0.2">
      <c r="L75" s="136"/>
    </row>
    <row r="76" spans="12:12" x14ac:dyDescent="0.2">
      <c r="L76" s="136"/>
    </row>
    <row r="77" spans="12:12" x14ac:dyDescent="0.2">
      <c r="L77" s="136"/>
    </row>
    <row r="78" spans="12:12" x14ac:dyDescent="0.2">
      <c r="L78" s="136"/>
    </row>
    <row r="79" spans="12:12" x14ac:dyDescent="0.2">
      <c r="L79" s="136"/>
    </row>
    <row r="80" spans="12:12" x14ac:dyDescent="0.2">
      <c r="L80" s="136"/>
    </row>
    <row r="81" spans="12:12" x14ac:dyDescent="0.2">
      <c r="L81" s="136"/>
    </row>
    <row r="82" spans="12:12" x14ac:dyDescent="0.2">
      <c r="L82" s="136"/>
    </row>
    <row r="83" spans="12:12" x14ac:dyDescent="0.2">
      <c r="L83" s="136"/>
    </row>
    <row r="84" spans="12:12" x14ac:dyDescent="0.2">
      <c r="L84" s="136"/>
    </row>
    <row r="85" spans="12:12" x14ac:dyDescent="0.2">
      <c r="L85" s="136"/>
    </row>
    <row r="86" spans="12:12" x14ac:dyDescent="0.2">
      <c r="L86" s="136"/>
    </row>
  </sheetData>
  <mergeCells count="38">
    <mergeCell ref="B44:D44"/>
    <mergeCell ref="A28:D28"/>
    <mergeCell ref="B37:B38"/>
    <mergeCell ref="A37:A38"/>
    <mergeCell ref="B30:B36"/>
    <mergeCell ref="A30:A36"/>
    <mergeCell ref="B43:F43"/>
    <mergeCell ref="A39:D39"/>
    <mergeCell ref="A40:D40"/>
    <mergeCell ref="A41:D41"/>
    <mergeCell ref="A42:D42"/>
    <mergeCell ref="A8:A11"/>
    <mergeCell ref="B8:B11"/>
    <mergeCell ref="B19:B20"/>
    <mergeCell ref="A19:A20"/>
    <mergeCell ref="B21:B27"/>
    <mergeCell ref="A21:A27"/>
    <mergeCell ref="A12:D12"/>
    <mergeCell ref="A13:D13"/>
    <mergeCell ref="A14:A18"/>
    <mergeCell ref="B14:B18"/>
    <mergeCell ref="C17:D17"/>
    <mergeCell ref="C18:D18"/>
    <mergeCell ref="A2:O2"/>
    <mergeCell ref="D3:F3"/>
    <mergeCell ref="A4:B5"/>
    <mergeCell ref="C4:D5"/>
    <mergeCell ref="E4:E6"/>
    <mergeCell ref="G4:G6"/>
    <mergeCell ref="I4:I6"/>
    <mergeCell ref="K4:K6"/>
    <mergeCell ref="M4:M6"/>
    <mergeCell ref="O4:O6"/>
    <mergeCell ref="J5:J6"/>
    <mergeCell ref="L5:L6"/>
    <mergeCell ref="N4:N6"/>
    <mergeCell ref="H5:H6"/>
    <mergeCell ref="F5:F6"/>
  </mergeCells>
  <pageMargins left="0.11811023622047245" right="0.11811023622047245" top="0.35433070866141736" bottom="0.31496062992125984" header="0" footer="0"/>
  <pageSetup paperSize="9" scale="71" fitToHeight="0" orientation="landscape" r:id="rId1"/>
  <headerFooter alignWithMargins="0">
    <oddFooter>&amp;C&amp;P</oddFooter>
  </headerFooter>
  <rowBreaks count="1" manualBreakCount="1">
    <brk id="20" max="14" man="1"/>
  </rowBreaks>
  <ignoredErrors>
    <ignoredError sqref="M8:M13" evalError="1"/>
    <ignoredError sqref="I17 K17:L17 F41:F42 H41 J41:K41 G42 K4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5"/>
  <sheetViews>
    <sheetView showZeros="0" zoomScaleNormal="100" zoomScaleSheetLayoutView="70" workbookViewId="0">
      <selection activeCell="O9" sqref="O9"/>
    </sheetView>
  </sheetViews>
  <sheetFormatPr defaultColWidth="9.140625" defaultRowHeight="12" x14ac:dyDescent="0.2"/>
  <cols>
    <col min="1" max="1" width="3.28515625" style="1" customWidth="1"/>
    <col min="2" max="2" width="11" style="1" customWidth="1"/>
    <col min="3" max="3" width="10.5703125" style="529" customWidth="1"/>
    <col min="4" max="4" width="36.28515625" style="530" customWidth="1"/>
    <col min="5" max="6" width="9.7109375" style="8" customWidth="1"/>
    <col min="7" max="7" width="9.7109375" style="9" customWidth="1"/>
    <col min="8" max="14" width="9.7109375" style="8" customWidth="1"/>
    <col min="15" max="15" width="43.42578125" style="12" customWidth="1"/>
    <col min="16" max="16384" width="9.140625" style="1"/>
  </cols>
  <sheetData>
    <row r="1" spans="1:17" ht="12.75" x14ac:dyDescent="0.2">
      <c r="O1" s="604" t="s">
        <v>1006</v>
      </c>
    </row>
    <row r="2" spans="1:17" s="2" customFormat="1" ht="12" customHeight="1" x14ac:dyDescent="0.2">
      <c r="A2" s="1586" t="s">
        <v>795</v>
      </c>
      <c r="B2" s="1586"/>
      <c r="C2" s="1586"/>
      <c r="D2" s="1586"/>
      <c r="E2" s="1586"/>
      <c r="F2" s="1586"/>
      <c r="G2" s="1586"/>
      <c r="H2" s="1586"/>
      <c r="I2" s="1586"/>
      <c r="J2" s="1586"/>
      <c r="K2" s="1586"/>
      <c r="L2" s="1586"/>
      <c r="M2" s="1586"/>
      <c r="N2" s="1586"/>
      <c r="O2" s="1586"/>
    </row>
    <row r="3" spans="1:17" x14ac:dyDescent="0.2">
      <c r="O3" s="236" t="s">
        <v>0</v>
      </c>
    </row>
    <row r="4" spans="1:17" ht="17.100000000000001" customHeight="1" x14ac:dyDescent="0.2">
      <c r="A4" s="1548" t="s">
        <v>1</v>
      </c>
      <c r="B4" s="1548"/>
      <c r="C4" s="1548" t="s">
        <v>77</v>
      </c>
      <c r="D4" s="1548"/>
      <c r="E4" s="1587" t="s">
        <v>60</v>
      </c>
      <c r="F4" s="3" t="s">
        <v>58</v>
      </c>
      <c r="G4" s="1587" t="s">
        <v>61</v>
      </c>
      <c r="H4" s="3" t="s">
        <v>58</v>
      </c>
      <c r="I4" s="1587" t="s">
        <v>62</v>
      </c>
      <c r="J4" s="3" t="s">
        <v>58</v>
      </c>
      <c r="K4" s="1587" t="s">
        <v>64</v>
      </c>
      <c r="L4" s="3" t="s">
        <v>58</v>
      </c>
      <c r="M4" s="1539" t="s">
        <v>798</v>
      </c>
      <c r="N4" s="1539" t="s">
        <v>807</v>
      </c>
      <c r="O4" s="1588" t="s">
        <v>190</v>
      </c>
    </row>
    <row r="5" spans="1:17" ht="44.25" customHeight="1" x14ac:dyDescent="0.2">
      <c r="A5" s="550" t="s">
        <v>78</v>
      </c>
      <c r="B5" s="549" t="s">
        <v>81</v>
      </c>
      <c r="C5" s="550" t="s">
        <v>78</v>
      </c>
      <c r="D5" s="549" t="s">
        <v>81</v>
      </c>
      <c r="E5" s="1587"/>
      <c r="F5" s="224" t="s">
        <v>59</v>
      </c>
      <c r="G5" s="1587"/>
      <c r="H5" s="224" t="s">
        <v>59</v>
      </c>
      <c r="I5" s="1587"/>
      <c r="J5" s="224" t="s">
        <v>59</v>
      </c>
      <c r="K5" s="1587"/>
      <c r="L5" s="224" t="s">
        <v>63</v>
      </c>
      <c r="M5" s="1539"/>
      <c r="N5" s="1539"/>
      <c r="O5" s="1588"/>
    </row>
    <row r="6" spans="1:17" ht="12" customHeight="1" x14ac:dyDescent="0.2">
      <c r="A6" s="223">
        <v>1</v>
      </c>
      <c r="B6" s="5">
        <v>2</v>
      </c>
      <c r="C6" s="10">
        <v>3</v>
      </c>
      <c r="D6" s="10">
        <v>4</v>
      </c>
      <c r="E6" s="166">
        <v>5</v>
      </c>
      <c r="F6" s="10">
        <v>6</v>
      </c>
      <c r="G6" s="166">
        <v>7</v>
      </c>
      <c r="H6" s="10">
        <v>8</v>
      </c>
      <c r="I6" s="166">
        <v>9</v>
      </c>
      <c r="J6" s="10">
        <v>10</v>
      </c>
      <c r="K6" s="166">
        <v>11</v>
      </c>
      <c r="L6" s="10">
        <v>12</v>
      </c>
      <c r="M6" s="427">
        <v>13</v>
      </c>
      <c r="N6" s="427">
        <v>14</v>
      </c>
      <c r="O6" s="180">
        <v>15</v>
      </c>
    </row>
    <row r="7" spans="1:17" ht="29.25" customHeight="1" x14ac:dyDescent="0.2">
      <c r="A7" s="1582" t="s">
        <v>80</v>
      </c>
      <c r="B7" s="1577" t="s">
        <v>79</v>
      </c>
      <c r="C7" s="522" t="s">
        <v>65</v>
      </c>
      <c r="D7" s="552" t="s">
        <v>99</v>
      </c>
      <c r="E7" s="152">
        <f>SUM(E8:E10)</f>
        <v>9877.1</v>
      </c>
      <c r="F7" s="287">
        <f t="shared" ref="F7:L7" si="0">SUM(F8:F10)</f>
        <v>9877.1</v>
      </c>
      <c r="G7" s="152">
        <f t="shared" si="0"/>
        <v>8592.2000000000007</v>
      </c>
      <c r="H7" s="287">
        <f t="shared" si="0"/>
        <v>8592.2000000000007</v>
      </c>
      <c r="I7" s="152">
        <f t="shared" si="0"/>
        <v>11499</v>
      </c>
      <c r="J7" s="287">
        <f t="shared" si="0"/>
        <v>11499</v>
      </c>
      <c r="K7" s="152">
        <f t="shared" si="0"/>
        <v>11199</v>
      </c>
      <c r="L7" s="287">
        <f t="shared" si="0"/>
        <v>11199</v>
      </c>
      <c r="M7" s="428">
        <f>+K7-I7</f>
        <v>-300</v>
      </c>
      <c r="N7" s="428">
        <f>+K7-E7</f>
        <v>1321.8999999999996</v>
      </c>
      <c r="O7" s="180"/>
    </row>
    <row r="8" spans="1:17" s="2" customFormat="1" ht="84" customHeight="1" x14ac:dyDescent="0.2">
      <c r="A8" s="1582"/>
      <c r="B8" s="1577"/>
      <c r="C8" s="522" t="s">
        <v>65</v>
      </c>
      <c r="D8" s="523" t="s">
        <v>100</v>
      </c>
      <c r="E8" s="409">
        <v>6184</v>
      </c>
      <c r="F8" s="300">
        <v>6184</v>
      </c>
      <c r="G8" s="409">
        <v>5814.5</v>
      </c>
      <c r="H8" s="300">
        <v>5814.5</v>
      </c>
      <c r="I8" s="409">
        <v>7765</v>
      </c>
      <c r="J8" s="300">
        <v>7765</v>
      </c>
      <c r="K8" s="409">
        <v>7765</v>
      </c>
      <c r="L8" s="300">
        <v>7765</v>
      </c>
      <c r="M8" s="428">
        <f t="shared" ref="M8:M71" si="1">+K8-I8</f>
        <v>0</v>
      </c>
      <c r="N8" s="428">
        <f t="shared" ref="N8:N71" si="2">+K8-E8</f>
        <v>1581</v>
      </c>
      <c r="O8" s="181" t="s">
        <v>2</v>
      </c>
      <c r="Q8" s="1"/>
    </row>
    <row r="9" spans="1:17" s="2" customFormat="1" ht="114" customHeight="1" x14ac:dyDescent="0.2">
      <c r="A9" s="1582"/>
      <c r="B9" s="1577"/>
      <c r="C9" s="522" t="s">
        <v>65</v>
      </c>
      <c r="D9" s="523" t="s">
        <v>101</v>
      </c>
      <c r="E9" s="409">
        <v>24.1</v>
      </c>
      <c r="F9" s="300">
        <v>24.1</v>
      </c>
      <c r="G9" s="409">
        <v>0</v>
      </c>
      <c r="H9" s="300">
        <v>0</v>
      </c>
      <c r="I9" s="409"/>
      <c r="J9" s="300"/>
      <c r="K9" s="409"/>
      <c r="L9" s="300"/>
      <c r="M9" s="428">
        <f t="shared" si="1"/>
        <v>0</v>
      </c>
      <c r="N9" s="428">
        <f t="shared" si="2"/>
        <v>-24.1</v>
      </c>
      <c r="O9" s="181" t="s">
        <v>3</v>
      </c>
      <c r="Q9" s="1"/>
    </row>
    <row r="10" spans="1:17" s="2" customFormat="1" ht="170.25" customHeight="1" x14ac:dyDescent="0.2">
      <c r="A10" s="1582"/>
      <c r="B10" s="1577"/>
      <c r="C10" s="522" t="s">
        <v>65</v>
      </c>
      <c r="D10" s="523" t="s">
        <v>102</v>
      </c>
      <c r="E10" s="409">
        <v>3669</v>
      </c>
      <c r="F10" s="300">
        <v>3669</v>
      </c>
      <c r="G10" s="409">
        <v>2777.7</v>
      </c>
      <c r="H10" s="300">
        <v>2777.7</v>
      </c>
      <c r="I10" s="409">
        <v>3734</v>
      </c>
      <c r="J10" s="300">
        <v>3734</v>
      </c>
      <c r="K10" s="409">
        <v>3434</v>
      </c>
      <c r="L10" s="300">
        <v>3434</v>
      </c>
      <c r="M10" s="428">
        <f t="shared" si="1"/>
        <v>-300</v>
      </c>
      <c r="N10" s="428">
        <f t="shared" si="2"/>
        <v>-235</v>
      </c>
      <c r="O10" s="181" t="s">
        <v>718</v>
      </c>
      <c r="Q10" s="1"/>
    </row>
    <row r="11" spans="1:17" s="2" customFormat="1" ht="51" x14ac:dyDescent="0.2">
      <c r="A11" s="1582"/>
      <c r="B11" s="1577"/>
      <c r="C11" s="522" t="s">
        <v>66</v>
      </c>
      <c r="D11" s="523" t="s">
        <v>127</v>
      </c>
      <c r="E11" s="409">
        <f>SUM(E12:E14)</f>
        <v>231</v>
      </c>
      <c r="F11" s="300">
        <f>SUM(F12:F14)</f>
        <v>231</v>
      </c>
      <c r="G11" s="409">
        <f t="shared" ref="G11:K11" si="3">SUM(G12:G14)</f>
        <v>231</v>
      </c>
      <c r="H11" s="300">
        <f t="shared" ref="H11" si="4">SUM(H12:H14)</f>
        <v>231</v>
      </c>
      <c r="I11" s="409">
        <f t="shared" si="3"/>
        <v>231</v>
      </c>
      <c r="J11" s="300">
        <f t="shared" ref="J11" si="5">SUM(J12:J14)</f>
        <v>231</v>
      </c>
      <c r="K11" s="409">
        <f t="shared" si="3"/>
        <v>231</v>
      </c>
      <c r="L11" s="300">
        <f t="shared" ref="L11" si="6">SUM(L12:L14)</f>
        <v>231</v>
      </c>
      <c r="M11" s="428">
        <f t="shared" si="1"/>
        <v>0</v>
      </c>
      <c r="N11" s="428">
        <f t="shared" si="2"/>
        <v>0</v>
      </c>
      <c r="O11" s="182" t="s">
        <v>4</v>
      </c>
      <c r="Q11" s="1"/>
    </row>
    <row r="12" spans="1:17" s="2" customFormat="1" ht="84" x14ac:dyDescent="0.2">
      <c r="A12" s="1582"/>
      <c r="B12" s="1577"/>
      <c r="C12" s="522"/>
      <c r="D12" s="524" t="s">
        <v>6</v>
      </c>
      <c r="E12" s="409">
        <v>28.5</v>
      </c>
      <c r="F12" s="300">
        <v>28.5</v>
      </c>
      <c r="G12" s="409">
        <v>28.5</v>
      </c>
      <c r="H12" s="300">
        <v>28.5</v>
      </c>
      <c r="I12" s="152">
        <v>53.6</v>
      </c>
      <c r="J12" s="287">
        <v>53.6</v>
      </c>
      <c r="K12" s="152">
        <v>53.6</v>
      </c>
      <c r="L12" s="287">
        <v>53.6</v>
      </c>
      <c r="M12" s="428">
        <f t="shared" si="1"/>
        <v>0</v>
      </c>
      <c r="N12" s="428">
        <f t="shared" si="2"/>
        <v>25.1</v>
      </c>
      <c r="O12" s="183" t="s">
        <v>7</v>
      </c>
      <c r="Q12" s="1"/>
    </row>
    <row r="13" spans="1:17" s="2" customFormat="1" ht="168" x14ac:dyDescent="0.2">
      <c r="A13" s="1582" t="s">
        <v>80</v>
      </c>
      <c r="B13" s="1577" t="s">
        <v>79</v>
      </c>
      <c r="C13" s="522"/>
      <c r="D13" s="524" t="s">
        <v>8</v>
      </c>
      <c r="E13" s="409">
        <v>186.5</v>
      </c>
      <c r="F13" s="300">
        <v>186.5</v>
      </c>
      <c r="G13" s="409">
        <v>186.5</v>
      </c>
      <c r="H13" s="300">
        <v>186.5</v>
      </c>
      <c r="I13" s="152">
        <v>40.4</v>
      </c>
      <c r="J13" s="287">
        <v>40.4</v>
      </c>
      <c r="K13" s="152">
        <v>40.4</v>
      </c>
      <c r="L13" s="287">
        <v>40.4</v>
      </c>
      <c r="M13" s="428">
        <f t="shared" si="1"/>
        <v>0</v>
      </c>
      <c r="N13" s="428">
        <f t="shared" si="2"/>
        <v>-146.1</v>
      </c>
      <c r="O13" s="181" t="s">
        <v>9</v>
      </c>
      <c r="Q13" s="1"/>
    </row>
    <row r="14" spans="1:17" s="2" customFormat="1" ht="36" x14ac:dyDescent="0.2">
      <c r="A14" s="1582"/>
      <c r="B14" s="1577"/>
      <c r="C14" s="522"/>
      <c r="D14" s="524" t="s">
        <v>119</v>
      </c>
      <c r="E14" s="409">
        <v>16</v>
      </c>
      <c r="F14" s="301">
        <v>16</v>
      </c>
      <c r="G14" s="409">
        <v>16</v>
      </c>
      <c r="H14" s="301">
        <v>16</v>
      </c>
      <c r="I14" s="152">
        <v>137</v>
      </c>
      <c r="J14" s="302">
        <v>137</v>
      </c>
      <c r="K14" s="152">
        <v>137</v>
      </c>
      <c r="L14" s="287">
        <v>137</v>
      </c>
      <c r="M14" s="428">
        <f t="shared" si="1"/>
        <v>0</v>
      </c>
      <c r="N14" s="428">
        <f t="shared" si="2"/>
        <v>121</v>
      </c>
      <c r="O14" s="181" t="s">
        <v>10</v>
      </c>
      <c r="Q14" s="1"/>
    </row>
    <row r="15" spans="1:17" s="2" customFormat="1" ht="46.5" customHeight="1" x14ac:dyDescent="0.2">
      <c r="A15" s="1582"/>
      <c r="B15" s="1577"/>
      <c r="C15" s="522" t="s">
        <v>117</v>
      </c>
      <c r="D15" s="523" t="s">
        <v>116</v>
      </c>
      <c r="E15" s="152">
        <f>SUM(E16:E21)</f>
        <v>287.8</v>
      </c>
      <c r="F15" s="287">
        <f>SUM(F16:F21)</f>
        <v>287.8</v>
      </c>
      <c r="G15" s="152">
        <f t="shared" ref="G15:K15" si="7">SUM(G16:G21)</f>
        <v>309.39999999999998</v>
      </c>
      <c r="H15" s="287">
        <f t="shared" ref="H15" si="8">SUM(H16:H21)</f>
        <v>309.39999999999998</v>
      </c>
      <c r="I15" s="152">
        <f t="shared" si="7"/>
        <v>385.40000000000003</v>
      </c>
      <c r="J15" s="287">
        <f t="shared" ref="J15" si="9">SUM(J16:J21)</f>
        <v>385.40000000000003</v>
      </c>
      <c r="K15" s="152">
        <f t="shared" si="7"/>
        <v>350.7</v>
      </c>
      <c r="L15" s="287">
        <f t="shared" ref="L15" si="10">SUM(L16:L21)</f>
        <v>350.7</v>
      </c>
      <c r="M15" s="428">
        <f t="shared" si="1"/>
        <v>-34.700000000000045</v>
      </c>
      <c r="N15" s="428">
        <f t="shared" si="2"/>
        <v>62.899999999999977</v>
      </c>
      <c r="O15" s="181"/>
      <c r="Q15" s="1"/>
    </row>
    <row r="16" spans="1:17" s="2" customFormat="1" ht="19.899999999999999" customHeight="1" x14ac:dyDescent="0.2">
      <c r="A16" s="1582"/>
      <c r="B16" s="1577"/>
      <c r="C16" s="522"/>
      <c r="D16" s="524" t="s">
        <v>11</v>
      </c>
      <c r="E16" s="152">
        <v>17.3</v>
      </c>
      <c r="F16" s="287">
        <v>17.3</v>
      </c>
      <c r="G16" s="152">
        <v>17.3</v>
      </c>
      <c r="H16" s="287">
        <v>17.3</v>
      </c>
      <c r="I16" s="152">
        <v>26</v>
      </c>
      <c r="J16" s="287">
        <v>26</v>
      </c>
      <c r="K16" s="152">
        <v>20</v>
      </c>
      <c r="L16" s="287">
        <v>20</v>
      </c>
      <c r="M16" s="428">
        <f t="shared" si="1"/>
        <v>-6</v>
      </c>
      <c r="N16" s="428">
        <f t="shared" si="2"/>
        <v>2.6999999999999993</v>
      </c>
      <c r="O16" s="182"/>
      <c r="Q16" s="1"/>
    </row>
    <row r="17" spans="1:17" s="2" customFormat="1" ht="33.6" customHeight="1" x14ac:dyDescent="0.2">
      <c r="A17" s="1582"/>
      <c r="B17" s="1577"/>
      <c r="C17" s="522"/>
      <c r="D17" s="524" t="s">
        <v>12</v>
      </c>
      <c r="E17" s="152">
        <v>89.9</v>
      </c>
      <c r="F17" s="287">
        <v>89.9</v>
      </c>
      <c r="G17" s="152">
        <v>89.9</v>
      </c>
      <c r="H17" s="287">
        <v>89.9</v>
      </c>
      <c r="I17" s="152">
        <v>92.2</v>
      </c>
      <c r="J17" s="287">
        <v>92.2</v>
      </c>
      <c r="K17" s="152">
        <v>80.900000000000006</v>
      </c>
      <c r="L17" s="287">
        <v>80.900000000000006</v>
      </c>
      <c r="M17" s="428">
        <f t="shared" si="1"/>
        <v>-11.299999999999997</v>
      </c>
      <c r="N17" s="428">
        <f t="shared" si="2"/>
        <v>-9</v>
      </c>
      <c r="O17" s="182"/>
      <c r="Q17" s="1"/>
    </row>
    <row r="18" spans="1:17" s="2" customFormat="1" ht="26.25" customHeight="1" x14ac:dyDescent="0.2">
      <c r="A18" s="1582"/>
      <c r="B18" s="1577"/>
      <c r="C18" s="522"/>
      <c r="D18" s="524" t="s">
        <v>13</v>
      </c>
      <c r="E18" s="152">
        <v>50.7</v>
      </c>
      <c r="F18" s="287">
        <v>50.7</v>
      </c>
      <c r="G18" s="152">
        <v>50.7</v>
      </c>
      <c r="H18" s="287">
        <v>50.7</v>
      </c>
      <c r="I18" s="152">
        <v>50.7</v>
      </c>
      <c r="J18" s="287">
        <v>50.7</v>
      </c>
      <c r="K18" s="152">
        <v>46.1</v>
      </c>
      <c r="L18" s="287">
        <v>46.1</v>
      </c>
      <c r="M18" s="428">
        <f t="shared" si="1"/>
        <v>-4.6000000000000014</v>
      </c>
      <c r="N18" s="428">
        <f t="shared" si="2"/>
        <v>-4.6000000000000014</v>
      </c>
      <c r="O18" s="182"/>
      <c r="Q18" s="1"/>
    </row>
    <row r="19" spans="1:17" s="2" customFormat="1" ht="29.25" customHeight="1" x14ac:dyDescent="0.2">
      <c r="A19" s="1582"/>
      <c r="B19" s="1577"/>
      <c r="C19" s="522"/>
      <c r="D19" s="524" t="s">
        <v>14</v>
      </c>
      <c r="E19" s="152">
        <v>65.599999999999994</v>
      </c>
      <c r="F19" s="287">
        <v>65.599999999999994</v>
      </c>
      <c r="G19" s="152">
        <v>65.599999999999994</v>
      </c>
      <c r="H19" s="287">
        <v>65.599999999999994</v>
      </c>
      <c r="I19" s="152">
        <v>72.2</v>
      </c>
      <c r="J19" s="287">
        <v>72.2</v>
      </c>
      <c r="K19" s="152">
        <v>65.7</v>
      </c>
      <c r="L19" s="287">
        <v>65.7</v>
      </c>
      <c r="M19" s="428">
        <f t="shared" si="1"/>
        <v>-6.5</v>
      </c>
      <c r="N19" s="428">
        <f t="shared" si="2"/>
        <v>0.10000000000000853</v>
      </c>
      <c r="O19" s="182"/>
      <c r="Q19" s="1"/>
    </row>
    <row r="20" spans="1:17" s="2" customFormat="1" ht="36" x14ac:dyDescent="0.2">
      <c r="A20" s="1582"/>
      <c r="B20" s="1577"/>
      <c r="C20" s="522"/>
      <c r="D20" s="524" t="s">
        <v>15</v>
      </c>
      <c r="E20" s="152"/>
      <c r="F20" s="287"/>
      <c r="G20" s="152"/>
      <c r="H20" s="287"/>
      <c r="I20" s="152">
        <v>20</v>
      </c>
      <c r="J20" s="287">
        <v>20</v>
      </c>
      <c r="K20" s="152">
        <v>13.7</v>
      </c>
      <c r="L20" s="287">
        <v>13.7</v>
      </c>
      <c r="M20" s="428">
        <f t="shared" si="1"/>
        <v>-6.3000000000000007</v>
      </c>
      <c r="N20" s="428">
        <f t="shared" si="2"/>
        <v>13.7</v>
      </c>
      <c r="O20" s="181" t="s">
        <v>16</v>
      </c>
      <c r="Q20" s="1"/>
    </row>
    <row r="21" spans="1:17" s="2" customFormat="1" ht="30.75" customHeight="1" x14ac:dyDescent="0.2">
      <c r="A21" s="1582"/>
      <c r="B21" s="1577"/>
      <c r="C21" s="522"/>
      <c r="D21" s="524" t="s">
        <v>103</v>
      </c>
      <c r="E21" s="152">
        <v>64.3</v>
      </c>
      <c r="F21" s="287">
        <v>64.3</v>
      </c>
      <c r="G21" s="152">
        <v>85.9</v>
      </c>
      <c r="H21" s="287">
        <v>85.9</v>
      </c>
      <c r="I21" s="409">
        <v>124.3</v>
      </c>
      <c r="J21" s="300">
        <v>124.3</v>
      </c>
      <c r="K21" s="409">
        <v>124.3</v>
      </c>
      <c r="L21" s="300">
        <v>124.3</v>
      </c>
      <c r="M21" s="428">
        <f t="shared" si="1"/>
        <v>0</v>
      </c>
      <c r="N21" s="428">
        <f t="shared" si="2"/>
        <v>60</v>
      </c>
      <c r="O21" s="182"/>
      <c r="Q21" s="1"/>
    </row>
    <row r="22" spans="1:17" s="2" customFormat="1" ht="39" customHeight="1" x14ac:dyDescent="0.2">
      <c r="A22" s="1582"/>
      <c r="B22" s="1577"/>
      <c r="C22" s="1585" t="s">
        <v>131</v>
      </c>
      <c r="D22" s="1585"/>
      <c r="E22" s="311">
        <f>SUM(E23:E42)</f>
        <v>9392.9</v>
      </c>
      <c r="F22" s="303">
        <f t="shared" ref="F22:L22" si="11">SUM(F23:F42)</f>
        <v>8512.4</v>
      </c>
      <c r="G22" s="311">
        <f t="shared" si="11"/>
        <v>9755.9999999999982</v>
      </c>
      <c r="H22" s="303">
        <f t="shared" si="11"/>
        <v>8800.6999999999989</v>
      </c>
      <c r="I22" s="311">
        <f t="shared" si="11"/>
        <v>13981.8</v>
      </c>
      <c r="J22" s="303">
        <f t="shared" si="11"/>
        <v>12914.4</v>
      </c>
      <c r="K22" s="311">
        <f t="shared" si="11"/>
        <v>12902.199999999999</v>
      </c>
      <c r="L22" s="303">
        <f t="shared" si="11"/>
        <v>11834.8</v>
      </c>
      <c r="M22" s="428">
        <f t="shared" si="1"/>
        <v>-1079.6000000000004</v>
      </c>
      <c r="N22" s="428">
        <f t="shared" si="2"/>
        <v>3509.2999999999993</v>
      </c>
      <c r="O22" s="184">
        <f t="shared" ref="O22" si="12">SUM(O23:O34)</f>
        <v>0</v>
      </c>
      <c r="Q22" s="1"/>
    </row>
    <row r="23" spans="1:17" s="2" customFormat="1" ht="204" x14ac:dyDescent="0.2">
      <c r="A23" s="1582"/>
      <c r="B23" s="1577"/>
      <c r="C23" s="525" t="s">
        <v>67</v>
      </c>
      <c r="D23" s="523" t="s">
        <v>17</v>
      </c>
      <c r="E23" s="409">
        <v>526.4</v>
      </c>
      <c r="F23" s="300">
        <v>526.4</v>
      </c>
      <c r="G23" s="409">
        <v>603.6</v>
      </c>
      <c r="H23" s="300">
        <v>603.6</v>
      </c>
      <c r="I23" s="409">
        <v>817.5</v>
      </c>
      <c r="J23" s="300">
        <v>817.5</v>
      </c>
      <c r="K23" s="409">
        <v>743.9</v>
      </c>
      <c r="L23" s="300">
        <v>743.9</v>
      </c>
      <c r="M23" s="428">
        <f t="shared" si="1"/>
        <v>-73.600000000000023</v>
      </c>
      <c r="N23" s="428">
        <f t="shared" si="2"/>
        <v>217.5</v>
      </c>
      <c r="O23" s="181" t="s">
        <v>125</v>
      </c>
      <c r="Q23" s="1"/>
    </row>
    <row r="24" spans="1:17" s="2" customFormat="1" ht="132" x14ac:dyDescent="0.2">
      <c r="A24" s="1582" t="s">
        <v>80</v>
      </c>
      <c r="B24" s="1581" t="s">
        <v>79</v>
      </c>
      <c r="C24" s="525" t="s">
        <v>68</v>
      </c>
      <c r="D24" s="523" t="s">
        <v>74</v>
      </c>
      <c r="E24" s="410">
        <v>587.9</v>
      </c>
      <c r="F24" s="304">
        <v>587.9</v>
      </c>
      <c r="G24" s="410">
        <v>546</v>
      </c>
      <c r="H24" s="304">
        <v>546</v>
      </c>
      <c r="I24" s="410">
        <v>819</v>
      </c>
      <c r="J24" s="304">
        <v>819</v>
      </c>
      <c r="K24" s="410">
        <v>745.3</v>
      </c>
      <c r="L24" s="304">
        <v>745.3</v>
      </c>
      <c r="M24" s="428">
        <f t="shared" si="1"/>
        <v>-73.700000000000045</v>
      </c>
      <c r="N24" s="428">
        <f t="shared" si="2"/>
        <v>157.39999999999998</v>
      </c>
      <c r="O24" s="181" t="s">
        <v>124</v>
      </c>
      <c r="Q24" s="1"/>
    </row>
    <row r="25" spans="1:17" s="2" customFormat="1" ht="144" x14ac:dyDescent="0.2">
      <c r="A25" s="1582"/>
      <c r="B25" s="1581"/>
      <c r="C25" s="525" t="s">
        <v>69</v>
      </c>
      <c r="D25" s="523" t="s">
        <v>18</v>
      </c>
      <c r="E25" s="409">
        <v>579.1</v>
      </c>
      <c r="F25" s="300">
        <v>579.1</v>
      </c>
      <c r="G25" s="409">
        <v>629.5</v>
      </c>
      <c r="H25" s="300">
        <v>629.5</v>
      </c>
      <c r="I25" s="409">
        <v>825.2</v>
      </c>
      <c r="J25" s="300">
        <v>825.2</v>
      </c>
      <c r="K25" s="409">
        <v>760</v>
      </c>
      <c r="L25" s="300">
        <v>760</v>
      </c>
      <c r="M25" s="428">
        <f t="shared" si="1"/>
        <v>-65.200000000000045</v>
      </c>
      <c r="N25" s="428">
        <f t="shared" si="2"/>
        <v>180.89999999999998</v>
      </c>
      <c r="O25" s="181" t="s">
        <v>123</v>
      </c>
      <c r="Q25" s="1"/>
    </row>
    <row r="26" spans="1:17" s="2" customFormat="1" ht="120" x14ac:dyDescent="0.2">
      <c r="A26" s="1582"/>
      <c r="B26" s="1581"/>
      <c r="C26" s="525" t="s">
        <v>70</v>
      </c>
      <c r="D26" s="523" t="s">
        <v>20</v>
      </c>
      <c r="E26" s="409"/>
      <c r="F26" s="300"/>
      <c r="G26" s="409"/>
      <c r="H26" s="300"/>
      <c r="I26" s="409">
        <v>303</v>
      </c>
      <c r="J26" s="300">
        <v>303</v>
      </c>
      <c r="K26" s="409">
        <v>275.7</v>
      </c>
      <c r="L26" s="300">
        <v>275.7</v>
      </c>
      <c r="M26" s="428">
        <f t="shared" si="1"/>
        <v>-27.300000000000011</v>
      </c>
      <c r="N26" s="428">
        <f t="shared" si="2"/>
        <v>275.7</v>
      </c>
      <c r="O26" s="181" t="s">
        <v>19</v>
      </c>
      <c r="Q26" s="1"/>
    </row>
    <row r="27" spans="1:17" s="2" customFormat="1" ht="156" x14ac:dyDescent="0.2">
      <c r="A27" s="1582"/>
      <c r="B27" s="1581"/>
      <c r="C27" s="525" t="s">
        <v>71</v>
      </c>
      <c r="D27" s="523" t="s">
        <v>75</v>
      </c>
      <c r="E27" s="409">
        <v>348.9</v>
      </c>
      <c r="F27" s="300">
        <v>348.9</v>
      </c>
      <c r="G27" s="409">
        <v>357.2</v>
      </c>
      <c r="H27" s="300">
        <v>357.2</v>
      </c>
      <c r="I27" s="409">
        <v>577.1</v>
      </c>
      <c r="J27" s="300">
        <v>577.1</v>
      </c>
      <c r="K27" s="409">
        <v>525.20000000000005</v>
      </c>
      <c r="L27" s="300">
        <v>525.20000000000005</v>
      </c>
      <c r="M27" s="428">
        <f t="shared" si="1"/>
        <v>-51.899999999999977</v>
      </c>
      <c r="N27" s="428">
        <f t="shared" si="2"/>
        <v>176.30000000000007</v>
      </c>
      <c r="O27" s="181" t="s">
        <v>122</v>
      </c>
      <c r="Q27" s="1"/>
    </row>
    <row r="28" spans="1:17" s="2" customFormat="1" ht="264" x14ac:dyDescent="0.2">
      <c r="A28" s="1582" t="s">
        <v>80</v>
      </c>
      <c r="B28" s="1581" t="s">
        <v>79</v>
      </c>
      <c r="C28" s="525" t="s">
        <v>72</v>
      </c>
      <c r="D28" s="523" t="s">
        <v>21</v>
      </c>
      <c r="E28" s="409">
        <v>1526.5</v>
      </c>
      <c r="F28" s="300">
        <v>1526.5</v>
      </c>
      <c r="G28" s="409">
        <v>1461</v>
      </c>
      <c r="H28" s="300">
        <v>1461</v>
      </c>
      <c r="I28" s="409">
        <v>2160.5</v>
      </c>
      <c r="J28" s="300">
        <v>2160.5</v>
      </c>
      <c r="K28" s="409">
        <f>1966.1+58.3</f>
        <v>2024.3999999999999</v>
      </c>
      <c r="L28" s="300">
        <f>1966.1+58.3</f>
        <v>2024.3999999999999</v>
      </c>
      <c r="M28" s="428">
        <f t="shared" si="1"/>
        <v>-136.10000000000014</v>
      </c>
      <c r="N28" s="428">
        <f t="shared" si="2"/>
        <v>497.89999999999986</v>
      </c>
      <c r="O28" s="181" t="s">
        <v>753</v>
      </c>
      <c r="Q28" s="1"/>
    </row>
    <row r="29" spans="1:17" s="2" customFormat="1" ht="216" x14ac:dyDescent="0.2">
      <c r="A29" s="1582"/>
      <c r="B29" s="1581"/>
      <c r="C29" s="525" t="s">
        <v>73</v>
      </c>
      <c r="D29" s="523" t="s">
        <v>22</v>
      </c>
      <c r="E29" s="409">
        <v>649.4</v>
      </c>
      <c r="F29" s="300">
        <v>649.4</v>
      </c>
      <c r="G29" s="409">
        <v>606.1</v>
      </c>
      <c r="H29" s="300">
        <v>606.1</v>
      </c>
      <c r="I29" s="409">
        <v>974</v>
      </c>
      <c r="J29" s="300">
        <v>974</v>
      </c>
      <c r="K29" s="409">
        <v>866.9</v>
      </c>
      <c r="L29" s="300">
        <v>866.9</v>
      </c>
      <c r="M29" s="428">
        <f t="shared" si="1"/>
        <v>-107.10000000000002</v>
      </c>
      <c r="N29" s="428">
        <f t="shared" si="2"/>
        <v>217.5</v>
      </c>
      <c r="O29" s="181" t="s">
        <v>121</v>
      </c>
      <c r="Q29" s="1"/>
    </row>
    <row r="30" spans="1:17" s="2" customFormat="1" ht="196.5" customHeight="1" x14ac:dyDescent="0.2">
      <c r="A30" s="1582"/>
      <c r="B30" s="1581"/>
      <c r="C30" s="522" t="s">
        <v>82</v>
      </c>
      <c r="D30" s="523" t="s">
        <v>76</v>
      </c>
      <c r="E30" s="409">
        <v>878.1</v>
      </c>
      <c r="F30" s="300">
        <v>878.1</v>
      </c>
      <c r="G30" s="409">
        <v>909.6</v>
      </c>
      <c r="H30" s="300">
        <v>909.6</v>
      </c>
      <c r="I30" s="409">
        <v>1292.0999999999999</v>
      </c>
      <c r="J30" s="300">
        <v>1292.0999999999999</v>
      </c>
      <c r="K30" s="409">
        <v>1150</v>
      </c>
      <c r="L30" s="300">
        <v>1150</v>
      </c>
      <c r="M30" s="428">
        <f t="shared" si="1"/>
        <v>-142.09999999999991</v>
      </c>
      <c r="N30" s="428">
        <f t="shared" si="2"/>
        <v>271.89999999999998</v>
      </c>
      <c r="O30" s="181" t="s">
        <v>129</v>
      </c>
      <c r="Q30" s="1"/>
    </row>
    <row r="31" spans="1:17" s="2" customFormat="1" ht="300" x14ac:dyDescent="0.2">
      <c r="A31" s="1583" t="s">
        <v>80</v>
      </c>
      <c r="B31" s="1581" t="s">
        <v>79</v>
      </c>
      <c r="C31" s="526" t="s">
        <v>84</v>
      </c>
      <c r="D31" s="523" t="s">
        <v>83</v>
      </c>
      <c r="E31" s="409">
        <v>340</v>
      </c>
      <c r="F31" s="300">
        <v>340</v>
      </c>
      <c r="G31" s="409">
        <v>552</v>
      </c>
      <c r="H31" s="300">
        <v>552</v>
      </c>
      <c r="I31" s="409">
        <v>1020.4</v>
      </c>
      <c r="J31" s="300">
        <v>1020.4</v>
      </c>
      <c r="K31" s="409">
        <v>1020.4</v>
      </c>
      <c r="L31" s="300">
        <v>1020.4</v>
      </c>
      <c r="M31" s="428">
        <f t="shared" si="1"/>
        <v>0</v>
      </c>
      <c r="N31" s="428">
        <f t="shared" si="2"/>
        <v>680.4</v>
      </c>
      <c r="O31" s="183" t="s">
        <v>130</v>
      </c>
      <c r="Q31" s="1"/>
    </row>
    <row r="32" spans="1:17" s="2" customFormat="1" ht="60" x14ac:dyDescent="0.2">
      <c r="A32" s="1583"/>
      <c r="B32" s="1581"/>
      <c r="C32" s="526" t="s">
        <v>86</v>
      </c>
      <c r="D32" s="523" t="s">
        <v>85</v>
      </c>
      <c r="E32" s="409">
        <v>375.2</v>
      </c>
      <c r="F32" s="300">
        <v>375.2</v>
      </c>
      <c r="G32" s="409">
        <v>190.7</v>
      </c>
      <c r="H32" s="300">
        <v>190.7</v>
      </c>
      <c r="I32" s="409"/>
      <c r="J32" s="300"/>
      <c r="K32" s="409"/>
      <c r="L32" s="300"/>
      <c r="M32" s="428">
        <f t="shared" si="1"/>
        <v>0</v>
      </c>
      <c r="N32" s="428">
        <f t="shared" si="2"/>
        <v>-375.2</v>
      </c>
      <c r="O32" s="181" t="s">
        <v>23</v>
      </c>
      <c r="Q32" s="1"/>
    </row>
    <row r="33" spans="1:17" s="2" customFormat="1" ht="216" customHeight="1" x14ac:dyDescent="0.2">
      <c r="A33" s="1583"/>
      <c r="B33" s="1581"/>
      <c r="C33" s="522" t="s">
        <v>88</v>
      </c>
      <c r="D33" s="523" t="s">
        <v>87</v>
      </c>
      <c r="E33" s="410">
        <v>410</v>
      </c>
      <c r="F33" s="304">
        <v>410</v>
      </c>
      <c r="G33" s="410">
        <v>511</v>
      </c>
      <c r="H33" s="304">
        <v>511</v>
      </c>
      <c r="I33" s="410">
        <v>616</v>
      </c>
      <c r="J33" s="304">
        <v>616</v>
      </c>
      <c r="K33" s="410">
        <f>585.2+30.8</f>
        <v>616</v>
      </c>
      <c r="L33" s="304">
        <f>585.2+30.8</f>
        <v>616</v>
      </c>
      <c r="M33" s="428">
        <f t="shared" si="1"/>
        <v>0</v>
      </c>
      <c r="N33" s="428">
        <f t="shared" si="2"/>
        <v>206</v>
      </c>
      <c r="O33" s="181" t="s">
        <v>719</v>
      </c>
      <c r="Q33" s="1"/>
    </row>
    <row r="34" spans="1:17" s="2" customFormat="1" ht="264" x14ac:dyDescent="0.2">
      <c r="A34" s="1584" t="s">
        <v>80</v>
      </c>
      <c r="B34" s="1581" t="s">
        <v>79</v>
      </c>
      <c r="C34" s="522" t="s">
        <v>89</v>
      </c>
      <c r="D34" s="523" t="s">
        <v>782</v>
      </c>
      <c r="E34" s="409">
        <v>562.1</v>
      </c>
      <c r="F34" s="300">
        <v>562.1</v>
      </c>
      <c r="G34" s="409">
        <v>613.9</v>
      </c>
      <c r="H34" s="300">
        <v>613.9</v>
      </c>
      <c r="I34" s="409">
        <v>921.1</v>
      </c>
      <c r="J34" s="300">
        <v>921.1</v>
      </c>
      <c r="K34" s="409">
        <v>751.5</v>
      </c>
      <c r="L34" s="300">
        <v>751.5</v>
      </c>
      <c r="M34" s="428">
        <f t="shared" si="1"/>
        <v>-169.60000000000002</v>
      </c>
      <c r="N34" s="428">
        <f t="shared" si="2"/>
        <v>189.39999999999998</v>
      </c>
      <c r="O34" s="181" t="s">
        <v>120</v>
      </c>
      <c r="Q34" s="1"/>
    </row>
    <row r="35" spans="1:17" s="2" customFormat="1" ht="360" x14ac:dyDescent="0.2">
      <c r="A35" s="1584"/>
      <c r="B35" s="1581"/>
      <c r="C35" s="522" t="s">
        <v>91</v>
      </c>
      <c r="D35" s="523" t="s">
        <v>90</v>
      </c>
      <c r="E35" s="409">
        <v>1728.8</v>
      </c>
      <c r="F35" s="300">
        <v>1728.8</v>
      </c>
      <c r="G35" s="409">
        <v>1820.1</v>
      </c>
      <c r="H35" s="300">
        <v>1820.1</v>
      </c>
      <c r="I35" s="409">
        <v>2588.5</v>
      </c>
      <c r="J35" s="300">
        <v>2588.5</v>
      </c>
      <c r="K35" s="409">
        <v>2355.5</v>
      </c>
      <c r="L35" s="300">
        <v>2355.5</v>
      </c>
      <c r="M35" s="428">
        <f t="shared" si="1"/>
        <v>-233</v>
      </c>
      <c r="N35" s="428">
        <f t="shared" si="2"/>
        <v>626.70000000000005</v>
      </c>
      <c r="O35" s="181" t="s">
        <v>126</v>
      </c>
      <c r="Q35" s="1"/>
    </row>
    <row r="36" spans="1:17" s="2" customFormat="1" ht="30.75" customHeight="1" x14ac:dyDescent="0.2">
      <c r="A36" s="1584"/>
      <c r="B36" s="1581"/>
      <c r="C36" s="527" t="s">
        <v>95</v>
      </c>
      <c r="D36" s="305" t="s">
        <v>54</v>
      </c>
      <c r="E36" s="409">
        <f>56+15</f>
        <v>71</v>
      </c>
      <c r="F36" s="306"/>
      <c r="G36" s="412">
        <f>57.8+15</f>
        <v>72.8</v>
      </c>
      <c r="H36" s="306"/>
      <c r="I36" s="540">
        <f>63.6+8.2</f>
        <v>71.8</v>
      </c>
      <c r="J36" s="307"/>
      <c r="K36" s="540">
        <f>63.6+8.2</f>
        <v>71.8</v>
      </c>
      <c r="L36" s="308"/>
      <c r="M36" s="428">
        <f t="shared" si="1"/>
        <v>0</v>
      </c>
      <c r="N36" s="428">
        <f t="shared" si="2"/>
        <v>0.79999999999999716</v>
      </c>
      <c r="O36" s="181"/>
      <c r="Q36" s="1"/>
    </row>
    <row r="37" spans="1:17" s="2" customFormat="1" ht="45.75" customHeight="1" x14ac:dyDescent="0.2">
      <c r="A37" s="1584"/>
      <c r="B37" s="1581"/>
      <c r="C37" s="527" t="s">
        <v>95</v>
      </c>
      <c r="D37" s="309" t="s">
        <v>55</v>
      </c>
      <c r="E37" s="409">
        <v>210</v>
      </c>
      <c r="F37" s="306"/>
      <c r="G37" s="413">
        <v>230</v>
      </c>
      <c r="H37" s="306"/>
      <c r="I37" s="540">
        <f>220+24</f>
        <v>244</v>
      </c>
      <c r="J37" s="307"/>
      <c r="K37" s="540">
        <f>220+24</f>
        <v>244</v>
      </c>
      <c r="L37" s="308"/>
      <c r="M37" s="428">
        <f t="shared" si="1"/>
        <v>0</v>
      </c>
      <c r="N37" s="428">
        <f t="shared" si="2"/>
        <v>34</v>
      </c>
      <c r="O37" s="181"/>
      <c r="Q37" s="1"/>
    </row>
    <row r="38" spans="1:17" s="2" customFormat="1" ht="50.25" customHeight="1" x14ac:dyDescent="0.2">
      <c r="A38" s="1584" t="s">
        <v>80</v>
      </c>
      <c r="B38" s="1581" t="s">
        <v>79</v>
      </c>
      <c r="C38" s="527" t="s">
        <v>95</v>
      </c>
      <c r="D38" s="309" t="s">
        <v>56</v>
      </c>
      <c r="E38" s="409">
        <f>215+15</f>
        <v>230</v>
      </c>
      <c r="F38" s="306"/>
      <c r="G38" s="413">
        <v>270</v>
      </c>
      <c r="H38" s="306"/>
      <c r="I38" s="540">
        <f>285.2+30.5</f>
        <v>315.7</v>
      </c>
      <c r="J38" s="307"/>
      <c r="K38" s="540">
        <f>285.2+30.5</f>
        <v>315.7</v>
      </c>
      <c r="L38" s="308"/>
      <c r="M38" s="428">
        <f t="shared" si="1"/>
        <v>0</v>
      </c>
      <c r="N38" s="428">
        <f t="shared" si="2"/>
        <v>85.699999999999989</v>
      </c>
      <c r="O38" s="181"/>
      <c r="Q38" s="1"/>
    </row>
    <row r="39" spans="1:17" s="2" customFormat="1" ht="38.25" customHeight="1" x14ac:dyDescent="0.2">
      <c r="A39" s="1584"/>
      <c r="B39" s="1581"/>
      <c r="C39" s="527" t="s">
        <v>95</v>
      </c>
      <c r="D39" s="305" t="s">
        <v>94</v>
      </c>
      <c r="E39" s="409">
        <f>46+4.2</f>
        <v>50.2</v>
      </c>
      <c r="F39" s="306"/>
      <c r="G39" s="413">
        <f>52+4.2</f>
        <v>56.2</v>
      </c>
      <c r="H39" s="306"/>
      <c r="I39" s="409">
        <v>50</v>
      </c>
      <c r="J39" s="307"/>
      <c r="K39" s="409">
        <v>50</v>
      </c>
      <c r="L39" s="308"/>
      <c r="M39" s="428">
        <f t="shared" si="1"/>
        <v>0</v>
      </c>
      <c r="N39" s="428">
        <f t="shared" si="2"/>
        <v>-0.20000000000000284</v>
      </c>
      <c r="O39" s="181"/>
      <c r="Q39" s="1"/>
    </row>
    <row r="40" spans="1:17" s="2" customFormat="1" ht="62.45" customHeight="1" x14ac:dyDescent="0.2">
      <c r="A40" s="1584"/>
      <c r="B40" s="1581"/>
      <c r="C40" s="527" t="s">
        <v>95</v>
      </c>
      <c r="D40" s="309" t="s">
        <v>96</v>
      </c>
      <c r="E40" s="409">
        <v>7.5</v>
      </c>
      <c r="F40" s="306"/>
      <c r="G40" s="413">
        <v>7.5</v>
      </c>
      <c r="H40" s="306"/>
      <c r="I40" s="409">
        <v>8.3000000000000007</v>
      </c>
      <c r="J40" s="307"/>
      <c r="K40" s="409">
        <v>8.3000000000000007</v>
      </c>
      <c r="L40" s="308"/>
      <c r="M40" s="428">
        <f t="shared" si="1"/>
        <v>0</v>
      </c>
      <c r="N40" s="428">
        <f t="shared" si="2"/>
        <v>0.80000000000000071</v>
      </c>
      <c r="O40" s="181"/>
      <c r="Q40" s="1"/>
    </row>
    <row r="41" spans="1:17" s="2" customFormat="1" ht="38.25" x14ac:dyDescent="0.2">
      <c r="A41" s="1584"/>
      <c r="B41" s="1581"/>
      <c r="C41" s="527" t="s">
        <v>95</v>
      </c>
      <c r="D41" s="305" t="s">
        <v>97</v>
      </c>
      <c r="E41" s="409">
        <v>60</v>
      </c>
      <c r="F41" s="306"/>
      <c r="G41" s="413">
        <v>67</v>
      </c>
      <c r="H41" s="306"/>
      <c r="I41" s="409">
        <v>60</v>
      </c>
      <c r="J41" s="307"/>
      <c r="K41" s="409">
        <v>60</v>
      </c>
      <c r="L41" s="308"/>
      <c r="M41" s="428">
        <f t="shared" si="1"/>
        <v>0</v>
      </c>
      <c r="N41" s="428">
        <f t="shared" si="2"/>
        <v>0</v>
      </c>
      <c r="O41" s="181"/>
      <c r="Q41" s="1"/>
    </row>
    <row r="42" spans="1:17" s="2" customFormat="1" ht="38.25" x14ac:dyDescent="0.2">
      <c r="A42" s="1584"/>
      <c r="B42" s="1581"/>
      <c r="C42" s="527" t="s">
        <v>95</v>
      </c>
      <c r="D42" s="305" t="s">
        <v>98</v>
      </c>
      <c r="E42" s="409">
        <f>41.8+210</f>
        <v>251.8</v>
      </c>
      <c r="F42" s="306"/>
      <c r="G42" s="412">
        <f>210+41.8</f>
        <v>251.8</v>
      </c>
      <c r="H42" s="306"/>
      <c r="I42" s="540">
        <f>250+67.6</f>
        <v>317.60000000000002</v>
      </c>
      <c r="J42" s="307"/>
      <c r="K42" s="540">
        <f>250+67.6</f>
        <v>317.60000000000002</v>
      </c>
      <c r="L42" s="308"/>
      <c r="M42" s="428">
        <f t="shared" si="1"/>
        <v>0</v>
      </c>
      <c r="N42" s="428">
        <f t="shared" si="2"/>
        <v>65.800000000000011</v>
      </c>
      <c r="O42" s="181"/>
      <c r="Q42" s="1"/>
    </row>
    <row r="43" spans="1:17" s="2" customFormat="1" ht="38.25" x14ac:dyDescent="0.2">
      <c r="A43" s="1584"/>
      <c r="B43" s="1581"/>
      <c r="C43" s="553" t="s">
        <v>104</v>
      </c>
      <c r="D43" s="552" t="s">
        <v>105</v>
      </c>
      <c r="E43" s="311">
        <f>+E44+E45+E62+E63+E64+E65++E66+E67+E68+E72</f>
        <v>6408.4999999999991</v>
      </c>
      <c r="F43" s="303">
        <f t="shared" ref="F43:L43" si="13">+F44+F45+F62+F63+F64+F65++F66+F67+F68+F72</f>
        <v>6408.4999999999991</v>
      </c>
      <c r="G43" s="311">
        <f t="shared" si="13"/>
        <v>7182</v>
      </c>
      <c r="H43" s="303">
        <f t="shared" si="13"/>
        <v>7182</v>
      </c>
      <c r="I43" s="311">
        <f t="shared" si="13"/>
        <v>8362.7000000000007</v>
      </c>
      <c r="J43" s="303">
        <f t="shared" si="13"/>
        <v>8362.7000000000007</v>
      </c>
      <c r="K43" s="311">
        <f t="shared" si="13"/>
        <v>7060.3</v>
      </c>
      <c r="L43" s="303">
        <f t="shared" si="13"/>
        <v>7060.3</v>
      </c>
      <c r="M43" s="428">
        <f t="shared" si="1"/>
        <v>-1302.4000000000005</v>
      </c>
      <c r="N43" s="428">
        <f t="shared" si="2"/>
        <v>651.80000000000109</v>
      </c>
      <c r="O43" s="181"/>
      <c r="Q43" s="1"/>
    </row>
    <row r="44" spans="1:17" s="2" customFormat="1" ht="84" x14ac:dyDescent="0.2">
      <c r="A44" s="1584"/>
      <c r="B44" s="1581"/>
      <c r="C44" s="553" t="s">
        <v>104</v>
      </c>
      <c r="D44" s="528" t="s">
        <v>106</v>
      </c>
      <c r="E44" s="409">
        <v>30</v>
      </c>
      <c r="F44" s="300">
        <v>30</v>
      </c>
      <c r="G44" s="409">
        <v>5</v>
      </c>
      <c r="H44" s="300">
        <v>5</v>
      </c>
      <c r="I44" s="409">
        <v>30</v>
      </c>
      <c r="J44" s="300">
        <v>30</v>
      </c>
      <c r="K44" s="409">
        <v>10</v>
      </c>
      <c r="L44" s="300">
        <v>10</v>
      </c>
      <c r="M44" s="428">
        <f t="shared" si="1"/>
        <v>-20</v>
      </c>
      <c r="N44" s="428">
        <f t="shared" si="2"/>
        <v>-20</v>
      </c>
      <c r="O44" s="181" t="s">
        <v>24</v>
      </c>
      <c r="Q44" s="1"/>
    </row>
    <row r="45" spans="1:17" s="2" customFormat="1" ht="21" customHeight="1" x14ac:dyDescent="0.2">
      <c r="A45" s="1584"/>
      <c r="B45" s="1581"/>
      <c r="C45" s="553" t="s">
        <v>104</v>
      </c>
      <c r="D45" s="528" t="s">
        <v>107</v>
      </c>
      <c r="E45" s="409">
        <f>SUM(E46:E61)</f>
        <v>1436.8</v>
      </c>
      <c r="F45" s="300">
        <f>SUM(F46:F61)</f>
        <v>1436.8</v>
      </c>
      <c r="G45" s="409">
        <v>1405.5</v>
      </c>
      <c r="H45" s="300">
        <v>1405.5</v>
      </c>
      <c r="I45" s="409">
        <f>SUM(I46:I61)</f>
        <v>1647.6000000000001</v>
      </c>
      <c r="J45" s="300">
        <f>SUM(J46:J61)</f>
        <v>1647.6000000000001</v>
      </c>
      <c r="K45" s="409">
        <f>SUM(K46:K61)</f>
        <v>996.6</v>
      </c>
      <c r="L45" s="300">
        <f>SUM(L46:L61)</f>
        <v>996.6</v>
      </c>
      <c r="M45" s="428">
        <f t="shared" si="1"/>
        <v>-651.00000000000011</v>
      </c>
      <c r="N45" s="428">
        <f t="shared" si="2"/>
        <v>-440.19999999999993</v>
      </c>
      <c r="O45" s="182"/>
      <c r="Q45" s="1"/>
    </row>
    <row r="46" spans="1:17" s="2" customFormat="1" ht="25.5" x14ac:dyDescent="0.2">
      <c r="A46" s="1584"/>
      <c r="B46" s="1581"/>
      <c r="C46" s="7"/>
      <c r="D46" s="524" t="s">
        <v>25</v>
      </c>
      <c r="E46" s="409">
        <v>150.30000000000001</v>
      </c>
      <c r="F46" s="300">
        <v>150.30000000000001</v>
      </c>
      <c r="G46" s="409">
        <v>150.30000000000001</v>
      </c>
      <c r="H46" s="300">
        <v>150.30000000000001</v>
      </c>
      <c r="I46" s="409">
        <v>145.19999999999999</v>
      </c>
      <c r="J46" s="300">
        <v>145.19999999999999</v>
      </c>
      <c r="K46" s="409">
        <v>138</v>
      </c>
      <c r="L46" s="300">
        <v>138</v>
      </c>
      <c r="M46" s="428">
        <f t="shared" si="1"/>
        <v>-7.1999999999999886</v>
      </c>
      <c r="N46" s="428">
        <f t="shared" si="2"/>
        <v>-12.300000000000011</v>
      </c>
      <c r="O46" s="185"/>
      <c r="Q46" s="1"/>
    </row>
    <row r="47" spans="1:17" s="2" customFormat="1" ht="17.45" customHeight="1" x14ac:dyDescent="0.2">
      <c r="A47" s="1584"/>
      <c r="B47" s="1581"/>
      <c r="C47" s="7"/>
      <c r="D47" s="524" t="s">
        <v>26</v>
      </c>
      <c r="E47" s="409">
        <v>360</v>
      </c>
      <c r="F47" s="300">
        <v>360</v>
      </c>
      <c r="G47" s="409">
        <v>360</v>
      </c>
      <c r="H47" s="300">
        <v>360</v>
      </c>
      <c r="I47" s="409">
        <v>360</v>
      </c>
      <c r="J47" s="300">
        <v>360</v>
      </c>
      <c r="K47" s="409">
        <f>280+80</f>
        <v>360</v>
      </c>
      <c r="L47" s="300">
        <f>280+80</f>
        <v>360</v>
      </c>
      <c r="M47" s="428">
        <f t="shared" si="1"/>
        <v>0</v>
      </c>
      <c r="N47" s="428">
        <f t="shared" si="2"/>
        <v>0</v>
      </c>
      <c r="O47" s="185"/>
      <c r="Q47" s="1"/>
    </row>
    <row r="48" spans="1:17" s="2" customFormat="1" ht="12.75" x14ac:dyDescent="0.2">
      <c r="A48" s="1584"/>
      <c r="B48" s="1581"/>
      <c r="C48" s="7"/>
      <c r="D48" s="524" t="s">
        <v>27</v>
      </c>
      <c r="E48" s="409">
        <v>19</v>
      </c>
      <c r="F48" s="300">
        <v>19</v>
      </c>
      <c r="G48" s="409">
        <v>19</v>
      </c>
      <c r="H48" s="300">
        <v>19</v>
      </c>
      <c r="I48" s="409">
        <v>19</v>
      </c>
      <c r="J48" s="300">
        <v>19</v>
      </c>
      <c r="K48" s="409">
        <v>19</v>
      </c>
      <c r="L48" s="300">
        <v>19</v>
      </c>
      <c r="M48" s="428">
        <f t="shared" si="1"/>
        <v>0</v>
      </c>
      <c r="N48" s="428">
        <f t="shared" si="2"/>
        <v>0</v>
      </c>
      <c r="O48" s="185"/>
      <c r="Q48" s="1"/>
    </row>
    <row r="49" spans="1:17" s="2" customFormat="1" ht="25.5" customHeight="1" x14ac:dyDescent="0.2">
      <c r="A49" s="1584"/>
      <c r="B49" s="1581"/>
      <c r="C49" s="7"/>
      <c r="D49" s="524" t="s">
        <v>28</v>
      </c>
      <c r="E49" s="409">
        <v>170.9</v>
      </c>
      <c r="F49" s="300">
        <v>170.9</v>
      </c>
      <c r="G49" s="409">
        <v>170.9</v>
      </c>
      <c r="H49" s="300">
        <v>170.9</v>
      </c>
      <c r="I49" s="409">
        <v>105</v>
      </c>
      <c r="J49" s="300">
        <v>105</v>
      </c>
      <c r="K49" s="409">
        <v>102</v>
      </c>
      <c r="L49" s="300">
        <v>102</v>
      </c>
      <c r="M49" s="428">
        <f t="shared" si="1"/>
        <v>-3</v>
      </c>
      <c r="N49" s="428">
        <f t="shared" si="2"/>
        <v>-68.900000000000006</v>
      </c>
      <c r="O49" s="185"/>
      <c r="Q49" s="1"/>
    </row>
    <row r="50" spans="1:17" s="2" customFormat="1" ht="25.5" x14ac:dyDescent="0.2">
      <c r="A50" s="1584"/>
      <c r="B50" s="1581"/>
      <c r="C50" s="7"/>
      <c r="D50" s="524" t="s">
        <v>29</v>
      </c>
      <c r="E50" s="409">
        <v>78.8</v>
      </c>
      <c r="F50" s="300">
        <v>78.8</v>
      </c>
      <c r="G50" s="409">
        <v>78.8</v>
      </c>
      <c r="H50" s="300">
        <v>78.8</v>
      </c>
      <c r="I50" s="409">
        <v>82.7</v>
      </c>
      <c r="J50" s="300">
        <v>82.7</v>
      </c>
      <c r="K50" s="409">
        <v>78.8</v>
      </c>
      <c r="L50" s="300">
        <v>78.8</v>
      </c>
      <c r="M50" s="428">
        <f t="shared" si="1"/>
        <v>-3.9000000000000057</v>
      </c>
      <c r="N50" s="428">
        <f t="shared" si="2"/>
        <v>0</v>
      </c>
      <c r="O50" s="185"/>
      <c r="Q50" s="1"/>
    </row>
    <row r="51" spans="1:17" s="2" customFormat="1" ht="38.25" x14ac:dyDescent="0.2">
      <c r="A51" s="1584"/>
      <c r="B51" s="1581"/>
      <c r="C51" s="7"/>
      <c r="D51" s="524" t="s">
        <v>30</v>
      </c>
      <c r="E51" s="409">
        <v>12</v>
      </c>
      <c r="F51" s="300">
        <v>12</v>
      </c>
      <c r="G51" s="409">
        <v>12</v>
      </c>
      <c r="H51" s="300">
        <v>12</v>
      </c>
      <c r="I51" s="409">
        <v>15</v>
      </c>
      <c r="J51" s="300">
        <v>15</v>
      </c>
      <c r="K51" s="409">
        <v>12</v>
      </c>
      <c r="L51" s="300">
        <v>12</v>
      </c>
      <c r="M51" s="428">
        <f t="shared" si="1"/>
        <v>-3</v>
      </c>
      <c r="N51" s="428">
        <f t="shared" si="2"/>
        <v>0</v>
      </c>
      <c r="O51" s="185"/>
      <c r="Q51" s="1"/>
    </row>
    <row r="52" spans="1:17" s="2" customFormat="1" ht="12.75" x14ac:dyDescent="0.2">
      <c r="A52" s="1584"/>
      <c r="B52" s="1581"/>
      <c r="C52" s="7"/>
      <c r="D52" s="524" t="s">
        <v>31</v>
      </c>
      <c r="E52" s="409">
        <v>63</v>
      </c>
      <c r="F52" s="300">
        <v>63</v>
      </c>
      <c r="G52" s="409">
        <v>63</v>
      </c>
      <c r="H52" s="300">
        <v>63</v>
      </c>
      <c r="I52" s="409">
        <v>72.5</v>
      </c>
      <c r="J52" s="300">
        <v>72.5</v>
      </c>
      <c r="K52" s="409">
        <v>72.5</v>
      </c>
      <c r="L52" s="300">
        <v>72.5</v>
      </c>
      <c r="M52" s="428">
        <f t="shared" si="1"/>
        <v>0</v>
      </c>
      <c r="N52" s="428">
        <f t="shared" si="2"/>
        <v>9.5</v>
      </c>
      <c r="O52" s="185"/>
      <c r="Q52" s="1"/>
    </row>
    <row r="53" spans="1:17" s="2" customFormat="1" ht="12.75" x14ac:dyDescent="0.2">
      <c r="A53" s="1584"/>
      <c r="B53" s="1581"/>
      <c r="C53" s="7"/>
      <c r="D53" s="524" t="s">
        <v>32</v>
      </c>
      <c r="E53" s="152">
        <v>6</v>
      </c>
      <c r="F53" s="287">
        <v>6</v>
      </c>
      <c r="G53" s="152">
        <v>6</v>
      </c>
      <c r="H53" s="287">
        <v>6</v>
      </c>
      <c r="I53" s="409">
        <v>6</v>
      </c>
      <c r="J53" s="300">
        <v>6</v>
      </c>
      <c r="K53" s="409">
        <v>6</v>
      </c>
      <c r="L53" s="300">
        <v>6</v>
      </c>
      <c r="M53" s="428">
        <f t="shared" si="1"/>
        <v>0</v>
      </c>
      <c r="N53" s="428">
        <f t="shared" si="2"/>
        <v>0</v>
      </c>
      <c r="O53" s="185"/>
      <c r="Q53" s="1"/>
    </row>
    <row r="54" spans="1:17" s="2" customFormat="1" ht="38.25" x14ac:dyDescent="0.2">
      <c r="A54" s="1584"/>
      <c r="B54" s="1581"/>
      <c r="C54" s="7"/>
      <c r="D54" s="524" t="s">
        <v>33</v>
      </c>
      <c r="E54" s="152">
        <v>38.5</v>
      </c>
      <c r="F54" s="287">
        <v>38.5</v>
      </c>
      <c r="G54" s="152">
        <v>38.5</v>
      </c>
      <c r="H54" s="287">
        <v>38.5</v>
      </c>
      <c r="I54" s="152">
        <v>38.5</v>
      </c>
      <c r="J54" s="287">
        <v>38.5</v>
      </c>
      <c r="K54" s="152">
        <v>38.5</v>
      </c>
      <c r="L54" s="287">
        <v>38.5</v>
      </c>
      <c r="M54" s="428">
        <f t="shared" si="1"/>
        <v>0</v>
      </c>
      <c r="N54" s="428">
        <f t="shared" si="2"/>
        <v>0</v>
      </c>
      <c r="O54" s="185"/>
      <c r="Q54" s="1"/>
    </row>
    <row r="55" spans="1:17" s="2" customFormat="1" ht="51" x14ac:dyDescent="0.2">
      <c r="A55" s="1584"/>
      <c r="B55" s="1581"/>
      <c r="C55" s="7"/>
      <c r="D55" s="524" t="s">
        <v>34</v>
      </c>
      <c r="E55" s="152">
        <v>185.5</v>
      </c>
      <c r="F55" s="287">
        <v>185.5</v>
      </c>
      <c r="G55" s="152">
        <v>185.5</v>
      </c>
      <c r="H55" s="287">
        <v>185.5</v>
      </c>
      <c r="I55" s="152">
        <v>200</v>
      </c>
      <c r="J55" s="287">
        <v>200</v>
      </c>
      <c r="K55" s="152">
        <f>118.6-18.6</f>
        <v>100</v>
      </c>
      <c r="L55" s="287">
        <f>118.6-18.6</f>
        <v>100</v>
      </c>
      <c r="M55" s="428">
        <f t="shared" si="1"/>
        <v>-100</v>
      </c>
      <c r="N55" s="428">
        <f t="shared" si="2"/>
        <v>-85.5</v>
      </c>
      <c r="O55" s="185" t="s">
        <v>35</v>
      </c>
      <c r="Q55" s="1"/>
    </row>
    <row r="56" spans="1:17" s="2" customFormat="1" ht="25.5" x14ac:dyDescent="0.2">
      <c r="A56" s="1584"/>
      <c r="B56" s="1581"/>
      <c r="C56" s="7"/>
      <c r="D56" s="524" t="s">
        <v>36</v>
      </c>
      <c r="E56" s="152">
        <v>48.8</v>
      </c>
      <c r="F56" s="287">
        <v>48.8</v>
      </c>
      <c r="G56" s="152">
        <v>48.8</v>
      </c>
      <c r="H56" s="287">
        <v>48.8</v>
      </c>
      <c r="I56" s="152">
        <v>46.2</v>
      </c>
      <c r="J56" s="287">
        <v>46.2</v>
      </c>
      <c r="K56" s="152">
        <v>42</v>
      </c>
      <c r="L56" s="287">
        <v>42</v>
      </c>
      <c r="M56" s="428">
        <f t="shared" si="1"/>
        <v>-4.2000000000000028</v>
      </c>
      <c r="N56" s="428">
        <f t="shared" si="2"/>
        <v>-6.7999999999999972</v>
      </c>
      <c r="O56" s="185"/>
      <c r="Q56" s="1"/>
    </row>
    <row r="57" spans="1:17" s="2" customFormat="1" ht="48" customHeight="1" x14ac:dyDescent="0.2">
      <c r="A57" s="1584"/>
      <c r="B57" s="1581"/>
      <c r="C57" s="7"/>
      <c r="D57" s="524" t="s">
        <v>37</v>
      </c>
      <c r="E57" s="152">
        <v>114</v>
      </c>
      <c r="F57" s="287">
        <v>114</v>
      </c>
      <c r="G57" s="152">
        <v>114</v>
      </c>
      <c r="H57" s="287">
        <v>114</v>
      </c>
      <c r="I57" s="152">
        <v>136.4</v>
      </c>
      <c r="J57" s="287">
        <v>136.4</v>
      </c>
      <c r="K57" s="152"/>
      <c r="L57" s="287"/>
      <c r="M57" s="428">
        <f t="shared" si="1"/>
        <v>-136.4</v>
      </c>
      <c r="N57" s="428">
        <f t="shared" si="2"/>
        <v>-114</v>
      </c>
      <c r="O57" s="181" t="s">
        <v>754</v>
      </c>
      <c r="Q57" s="1"/>
    </row>
    <row r="58" spans="1:17" s="2" customFormat="1" ht="84" customHeight="1" x14ac:dyDescent="0.2">
      <c r="A58" s="1584" t="s">
        <v>80</v>
      </c>
      <c r="B58" s="1581" t="s">
        <v>79</v>
      </c>
      <c r="C58" s="7"/>
      <c r="D58" s="524" t="s">
        <v>38</v>
      </c>
      <c r="E58" s="152">
        <v>89.2</v>
      </c>
      <c r="F58" s="287">
        <v>89.2</v>
      </c>
      <c r="G58" s="152">
        <v>89.2</v>
      </c>
      <c r="H58" s="287">
        <v>89.2</v>
      </c>
      <c r="I58" s="152">
        <v>89.2</v>
      </c>
      <c r="J58" s="287">
        <v>89.2</v>
      </c>
      <c r="K58" s="152">
        <f>89.2-80</f>
        <v>9.2000000000000028</v>
      </c>
      <c r="L58" s="287">
        <f>89.2-80</f>
        <v>9.2000000000000028</v>
      </c>
      <c r="M58" s="428">
        <f t="shared" si="1"/>
        <v>-80</v>
      </c>
      <c r="N58" s="428">
        <f t="shared" si="2"/>
        <v>-80</v>
      </c>
      <c r="O58" s="185"/>
      <c r="Q58" s="1"/>
    </row>
    <row r="59" spans="1:17" s="2" customFormat="1" ht="36" x14ac:dyDescent="0.2">
      <c r="A59" s="1584"/>
      <c r="B59" s="1581"/>
      <c r="C59" s="7"/>
      <c r="D59" s="524" t="s">
        <v>39</v>
      </c>
      <c r="E59" s="152">
        <v>0</v>
      </c>
      <c r="F59" s="287">
        <v>0</v>
      </c>
      <c r="G59" s="152"/>
      <c r="H59" s="287"/>
      <c r="I59" s="152">
        <v>20</v>
      </c>
      <c r="J59" s="287">
        <v>20</v>
      </c>
      <c r="K59" s="152">
        <v>18.600000000000001</v>
      </c>
      <c r="L59" s="287">
        <v>18.600000000000001</v>
      </c>
      <c r="M59" s="428">
        <f t="shared" si="1"/>
        <v>-1.3999999999999986</v>
      </c>
      <c r="N59" s="428">
        <f t="shared" si="2"/>
        <v>18.600000000000001</v>
      </c>
      <c r="O59" s="181" t="s">
        <v>40</v>
      </c>
      <c r="Q59" s="1"/>
    </row>
    <row r="60" spans="1:17" s="2" customFormat="1" ht="38.25" customHeight="1" x14ac:dyDescent="0.2">
      <c r="A60" s="1584"/>
      <c r="B60" s="1581"/>
      <c r="C60" s="7"/>
      <c r="D60" s="524" t="s">
        <v>41</v>
      </c>
      <c r="E60" s="152"/>
      <c r="F60" s="287"/>
      <c r="G60" s="152"/>
      <c r="H60" s="302"/>
      <c r="I60" s="152">
        <v>187.3</v>
      </c>
      <c r="J60" s="287">
        <v>187.3</v>
      </c>
      <c r="K60" s="152"/>
      <c r="L60" s="287"/>
      <c r="M60" s="428">
        <f t="shared" si="1"/>
        <v>-187.3</v>
      </c>
      <c r="N60" s="428">
        <f t="shared" si="2"/>
        <v>0</v>
      </c>
      <c r="O60" s="186"/>
      <c r="Q60" s="1"/>
    </row>
    <row r="61" spans="1:17" s="2" customFormat="1" ht="48" x14ac:dyDescent="0.2">
      <c r="A61" s="1584"/>
      <c r="B61" s="1581"/>
      <c r="C61" s="7"/>
      <c r="D61" s="524" t="s">
        <v>42</v>
      </c>
      <c r="E61" s="152">
        <v>100.8</v>
      </c>
      <c r="F61" s="287">
        <v>100.8</v>
      </c>
      <c r="G61" s="152">
        <v>69.5</v>
      </c>
      <c r="H61" s="287">
        <v>69.5</v>
      </c>
      <c r="I61" s="152">
        <v>124.6</v>
      </c>
      <c r="J61" s="287">
        <v>124.6</v>
      </c>
      <c r="K61" s="152"/>
      <c r="L61" s="287"/>
      <c r="M61" s="428">
        <f t="shared" si="1"/>
        <v>-124.6</v>
      </c>
      <c r="N61" s="428">
        <f t="shared" si="2"/>
        <v>-100.8</v>
      </c>
      <c r="O61" s="181" t="s">
        <v>43</v>
      </c>
      <c r="Q61" s="1"/>
    </row>
    <row r="62" spans="1:17" s="2" customFormat="1" ht="25.5" x14ac:dyDescent="0.2">
      <c r="A62" s="1584"/>
      <c r="B62" s="1581"/>
      <c r="C62" s="553" t="s">
        <v>104</v>
      </c>
      <c r="D62" s="528" t="s">
        <v>44</v>
      </c>
      <c r="E62" s="409">
        <v>339.8</v>
      </c>
      <c r="F62" s="300">
        <v>339.8</v>
      </c>
      <c r="G62" s="409">
        <v>339.8</v>
      </c>
      <c r="H62" s="300">
        <v>339.8</v>
      </c>
      <c r="I62" s="409">
        <v>441.7</v>
      </c>
      <c r="J62" s="300">
        <v>441.7</v>
      </c>
      <c r="K62" s="409">
        <v>441.7</v>
      </c>
      <c r="L62" s="300">
        <v>441.7</v>
      </c>
      <c r="M62" s="428">
        <f t="shared" si="1"/>
        <v>0</v>
      </c>
      <c r="N62" s="428">
        <f t="shared" si="2"/>
        <v>101.89999999999998</v>
      </c>
      <c r="O62" s="181" t="s">
        <v>45</v>
      </c>
      <c r="Q62" s="1"/>
    </row>
    <row r="63" spans="1:17" s="2" customFormat="1" ht="25.5" x14ac:dyDescent="0.2">
      <c r="A63" s="1584"/>
      <c r="B63" s="1581"/>
      <c r="C63" s="553" t="s">
        <v>104</v>
      </c>
      <c r="D63" s="528" t="s">
        <v>684</v>
      </c>
      <c r="E63" s="410">
        <v>450.5</v>
      </c>
      <c r="F63" s="304">
        <v>450.5</v>
      </c>
      <c r="G63" s="410">
        <v>456</v>
      </c>
      <c r="H63" s="304">
        <v>456</v>
      </c>
      <c r="I63" s="410">
        <v>532.5</v>
      </c>
      <c r="J63" s="304">
        <v>532.5</v>
      </c>
      <c r="K63" s="410">
        <v>532.5</v>
      </c>
      <c r="L63" s="304">
        <v>532.5</v>
      </c>
      <c r="M63" s="428">
        <f t="shared" si="1"/>
        <v>0</v>
      </c>
      <c r="N63" s="428">
        <f t="shared" si="2"/>
        <v>82</v>
      </c>
      <c r="O63" s="181" t="s">
        <v>46</v>
      </c>
      <c r="Q63" s="1"/>
    </row>
    <row r="64" spans="1:17" s="2" customFormat="1" ht="25.5" x14ac:dyDescent="0.2">
      <c r="A64" s="1584"/>
      <c r="B64" s="1581"/>
      <c r="C64" s="553" t="s">
        <v>104</v>
      </c>
      <c r="D64" s="528" t="s">
        <v>47</v>
      </c>
      <c r="E64" s="409">
        <v>11.6</v>
      </c>
      <c r="F64" s="300">
        <v>11.6</v>
      </c>
      <c r="G64" s="409">
        <v>11.6</v>
      </c>
      <c r="H64" s="300">
        <v>11.6</v>
      </c>
      <c r="I64" s="409">
        <v>11.6</v>
      </c>
      <c r="J64" s="300">
        <v>11.6</v>
      </c>
      <c r="K64" s="409">
        <v>11.6</v>
      </c>
      <c r="L64" s="300">
        <v>11.6</v>
      </c>
      <c r="M64" s="428">
        <f t="shared" si="1"/>
        <v>0</v>
      </c>
      <c r="N64" s="428">
        <f t="shared" si="2"/>
        <v>0</v>
      </c>
      <c r="O64" s="182" t="s">
        <v>755</v>
      </c>
      <c r="Q64" s="1"/>
    </row>
    <row r="65" spans="1:17" s="2" customFormat="1" ht="12.75" x14ac:dyDescent="0.2">
      <c r="A65" s="1584"/>
      <c r="B65" s="1581"/>
      <c r="C65" s="553" t="s">
        <v>104</v>
      </c>
      <c r="D65" s="528" t="s">
        <v>683</v>
      </c>
      <c r="E65" s="409">
        <v>50</v>
      </c>
      <c r="F65" s="300">
        <v>50</v>
      </c>
      <c r="G65" s="409">
        <v>50</v>
      </c>
      <c r="H65" s="300">
        <v>50</v>
      </c>
      <c r="I65" s="409">
        <v>50</v>
      </c>
      <c r="J65" s="300">
        <v>50</v>
      </c>
      <c r="K65" s="409">
        <v>50</v>
      </c>
      <c r="L65" s="300">
        <v>50</v>
      </c>
      <c r="M65" s="428">
        <f t="shared" si="1"/>
        <v>0</v>
      </c>
      <c r="N65" s="428">
        <f t="shared" si="2"/>
        <v>0</v>
      </c>
      <c r="O65" s="182" t="s">
        <v>756</v>
      </c>
      <c r="Q65" s="1"/>
    </row>
    <row r="66" spans="1:17" s="2" customFormat="1" ht="120" x14ac:dyDescent="0.2">
      <c r="A66" s="1584"/>
      <c r="B66" s="1581"/>
      <c r="C66" s="553" t="s">
        <v>104</v>
      </c>
      <c r="D66" s="523" t="s">
        <v>108</v>
      </c>
      <c r="E66" s="409">
        <v>185</v>
      </c>
      <c r="F66" s="300">
        <v>185</v>
      </c>
      <c r="G66" s="409">
        <v>118</v>
      </c>
      <c r="H66" s="300">
        <v>118</v>
      </c>
      <c r="I66" s="409">
        <v>370</v>
      </c>
      <c r="J66" s="300">
        <v>370</v>
      </c>
      <c r="K66" s="409">
        <v>200</v>
      </c>
      <c r="L66" s="300">
        <v>200</v>
      </c>
      <c r="M66" s="428">
        <f t="shared" si="1"/>
        <v>-170</v>
      </c>
      <c r="N66" s="428">
        <f t="shared" si="2"/>
        <v>15</v>
      </c>
      <c r="O66" s="181" t="s">
        <v>48</v>
      </c>
      <c r="Q66" s="1"/>
    </row>
    <row r="67" spans="1:17" s="2" customFormat="1" ht="36" x14ac:dyDescent="0.2">
      <c r="A67" s="1584"/>
      <c r="B67" s="1581"/>
      <c r="C67" s="553" t="s">
        <v>104</v>
      </c>
      <c r="D67" s="528" t="s">
        <v>109</v>
      </c>
      <c r="E67" s="409">
        <f>147+2.5</f>
        <v>149.5</v>
      </c>
      <c r="F67" s="300">
        <f>147+2.5</f>
        <v>149.5</v>
      </c>
      <c r="G67" s="409">
        <v>149.5</v>
      </c>
      <c r="H67" s="300">
        <v>149.5</v>
      </c>
      <c r="I67" s="409">
        <v>152.30000000000001</v>
      </c>
      <c r="J67" s="300">
        <v>152.30000000000001</v>
      </c>
      <c r="K67" s="409">
        <v>152.30000000000001</v>
      </c>
      <c r="L67" s="300">
        <v>152.30000000000001</v>
      </c>
      <c r="M67" s="428">
        <f t="shared" si="1"/>
        <v>0</v>
      </c>
      <c r="N67" s="428">
        <f t="shared" si="2"/>
        <v>2.8000000000000114</v>
      </c>
      <c r="O67" s="181" t="s">
        <v>49</v>
      </c>
      <c r="Q67" s="1"/>
    </row>
    <row r="68" spans="1:17" s="2" customFormat="1" ht="21.75" customHeight="1" x14ac:dyDescent="0.2">
      <c r="A68" s="1584"/>
      <c r="B68" s="1581"/>
      <c r="C68" s="553" t="s">
        <v>104</v>
      </c>
      <c r="D68" s="528" t="s">
        <v>118</v>
      </c>
      <c r="E68" s="409">
        <f>SUM(E69:E71)</f>
        <v>2148.6</v>
      </c>
      <c r="F68" s="300">
        <f>SUM(F69:F71)</f>
        <v>2148.6</v>
      </c>
      <c r="G68" s="409">
        <f t="shared" ref="G68:K68" si="14">SUM(G69:G71)</f>
        <v>3039.9</v>
      </c>
      <c r="H68" s="300">
        <f t="shared" ref="H68" si="15">SUM(H69:H71)</f>
        <v>3039.9</v>
      </c>
      <c r="I68" s="409">
        <f t="shared" si="14"/>
        <v>3363</v>
      </c>
      <c r="J68" s="300">
        <f t="shared" ref="J68" si="16">SUM(J69:J71)</f>
        <v>3363</v>
      </c>
      <c r="K68" s="409">
        <f t="shared" si="14"/>
        <v>3060.2999999999997</v>
      </c>
      <c r="L68" s="300">
        <f t="shared" ref="L68" si="17">SUM(L69:L71)</f>
        <v>3060.2999999999997</v>
      </c>
      <c r="M68" s="428">
        <f t="shared" si="1"/>
        <v>-302.70000000000027</v>
      </c>
      <c r="N68" s="428">
        <f t="shared" si="2"/>
        <v>911.69999999999982</v>
      </c>
      <c r="O68" s="182"/>
      <c r="Q68" s="1"/>
    </row>
    <row r="69" spans="1:17" s="2" customFormat="1" ht="12.75" x14ac:dyDescent="0.2">
      <c r="A69" s="1584"/>
      <c r="B69" s="1581"/>
      <c r="C69" s="11"/>
      <c r="D69" s="524" t="s">
        <v>50</v>
      </c>
      <c r="E69" s="409">
        <v>120</v>
      </c>
      <c r="F69" s="300">
        <v>120</v>
      </c>
      <c r="G69" s="409">
        <v>120</v>
      </c>
      <c r="H69" s="300">
        <v>120</v>
      </c>
      <c r="I69" s="409">
        <v>120</v>
      </c>
      <c r="J69" s="300">
        <v>120</v>
      </c>
      <c r="K69" s="409">
        <v>109.2</v>
      </c>
      <c r="L69" s="300">
        <v>109.2</v>
      </c>
      <c r="M69" s="428">
        <f t="shared" si="1"/>
        <v>-10.799999999999997</v>
      </c>
      <c r="N69" s="428">
        <f t="shared" si="2"/>
        <v>-10.799999999999997</v>
      </c>
      <c r="O69" s="182"/>
      <c r="Q69" s="1"/>
    </row>
    <row r="70" spans="1:17" s="2" customFormat="1" ht="16.149999999999999" customHeight="1" x14ac:dyDescent="0.2">
      <c r="A70" s="1584"/>
      <c r="B70" s="1581"/>
      <c r="C70" s="11"/>
      <c r="D70" s="524" t="s">
        <v>51</v>
      </c>
      <c r="E70" s="409">
        <v>16.600000000000001</v>
      </c>
      <c r="F70" s="300">
        <v>16.600000000000001</v>
      </c>
      <c r="G70" s="409">
        <v>16.600000000000001</v>
      </c>
      <c r="H70" s="300">
        <v>16.600000000000001</v>
      </c>
      <c r="I70" s="409">
        <v>18</v>
      </c>
      <c r="J70" s="300">
        <v>18</v>
      </c>
      <c r="K70" s="409">
        <v>16.399999999999999</v>
      </c>
      <c r="L70" s="300">
        <v>16.399999999999999</v>
      </c>
      <c r="M70" s="428">
        <f t="shared" si="1"/>
        <v>-1.6000000000000014</v>
      </c>
      <c r="N70" s="428">
        <f t="shared" si="2"/>
        <v>-0.20000000000000284</v>
      </c>
      <c r="O70" s="182"/>
      <c r="Q70" s="1"/>
    </row>
    <row r="71" spans="1:17" s="2" customFormat="1" ht="12.75" x14ac:dyDescent="0.2">
      <c r="A71" s="1584"/>
      <c r="B71" s="1581"/>
      <c r="C71" s="11"/>
      <c r="D71" s="524" t="s">
        <v>52</v>
      </c>
      <c r="E71" s="409">
        <v>2012</v>
      </c>
      <c r="F71" s="300">
        <v>2012</v>
      </c>
      <c r="G71" s="409">
        <v>2903.3</v>
      </c>
      <c r="H71" s="300">
        <v>2903.3</v>
      </c>
      <c r="I71" s="409">
        <v>3225</v>
      </c>
      <c r="J71" s="300">
        <v>3225</v>
      </c>
      <c r="K71" s="409">
        <v>2934.7</v>
      </c>
      <c r="L71" s="300">
        <v>2934.7</v>
      </c>
      <c r="M71" s="428">
        <f t="shared" si="1"/>
        <v>-290.30000000000018</v>
      </c>
      <c r="N71" s="428">
        <f t="shared" si="2"/>
        <v>922.69999999999982</v>
      </c>
      <c r="O71" s="182"/>
      <c r="Q71" s="1"/>
    </row>
    <row r="72" spans="1:17" s="2" customFormat="1" ht="38.25" customHeight="1" x14ac:dyDescent="0.2">
      <c r="A72" s="1584"/>
      <c r="B72" s="1581"/>
      <c r="C72" s="553" t="s">
        <v>104</v>
      </c>
      <c r="D72" s="528" t="s">
        <v>110</v>
      </c>
      <c r="E72" s="409">
        <f>1657.4-50.7</f>
        <v>1606.7</v>
      </c>
      <c r="F72" s="300">
        <f>1657.4-50.7</f>
        <v>1606.7</v>
      </c>
      <c r="G72" s="409">
        <v>1606.7</v>
      </c>
      <c r="H72" s="300">
        <v>1606.7</v>
      </c>
      <c r="I72" s="409">
        <v>1764</v>
      </c>
      <c r="J72" s="300">
        <v>1764</v>
      </c>
      <c r="K72" s="409">
        <v>1605.3</v>
      </c>
      <c r="L72" s="300">
        <v>1605.3</v>
      </c>
      <c r="M72" s="428">
        <f t="shared" ref="M72:M115" si="18">+K72-I72</f>
        <v>-158.70000000000005</v>
      </c>
      <c r="N72" s="428">
        <f t="shared" ref="N72:N132" si="19">+K72-E72</f>
        <v>-1.4000000000000909</v>
      </c>
      <c r="O72" s="181" t="s">
        <v>53</v>
      </c>
      <c r="Q72" s="1"/>
    </row>
    <row r="73" spans="1:17" s="2" customFormat="1" ht="36" x14ac:dyDescent="0.2">
      <c r="A73" s="1584"/>
      <c r="B73" s="1581"/>
      <c r="C73" s="525" t="s">
        <v>92</v>
      </c>
      <c r="D73" s="523" t="s">
        <v>111</v>
      </c>
      <c r="E73" s="409">
        <f>242.8-30</f>
        <v>212.8</v>
      </c>
      <c r="F73" s="300">
        <f>242.8-30</f>
        <v>212.8</v>
      </c>
      <c r="G73" s="409">
        <v>77.7</v>
      </c>
      <c r="H73" s="300">
        <v>77.7</v>
      </c>
      <c r="I73" s="409">
        <v>450</v>
      </c>
      <c r="J73" s="300">
        <v>450</v>
      </c>
      <c r="K73" s="409">
        <v>300</v>
      </c>
      <c r="L73" s="300">
        <v>300</v>
      </c>
      <c r="M73" s="428">
        <f t="shared" si="18"/>
        <v>-150</v>
      </c>
      <c r="N73" s="428">
        <f t="shared" si="19"/>
        <v>87.199999999999989</v>
      </c>
      <c r="O73" s="181" t="s">
        <v>714</v>
      </c>
      <c r="Q73" s="1"/>
    </row>
    <row r="74" spans="1:17" s="2" customFormat="1" ht="38.25" x14ac:dyDescent="0.2">
      <c r="A74" s="1584"/>
      <c r="B74" s="1581"/>
      <c r="C74" s="522" t="s">
        <v>93</v>
      </c>
      <c r="D74" s="523" t="s">
        <v>112</v>
      </c>
      <c r="E74" s="409">
        <f>SUM(E75:E77)</f>
        <v>293.8</v>
      </c>
      <c r="F74" s="300">
        <f t="shared" ref="F74:L74" si="20">SUM(F75:F77)</f>
        <v>112.4</v>
      </c>
      <c r="G74" s="409">
        <f t="shared" si="20"/>
        <v>293.8</v>
      </c>
      <c r="H74" s="300">
        <f t="shared" si="20"/>
        <v>112.4</v>
      </c>
      <c r="I74" s="409">
        <f t="shared" si="20"/>
        <v>613.29999999999995</v>
      </c>
      <c r="J74" s="300">
        <f t="shared" si="20"/>
        <v>613.29999999999995</v>
      </c>
      <c r="K74" s="409">
        <f t="shared" si="20"/>
        <v>613.29999999999995</v>
      </c>
      <c r="L74" s="300">
        <f t="shared" si="20"/>
        <v>613.29999999999995</v>
      </c>
      <c r="M74" s="428">
        <f t="shared" si="18"/>
        <v>0</v>
      </c>
      <c r="N74" s="428">
        <f t="shared" si="19"/>
        <v>319.49999999999994</v>
      </c>
      <c r="O74" s="181"/>
      <c r="Q74" s="1"/>
    </row>
    <row r="75" spans="1:17" s="2" customFormat="1" ht="46.5" customHeight="1" x14ac:dyDescent="0.2">
      <c r="A75" s="1584"/>
      <c r="B75" s="1581"/>
      <c r="C75" s="522" t="s">
        <v>93</v>
      </c>
      <c r="D75" s="523" t="s">
        <v>113</v>
      </c>
      <c r="E75" s="409">
        <v>112.4</v>
      </c>
      <c r="F75" s="300">
        <v>112.4</v>
      </c>
      <c r="G75" s="409">
        <v>112.4</v>
      </c>
      <c r="H75" s="300">
        <v>112.4</v>
      </c>
      <c r="I75" s="409">
        <v>15</v>
      </c>
      <c r="J75" s="300">
        <v>15</v>
      </c>
      <c r="K75" s="409">
        <v>15</v>
      </c>
      <c r="L75" s="300">
        <v>15</v>
      </c>
      <c r="M75" s="428">
        <f t="shared" si="18"/>
        <v>0</v>
      </c>
      <c r="N75" s="428">
        <f t="shared" si="19"/>
        <v>-97.4</v>
      </c>
      <c r="O75" s="182"/>
      <c r="Q75" s="1"/>
    </row>
    <row r="76" spans="1:17" s="2" customFormat="1" ht="96" x14ac:dyDescent="0.2">
      <c r="A76" s="1584" t="s">
        <v>80</v>
      </c>
      <c r="B76" s="1581" t="s">
        <v>79</v>
      </c>
      <c r="C76" s="522" t="s">
        <v>93</v>
      </c>
      <c r="D76" s="309" t="s">
        <v>114</v>
      </c>
      <c r="E76" s="409">
        <v>181.4</v>
      </c>
      <c r="F76" s="301"/>
      <c r="G76" s="409">
        <v>181.4</v>
      </c>
      <c r="H76" s="301"/>
      <c r="I76" s="409">
        <v>145.69999999999999</v>
      </c>
      <c r="J76" s="301">
        <v>145.69999999999999</v>
      </c>
      <c r="K76" s="409">
        <v>145.69999999999999</v>
      </c>
      <c r="L76" s="300">
        <v>145.69999999999999</v>
      </c>
      <c r="M76" s="428">
        <f t="shared" si="18"/>
        <v>0</v>
      </c>
      <c r="N76" s="428">
        <f t="shared" si="19"/>
        <v>-35.700000000000017</v>
      </c>
      <c r="O76" s="181" t="s">
        <v>57</v>
      </c>
      <c r="Q76" s="1"/>
    </row>
    <row r="77" spans="1:17" s="2" customFormat="1" ht="25.5" x14ac:dyDescent="0.2">
      <c r="A77" s="1584"/>
      <c r="B77" s="1581"/>
      <c r="C77" s="522" t="s">
        <v>93</v>
      </c>
      <c r="D77" s="523" t="s">
        <v>115</v>
      </c>
      <c r="E77" s="409"/>
      <c r="F77" s="300"/>
      <c r="G77" s="409"/>
      <c r="H77" s="300"/>
      <c r="I77" s="409">
        <v>452.6</v>
      </c>
      <c r="J77" s="300">
        <v>452.6</v>
      </c>
      <c r="K77" s="409">
        <v>452.6</v>
      </c>
      <c r="L77" s="300">
        <v>452.6</v>
      </c>
      <c r="M77" s="428">
        <f t="shared" si="18"/>
        <v>0</v>
      </c>
      <c r="N77" s="428">
        <f t="shared" si="19"/>
        <v>452.6</v>
      </c>
      <c r="O77" s="182"/>
      <c r="Q77" s="1"/>
    </row>
    <row r="78" spans="1:17" s="2" customFormat="1" ht="15.75" customHeight="1" x14ac:dyDescent="0.2">
      <c r="A78" s="1580" t="s">
        <v>186</v>
      </c>
      <c r="B78" s="1580"/>
      <c r="C78" s="1580"/>
      <c r="D78" s="1580"/>
      <c r="E78" s="310">
        <f>+E7+E11+E15+E22+E43+E74+E73</f>
        <v>26703.899999999998</v>
      </c>
      <c r="F78" s="310">
        <f t="shared" ref="F78:M78" si="21">+F7+F11+F15+F22+F43+F74+F73</f>
        <v>25642</v>
      </c>
      <c r="G78" s="310">
        <f t="shared" si="21"/>
        <v>26442.1</v>
      </c>
      <c r="H78" s="310">
        <f t="shared" si="21"/>
        <v>25305.4</v>
      </c>
      <c r="I78" s="310">
        <f t="shared" si="21"/>
        <v>35523.199999999997</v>
      </c>
      <c r="J78" s="310">
        <f t="shared" si="21"/>
        <v>34455.800000000003</v>
      </c>
      <c r="K78" s="310">
        <f t="shared" si="21"/>
        <v>32656.5</v>
      </c>
      <c r="L78" s="310">
        <f t="shared" si="21"/>
        <v>31589.1</v>
      </c>
      <c r="M78" s="310">
        <f t="shared" si="21"/>
        <v>-2866.7000000000007</v>
      </c>
      <c r="N78" s="288">
        <f t="shared" si="19"/>
        <v>5952.6000000000022</v>
      </c>
      <c r="O78" s="159"/>
      <c r="Q78" s="1"/>
    </row>
    <row r="79" spans="1:17" s="14" customFormat="1" ht="351.75" customHeight="1" x14ac:dyDescent="0.2">
      <c r="A79" s="1578" t="s">
        <v>132</v>
      </c>
      <c r="B79" s="1577" t="s">
        <v>133</v>
      </c>
      <c r="C79" s="553" t="s">
        <v>134</v>
      </c>
      <c r="D79" s="552" t="s">
        <v>135</v>
      </c>
      <c r="E79" s="311">
        <v>967.3</v>
      </c>
      <c r="F79" s="312">
        <v>526.20000000000005</v>
      </c>
      <c r="G79" s="311">
        <v>1047.3</v>
      </c>
      <c r="H79" s="312">
        <v>526.20000000000005</v>
      </c>
      <c r="I79" s="311">
        <v>1197.2</v>
      </c>
      <c r="J79" s="312">
        <v>895.2</v>
      </c>
      <c r="K79" s="311">
        <v>1197.2</v>
      </c>
      <c r="L79" s="312">
        <v>895.2</v>
      </c>
      <c r="M79" s="428">
        <f t="shared" si="18"/>
        <v>0</v>
      </c>
      <c r="N79" s="428">
        <f t="shared" si="19"/>
        <v>229.90000000000009</v>
      </c>
      <c r="O79" s="187" t="s">
        <v>801</v>
      </c>
      <c r="Q79" s="1"/>
    </row>
    <row r="80" spans="1:17" s="14" customFormat="1" ht="36" x14ac:dyDescent="0.2">
      <c r="A80" s="1578"/>
      <c r="B80" s="1577"/>
      <c r="C80" s="553" t="s">
        <v>136</v>
      </c>
      <c r="D80" s="552" t="s">
        <v>137</v>
      </c>
      <c r="E80" s="311">
        <v>3.4</v>
      </c>
      <c r="F80" s="312"/>
      <c r="G80" s="311">
        <v>3.4</v>
      </c>
      <c r="H80" s="312"/>
      <c r="I80" s="311">
        <f>5+9.1</f>
        <v>14.1</v>
      </c>
      <c r="J80" s="312"/>
      <c r="K80" s="311">
        <f>5+9.1</f>
        <v>14.1</v>
      </c>
      <c r="L80" s="312"/>
      <c r="M80" s="428">
        <f t="shared" si="18"/>
        <v>0</v>
      </c>
      <c r="N80" s="428">
        <f t="shared" si="19"/>
        <v>10.7</v>
      </c>
      <c r="O80" s="188" t="s">
        <v>757</v>
      </c>
      <c r="Q80" s="1"/>
    </row>
    <row r="81" spans="1:17" s="14" customFormat="1" ht="168" x14ac:dyDescent="0.2">
      <c r="A81" s="1578"/>
      <c r="B81" s="1577"/>
      <c r="C81" s="553" t="s">
        <v>138</v>
      </c>
      <c r="D81" s="552" t="s">
        <v>139</v>
      </c>
      <c r="E81" s="311">
        <v>90</v>
      </c>
      <c r="F81" s="313">
        <v>90</v>
      </c>
      <c r="G81" s="311">
        <v>122.8</v>
      </c>
      <c r="H81" s="313">
        <v>122.8</v>
      </c>
      <c r="I81" s="311">
        <f>236.3+14.5</f>
        <v>250.8</v>
      </c>
      <c r="J81" s="313">
        <f>236.3+14.5</f>
        <v>250.8</v>
      </c>
      <c r="K81" s="311">
        <f>236.3+14.5</f>
        <v>250.8</v>
      </c>
      <c r="L81" s="313">
        <f>236.3+14.5</f>
        <v>250.8</v>
      </c>
      <c r="M81" s="428">
        <f t="shared" si="18"/>
        <v>0</v>
      </c>
      <c r="N81" s="428">
        <f t="shared" si="19"/>
        <v>160.80000000000001</v>
      </c>
      <c r="O81" s="189" t="s">
        <v>758</v>
      </c>
      <c r="Q81" s="1"/>
    </row>
    <row r="82" spans="1:17" s="14" customFormat="1" ht="38.25" x14ac:dyDescent="0.2">
      <c r="A82" s="1578"/>
      <c r="B82" s="1577"/>
      <c r="C82" s="553" t="s">
        <v>140</v>
      </c>
      <c r="D82" s="552" t="s">
        <v>141</v>
      </c>
      <c r="E82" s="314">
        <v>84</v>
      </c>
      <c r="F82" s="312">
        <v>84</v>
      </c>
      <c r="G82" s="314"/>
      <c r="H82" s="312"/>
      <c r="I82" s="314"/>
      <c r="J82" s="312"/>
      <c r="K82" s="311"/>
      <c r="L82" s="312"/>
      <c r="M82" s="428">
        <f t="shared" si="18"/>
        <v>0</v>
      </c>
      <c r="N82" s="428">
        <f t="shared" si="19"/>
        <v>-84</v>
      </c>
      <c r="O82" s="189" t="s">
        <v>802</v>
      </c>
      <c r="Q82" s="1"/>
    </row>
    <row r="83" spans="1:17" s="14" customFormat="1" ht="13.15" hidden="1" customHeight="1" x14ac:dyDescent="0.2">
      <c r="A83" s="327"/>
      <c r="B83" s="328"/>
      <c r="C83" s="1574" t="s">
        <v>142</v>
      </c>
      <c r="D83" s="1574"/>
      <c r="E83" s="4"/>
      <c r="F83" s="15"/>
      <c r="G83" s="4"/>
      <c r="H83" s="15"/>
      <c r="I83" s="4"/>
      <c r="J83" s="15"/>
      <c r="K83" s="4"/>
      <c r="L83" s="15"/>
      <c r="M83" s="428">
        <f t="shared" si="18"/>
        <v>0</v>
      </c>
      <c r="N83" s="11">
        <f t="shared" si="19"/>
        <v>0</v>
      </c>
      <c r="O83" s="190"/>
      <c r="Q83" s="1"/>
    </row>
    <row r="84" spans="1:17" s="14" customFormat="1" ht="58.5" hidden="1" customHeight="1" x14ac:dyDescent="0.2">
      <c r="A84" s="327"/>
      <c r="B84" s="328"/>
      <c r="C84" s="551"/>
      <c r="D84" s="551" t="s">
        <v>143</v>
      </c>
      <c r="E84" s="16"/>
      <c r="F84" s="17"/>
      <c r="G84" s="16"/>
      <c r="H84" s="17"/>
      <c r="I84" s="4"/>
      <c r="J84" s="15"/>
      <c r="K84" s="18"/>
      <c r="L84" s="19"/>
      <c r="M84" s="428">
        <f t="shared" si="18"/>
        <v>0</v>
      </c>
      <c r="N84" s="11">
        <f t="shared" si="19"/>
        <v>0</v>
      </c>
      <c r="O84" s="191" t="s">
        <v>144</v>
      </c>
      <c r="Q84" s="1"/>
    </row>
    <row r="85" spans="1:17" s="14" customFormat="1" ht="38.25" hidden="1" customHeight="1" x14ac:dyDescent="0.2">
      <c r="A85" s="327"/>
      <c r="B85" s="328"/>
      <c r="C85" s="551"/>
      <c r="D85" s="551" t="s">
        <v>145</v>
      </c>
      <c r="E85" s="4"/>
      <c r="F85" s="6"/>
      <c r="G85" s="4"/>
      <c r="H85" s="6"/>
      <c r="I85" s="4"/>
      <c r="J85" s="6"/>
      <c r="K85" s="4"/>
      <c r="L85" s="6"/>
      <c r="M85" s="428">
        <f t="shared" si="18"/>
        <v>0</v>
      </c>
      <c r="N85" s="11">
        <f t="shared" si="19"/>
        <v>0</v>
      </c>
      <c r="O85" s="190"/>
      <c r="Q85" s="1"/>
    </row>
    <row r="86" spans="1:17" s="14" customFormat="1" ht="192" x14ac:dyDescent="0.2">
      <c r="A86" s="1579" t="s">
        <v>132</v>
      </c>
      <c r="B86" s="1577" t="s">
        <v>133</v>
      </c>
      <c r="C86" s="553">
        <v>3010501007</v>
      </c>
      <c r="D86" s="552" t="s">
        <v>146</v>
      </c>
      <c r="E86" s="311">
        <v>49.4</v>
      </c>
      <c r="F86" s="312">
        <v>49.4</v>
      </c>
      <c r="G86" s="311">
        <v>790.8</v>
      </c>
      <c r="H86" s="312">
        <v>790.8</v>
      </c>
      <c r="I86" s="311">
        <v>634.79999999999995</v>
      </c>
      <c r="J86" s="312">
        <v>634.79999999999995</v>
      </c>
      <c r="K86" s="311">
        <v>634.79999999999995</v>
      </c>
      <c r="L86" s="312">
        <v>230.1</v>
      </c>
      <c r="M86" s="428">
        <f t="shared" si="18"/>
        <v>0</v>
      </c>
      <c r="N86" s="428">
        <f t="shared" si="19"/>
        <v>585.4</v>
      </c>
      <c r="O86" s="189" t="s">
        <v>939</v>
      </c>
      <c r="Q86" s="1"/>
    </row>
    <row r="87" spans="1:17" s="14" customFormat="1" ht="15.75" customHeight="1" x14ac:dyDescent="0.2">
      <c r="A87" s="1579"/>
      <c r="B87" s="1577"/>
      <c r="C87" s="553"/>
      <c r="D87" s="315" t="s">
        <v>147</v>
      </c>
      <c r="E87" s="311"/>
      <c r="F87" s="312"/>
      <c r="G87" s="316"/>
      <c r="H87" s="317"/>
      <c r="I87" s="316">
        <v>404.7</v>
      </c>
      <c r="J87" s="317">
        <v>404.7</v>
      </c>
      <c r="K87" s="316">
        <v>404.7</v>
      </c>
      <c r="L87" s="317"/>
      <c r="M87" s="428">
        <f t="shared" si="18"/>
        <v>0</v>
      </c>
      <c r="N87" s="429">
        <f t="shared" si="19"/>
        <v>404.7</v>
      </c>
      <c r="O87" s="189"/>
      <c r="Q87" s="1"/>
    </row>
    <row r="88" spans="1:17" s="14" customFormat="1" ht="38.25" x14ac:dyDescent="0.2">
      <c r="A88" s="1579"/>
      <c r="B88" s="1577"/>
      <c r="C88" s="553" t="s">
        <v>148</v>
      </c>
      <c r="D88" s="552" t="s">
        <v>149</v>
      </c>
      <c r="E88" s="311">
        <v>1000.3</v>
      </c>
      <c r="F88" s="312">
        <v>1000.3</v>
      </c>
      <c r="G88" s="311"/>
      <c r="H88" s="312"/>
      <c r="I88" s="311">
        <v>524.4</v>
      </c>
      <c r="J88" s="312">
        <v>524.4</v>
      </c>
      <c r="K88" s="311">
        <v>0</v>
      </c>
      <c r="L88" s="312"/>
      <c r="M88" s="428">
        <f t="shared" si="18"/>
        <v>-524.4</v>
      </c>
      <c r="N88" s="428">
        <f t="shared" si="19"/>
        <v>-1000.3</v>
      </c>
      <c r="O88" s="188" t="s">
        <v>847</v>
      </c>
      <c r="Q88" s="1"/>
    </row>
    <row r="89" spans="1:17" s="14" customFormat="1" ht="48" x14ac:dyDescent="0.2">
      <c r="A89" s="1579"/>
      <c r="B89" s="1577"/>
      <c r="C89" s="553">
        <v>3010501098</v>
      </c>
      <c r="D89" s="552" t="s">
        <v>150</v>
      </c>
      <c r="E89" s="311">
        <v>100</v>
      </c>
      <c r="F89" s="312">
        <v>100</v>
      </c>
      <c r="G89" s="311">
        <v>100</v>
      </c>
      <c r="H89" s="312">
        <v>100</v>
      </c>
      <c r="I89" s="311">
        <v>94</v>
      </c>
      <c r="J89" s="312">
        <v>94</v>
      </c>
      <c r="K89" s="311">
        <v>94</v>
      </c>
      <c r="L89" s="312">
        <v>94</v>
      </c>
      <c r="M89" s="428">
        <f t="shared" si="18"/>
        <v>0</v>
      </c>
      <c r="N89" s="428">
        <f t="shared" si="19"/>
        <v>-6</v>
      </c>
      <c r="O89" s="188" t="s">
        <v>759</v>
      </c>
      <c r="Q89" s="1"/>
    </row>
    <row r="90" spans="1:17" s="14" customFormat="1" ht="38.25" x14ac:dyDescent="0.2">
      <c r="A90" s="1579"/>
      <c r="B90" s="1577"/>
      <c r="C90" s="553">
        <v>3010501099</v>
      </c>
      <c r="D90" s="552" t="s">
        <v>151</v>
      </c>
      <c r="E90" s="311"/>
      <c r="F90" s="312"/>
      <c r="G90" s="311">
        <v>993</v>
      </c>
      <c r="H90" s="312">
        <v>993</v>
      </c>
      <c r="I90" s="311"/>
      <c r="J90" s="312"/>
      <c r="K90" s="311"/>
      <c r="L90" s="312"/>
      <c r="M90" s="428">
        <f t="shared" si="18"/>
        <v>0</v>
      </c>
      <c r="N90" s="428">
        <f t="shared" si="19"/>
        <v>0</v>
      </c>
      <c r="O90" s="233" t="s">
        <v>152</v>
      </c>
      <c r="Q90" s="1"/>
    </row>
    <row r="91" spans="1:17" s="14" customFormat="1" ht="13.5" x14ac:dyDescent="0.2">
      <c r="A91" s="1579"/>
      <c r="B91" s="1577"/>
      <c r="C91" s="553"/>
      <c r="D91" s="315" t="s">
        <v>147</v>
      </c>
      <c r="E91" s="311"/>
      <c r="F91" s="312"/>
      <c r="G91" s="316">
        <v>121.4</v>
      </c>
      <c r="H91" s="317">
        <v>121.4</v>
      </c>
      <c r="I91" s="311"/>
      <c r="J91" s="312"/>
      <c r="K91" s="311"/>
      <c r="L91" s="312"/>
      <c r="M91" s="428">
        <f t="shared" si="18"/>
        <v>0</v>
      </c>
      <c r="N91" s="428">
        <f t="shared" si="19"/>
        <v>0</v>
      </c>
      <c r="O91" s="233"/>
      <c r="Q91" s="1"/>
    </row>
    <row r="92" spans="1:17" s="14" customFormat="1" ht="90.75" customHeight="1" x14ac:dyDescent="0.2">
      <c r="A92" s="1579"/>
      <c r="B92" s="1577"/>
      <c r="C92" s="531" t="s">
        <v>919</v>
      </c>
      <c r="D92" s="552" t="s">
        <v>928</v>
      </c>
      <c r="E92" s="311"/>
      <c r="F92" s="312"/>
      <c r="G92" s="316"/>
      <c r="H92" s="317"/>
      <c r="I92" s="311">
        <v>400</v>
      </c>
      <c r="J92" s="312">
        <v>400</v>
      </c>
      <c r="K92" s="311">
        <v>400</v>
      </c>
      <c r="L92" s="312">
        <v>400</v>
      </c>
      <c r="M92" s="428">
        <f t="shared" si="18"/>
        <v>0</v>
      </c>
      <c r="N92" s="428"/>
      <c r="O92" s="233" t="s">
        <v>927</v>
      </c>
      <c r="Q92" s="1"/>
    </row>
    <row r="93" spans="1:17" s="14" customFormat="1" ht="48" x14ac:dyDescent="0.2">
      <c r="A93" s="1579"/>
      <c r="B93" s="1577"/>
      <c r="C93" s="328" t="s">
        <v>153</v>
      </c>
      <c r="D93" s="396" t="s">
        <v>154</v>
      </c>
      <c r="E93" s="411"/>
      <c r="F93" s="318"/>
      <c r="G93" s="414"/>
      <c r="H93" s="318"/>
      <c r="I93" s="152">
        <v>4708.3</v>
      </c>
      <c r="J93" s="287">
        <v>4708.3</v>
      </c>
      <c r="K93" s="414"/>
      <c r="L93" s="312"/>
      <c r="M93" s="428">
        <f t="shared" si="18"/>
        <v>-4708.3</v>
      </c>
      <c r="N93" s="428">
        <f t="shared" si="19"/>
        <v>0</v>
      </c>
      <c r="O93" s="192" t="s">
        <v>155</v>
      </c>
      <c r="Q93" s="1"/>
    </row>
    <row r="94" spans="1:17" s="14" customFormat="1" ht="38.25" x14ac:dyDescent="0.2">
      <c r="A94" s="1579"/>
      <c r="B94" s="1577"/>
      <c r="C94" s="532" t="s">
        <v>153</v>
      </c>
      <c r="D94" s="396" t="s">
        <v>156</v>
      </c>
      <c r="E94" s="411"/>
      <c r="F94" s="318"/>
      <c r="G94" s="414"/>
      <c r="H94" s="318"/>
      <c r="I94" s="152">
        <v>150</v>
      </c>
      <c r="J94" s="319">
        <v>150</v>
      </c>
      <c r="K94" s="388">
        <v>150</v>
      </c>
      <c r="L94" s="312">
        <v>150</v>
      </c>
      <c r="M94" s="428">
        <f t="shared" si="18"/>
        <v>0</v>
      </c>
      <c r="N94" s="428">
        <f t="shared" si="19"/>
        <v>150</v>
      </c>
      <c r="O94" s="183" t="s">
        <v>760</v>
      </c>
      <c r="Q94" s="1"/>
    </row>
    <row r="95" spans="1:17" s="14" customFormat="1" ht="31.5" customHeight="1" x14ac:dyDescent="0.2">
      <c r="A95" s="1579"/>
      <c r="B95" s="1577"/>
      <c r="C95" s="328" t="s">
        <v>153</v>
      </c>
      <c r="D95" s="396" t="s">
        <v>157</v>
      </c>
      <c r="E95" s="411"/>
      <c r="F95" s="318"/>
      <c r="G95" s="414"/>
      <c r="H95" s="318"/>
      <c r="I95" s="152">
        <v>259.3</v>
      </c>
      <c r="J95" s="319">
        <v>259.3</v>
      </c>
      <c r="K95" s="414"/>
      <c r="L95" s="312"/>
      <c r="M95" s="428">
        <f t="shared" si="18"/>
        <v>-259.3</v>
      </c>
      <c r="N95" s="428">
        <f t="shared" si="19"/>
        <v>0</v>
      </c>
      <c r="O95" s="192" t="s">
        <v>158</v>
      </c>
      <c r="Q95" s="1"/>
    </row>
    <row r="96" spans="1:17" s="14" customFormat="1" ht="132" x14ac:dyDescent="0.2">
      <c r="A96" s="1579"/>
      <c r="B96" s="1577"/>
      <c r="C96" s="328" t="s">
        <v>153</v>
      </c>
      <c r="D96" s="396" t="s">
        <v>159</v>
      </c>
      <c r="E96" s="411"/>
      <c r="F96" s="318"/>
      <c r="G96" s="414"/>
      <c r="H96" s="318"/>
      <c r="I96" s="152">
        <v>482</v>
      </c>
      <c r="J96" s="319">
        <v>482</v>
      </c>
      <c r="K96" s="414"/>
      <c r="L96" s="312"/>
      <c r="M96" s="428">
        <f t="shared" si="18"/>
        <v>-482</v>
      </c>
      <c r="N96" s="428">
        <f t="shared" si="19"/>
        <v>0</v>
      </c>
      <c r="O96" s="192" t="s">
        <v>160</v>
      </c>
      <c r="Q96" s="1"/>
    </row>
    <row r="97" spans="1:17" s="14" customFormat="1" ht="84" x14ac:dyDescent="0.2">
      <c r="A97" s="1579" t="s">
        <v>132</v>
      </c>
      <c r="B97" s="1577" t="s">
        <v>133</v>
      </c>
      <c r="C97" s="328" t="s">
        <v>153</v>
      </c>
      <c r="D97" s="396" t="s">
        <v>161</v>
      </c>
      <c r="E97" s="411"/>
      <c r="F97" s="318"/>
      <c r="G97" s="414"/>
      <c r="H97" s="318"/>
      <c r="I97" s="152">
        <v>2690</v>
      </c>
      <c r="J97" s="319">
        <v>2690</v>
      </c>
      <c r="K97" s="414"/>
      <c r="L97" s="312"/>
      <c r="M97" s="428">
        <f t="shared" si="18"/>
        <v>-2690</v>
      </c>
      <c r="N97" s="428">
        <f t="shared" si="19"/>
        <v>0</v>
      </c>
      <c r="O97" s="183" t="s">
        <v>162</v>
      </c>
      <c r="Q97" s="1"/>
    </row>
    <row r="98" spans="1:17" s="14" customFormat="1" ht="100.5" customHeight="1" x14ac:dyDescent="0.2">
      <c r="A98" s="1579"/>
      <c r="B98" s="1577"/>
      <c r="C98" s="328" t="s">
        <v>153</v>
      </c>
      <c r="D98" s="396" t="s">
        <v>163</v>
      </c>
      <c r="E98" s="411"/>
      <c r="F98" s="318"/>
      <c r="G98" s="414"/>
      <c r="H98" s="318"/>
      <c r="I98" s="152">
        <v>308.7</v>
      </c>
      <c r="J98" s="319">
        <v>308.7</v>
      </c>
      <c r="K98" s="414"/>
      <c r="L98" s="312"/>
      <c r="M98" s="428">
        <f t="shared" si="18"/>
        <v>-308.7</v>
      </c>
      <c r="N98" s="428">
        <f t="shared" si="19"/>
        <v>0</v>
      </c>
      <c r="O98" s="181" t="s">
        <v>164</v>
      </c>
      <c r="Q98" s="1"/>
    </row>
    <row r="99" spans="1:17" s="14" customFormat="1" ht="132" x14ac:dyDescent="0.2">
      <c r="A99" s="1579"/>
      <c r="B99" s="1577"/>
      <c r="C99" s="328" t="s">
        <v>153</v>
      </c>
      <c r="D99" s="396" t="s">
        <v>165</v>
      </c>
      <c r="E99" s="411"/>
      <c r="F99" s="318"/>
      <c r="G99" s="414"/>
      <c r="H99" s="318"/>
      <c r="I99" s="152">
        <v>2666.1</v>
      </c>
      <c r="J99" s="319">
        <v>2666.1</v>
      </c>
      <c r="K99" s="414"/>
      <c r="L99" s="312"/>
      <c r="M99" s="428">
        <f t="shared" si="18"/>
        <v>-2666.1</v>
      </c>
      <c r="N99" s="428">
        <f t="shared" si="19"/>
        <v>0</v>
      </c>
      <c r="O99" s="192" t="s">
        <v>166</v>
      </c>
      <c r="Q99" s="1"/>
    </row>
    <row r="100" spans="1:17" s="14" customFormat="1" ht="60" x14ac:dyDescent="0.2">
      <c r="A100" s="1579"/>
      <c r="B100" s="1577"/>
      <c r="C100" s="328" t="s">
        <v>153</v>
      </c>
      <c r="D100" s="396" t="s">
        <v>167</v>
      </c>
      <c r="E100" s="411"/>
      <c r="F100" s="318"/>
      <c r="G100" s="414"/>
      <c r="H100" s="318"/>
      <c r="I100" s="152">
        <v>2500</v>
      </c>
      <c r="J100" s="319">
        <v>2500</v>
      </c>
      <c r="K100" s="414"/>
      <c r="L100" s="312"/>
      <c r="M100" s="428">
        <f t="shared" si="18"/>
        <v>-2500</v>
      </c>
      <c r="N100" s="428">
        <f t="shared" si="19"/>
        <v>0</v>
      </c>
      <c r="O100" s="192" t="s">
        <v>168</v>
      </c>
      <c r="Q100" s="1"/>
    </row>
    <row r="101" spans="1:17" s="14" customFormat="1" ht="48" x14ac:dyDescent="0.2">
      <c r="A101" s="1579"/>
      <c r="B101" s="1577"/>
      <c r="C101" s="328" t="s">
        <v>153</v>
      </c>
      <c r="D101" s="396" t="s">
        <v>169</v>
      </c>
      <c r="E101" s="411"/>
      <c r="F101" s="318"/>
      <c r="G101" s="414"/>
      <c r="H101" s="318"/>
      <c r="I101" s="152">
        <v>220.2</v>
      </c>
      <c r="J101" s="302">
        <v>220.2</v>
      </c>
      <c r="K101" s="414"/>
      <c r="L101" s="312"/>
      <c r="M101" s="428">
        <f t="shared" si="18"/>
        <v>-220.2</v>
      </c>
      <c r="N101" s="428">
        <f t="shared" si="19"/>
        <v>0</v>
      </c>
      <c r="O101" s="192" t="s">
        <v>761</v>
      </c>
      <c r="Q101" s="1"/>
    </row>
    <row r="102" spans="1:17" s="14" customFormat="1" ht="108" x14ac:dyDescent="0.2">
      <c r="A102" s="1579"/>
      <c r="B102" s="1577"/>
      <c r="C102" s="328" t="s">
        <v>153</v>
      </c>
      <c r="D102" s="396" t="s">
        <v>170</v>
      </c>
      <c r="E102" s="411"/>
      <c r="F102" s="318"/>
      <c r="G102" s="414"/>
      <c r="H102" s="318"/>
      <c r="I102" s="152">
        <v>1050</v>
      </c>
      <c r="J102" s="319">
        <v>1050</v>
      </c>
      <c r="K102" s="414"/>
      <c r="L102" s="312"/>
      <c r="M102" s="428">
        <f t="shared" si="18"/>
        <v>-1050</v>
      </c>
      <c r="N102" s="428">
        <f t="shared" si="19"/>
        <v>0</v>
      </c>
      <c r="O102" s="192" t="s">
        <v>803</v>
      </c>
      <c r="Q102" s="1"/>
    </row>
    <row r="103" spans="1:17" s="14" customFormat="1" ht="228" x14ac:dyDescent="0.2">
      <c r="A103" s="1579" t="s">
        <v>132</v>
      </c>
      <c r="B103" s="1577" t="s">
        <v>133</v>
      </c>
      <c r="C103" s="328" t="s">
        <v>153</v>
      </c>
      <c r="D103" s="396" t="s">
        <v>171</v>
      </c>
      <c r="E103" s="411"/>
      <c r="F103" s="318"/>
      <c r="G103" s="414"/>
      <c r="H103" s="318"/>
      <c r="I103" s="152">
        <v>250</v>
      </c>
      <c r="J103" s="302">
        <v>250</v>
      </c>
      <c r="K103" s="414"/>
      <c r="L103" s="312"/>
      <c r="M103" s="428">
        <f t="shared" si="18"/>
        <v>-250</v>
      </c>
      <c r="N103" s="428">
        <f t="shared" si="19"/>
        <v>0</v>
      </c>
      <c r="O103" s="192" t="s">
        <v>172</v>
      </c>
      <c r="Q103" s="1"/>
    </row>
    <row r="104" spans="1:17" s="14" customFormat="1" ht="51" x14ac:dyDescent="0.2">
      <c r="A104" s="1579"/>
      <c r="B104" s="1577"/>
      <c r="C104" s="328" t="s">
        <v>153</v>
      </c>
      <c r="D104" s="552" t="s">
        <v>173</v>
      </c>
      <c r="E104" s="311"/>
      <c r="F104" s="312"/>
      <c r="G104" s="311"/>
      <c r="H104" s="312"/>
      <c r="I104" s="311">
        <v>389.7</v>
      </c>
      <c r="J104" s="312">
        <v>389.7</v>
      </c>
      <c r="K104" s="311">
        <v>150</v>
      </c>
      <c r="L104" s="312">
        <v>150</v>
      </c>
      <c r="M104" s="428">
        <f t="shared" si="18"/>
        <v>-239.7</v>
      </c>
      <c r="N104" s="428">
        <f t="shared" si="19"/>
        <v>150</v>
      </c>
      <c r="O104" s="324" t="s">
        <v>173</v>
      </c>
      <c r="Q104" s="1"/>
    </row>
    <row r="105" spans="1:17" s="14" customFormat="1" ht="144" x14ac:dyDescent="0.2">
      <c r="A105" s="1579"/>
      <c r="B105" s="1577"/>
      <c r="C105" s="328" t="s">
        <v>919</v>
      </c>
      <c r="D105" s="552" t="s">
        <v>743</v>
      </c>
      <c r="E105" s="311"/>
      <c r="F105" s="312"/>
      <c r="G105" s="311"/>
      <c r="H105" s="312"/>
      <c r="I105" s="311">
        <v>627</v>
      </c>
      <c r="J105" s="312">
        <v>627</v>
      </c>
      <c r="K105" s="311">
        <v>400</v>
      </c>
      <c r="L105" s="312">
        <v>400</v>
      </c>
      <c r="M105" s="428">
        <f t="shared" si="18"/>
        <v>-227</v>
      </c>
      <c r="N105" s="428">
        <f t="shared" si="19"/>
        <v>400</v>
      </c>
      <c r="O105" s="233" t="s">
        <v>744</v>
      </c>
      <c r="Q105" s="1"/>
    </row>
    <row r="106" spans="1:17" s="14" customFormat="1" ht="264" x14ac:dyDescent="0.2">
      <c r="A106" s="1579"/>
      <c r="B106" s="1577"/>
      <c r="C106" s="553" t="s">
        <v>174</v>
      </c>
      <c r="D106" s="552" t="s">
        <v>175</v>
      </c>
      <c r="E106" s="311">
        <v>200.8</v>
      </c>
      <c r="F106" s="312">
        <v>200.8</v>
      </c>
      <c r="G106" s="311">
        <v>358.9</v>
      </c>
      <c r="H106" s="312">
        <v>358.9</v>
      </c>
      <c r="I106" s="311">
        <f>+J106</f>
        <v>5395</v>
      </c>
      <c r="J106" s="312">
        <v>5395</v>
      </c>
      <c r="K106" s="311">
        <f>1115+2500</f>
        <v>3615</v>
      </c>
      <c r="L106" s="312">
        <f>1115+2500</f>
        <v>3615</v>
      </c>
      <c r="M106" s="428">
        <f t="shared" si="18"/>
        <v>-1780</v>
      </c>
      <c r="N106" s="428">
        <f t="shared" si="19"/>
        <v>3414.2</v>
      </c>
      <c r="O106" s="189" t="s">
        <v>966</v>
      </c>
      <c r="Q106" s="1"/>
    </row>
    <row r="107" spans="1:17" s="14" customFormat="1" ht="12.75" x14ac:dyDescent="0.2">
      <c r="A107" s="1579"/>
      <c r="B107" s="1577"/>
      <c r="C107" s="553"/>
      <c r="D107" s="315" t="s">
        <v>920</v>
      </c>
      <c r="E107" s="311"/>
      <c r="F107" s="313"/>
      <c r="G107" s="311"/>
      <c r="H107" s="313"/>
      <c r="I107" s="311"/>
      <c r="J107" s="313"/>
      <c r="K107" s="311"/>
      <c r="L107" s="313"/>
      <c r="M107" s="428">
        <f t="shared" si="18"/>
        <v>0</v>
      </c>
      <c r="N107" s="428"/>
      <c r="O107" s="189"/>
      <c r="P107" s="521"/>
      <c r="Q107" s="1"/>
    </row>
    <row r="108" spans="1:17" s="14" customFormat="1" ht="132" x14ac:dyDescent="0.2">
      <c r="A108" s="1579" t="s">
        <v>132</v>
      </c>
      <c r="B108" s="1577" t="s">
        <v>133</v>
      </c>
      <c r="C108" s="553"/>
      <c r="D108" s="552" t="s">
        <v>921</v>
      </c>
      <c r="E108" s="311"/>
      <c r="F108" s="313"/>
      <c r="G108" s="311"/>
      <c r="H108" s="313"/>
      <c r="I108" s="311">
        <v>4000</v>
      </c>
      <c r="J108" s="313">
        <v>4000</v>
      </c>
      <c r="K108" s="311">
        <v>2500</v>
      </c>
      <c r="L108" s="313">
        <v>2500</v>
      </c>
      <c r="M108" s="428">
        <f t="shared" si="18"/>
        <v>-1500</v>
      </c>
      <c r="N108" s="428"/>
      <c r="O108" s="189" t="s">
        <v>922</v>
      </c>
      <c r="P108" s="521"/>
      <c r="Q108" s="1"/>
    </row>
    <row r="109" spans="1:17" s="14" customFormat="1" ht="25.5" x14ac:dyDescent="0.2">
      <c r="A109" s="1579"/>
      <c r="B109" s="1577"/>
      <c r="C109" s="553"/>
      <c r="D109" s="315" t="s">
        <v>923</v>
      </c>
      <c r="E109" s="311"/>
      <c r="F109" s="313"/>
      <c r="G109" s="311"/>
      <c r="H109" s="313"/>
      <c r="I109" s="311"/>
      <c r="J109" s="313"/>
      <c r="K109" s="311"/>
      <c r="L109" s="313"/>
      <c r="M109" s="428">
        <f t="shared" si="18"/>
        <v>0</v>
      </c>
      <c r="N109" s="428"/>
      <c r="O109" s="189"/>
      <c r="P109" s="521"/>
      <c r="Q109" s="1"/>
    </row>
    <row r="110" spans="1:17" s="14" customFormat="1" ht="25.5" x14ac:dyDescent="0.2">
      <c r="A110" s="1579"/>
      <c r="B110" s="1577"/>
      <c r="C110" s="553"/>
      <c r="D110" s="552" t="s">
        <v>924</v>
      </c>
      <c r="E110" s="311"/>
      <c r="F110" s="313"/>
      <c r="G110" s="311"/>
      <c r="H110" s="313"/>
      <c r="I110" s="534">
        <v>2288.9</v>
      </c>
      <c r="J110" s="533">
        <v>2288.9</v>
      </c>
      <c r="K110" s="311">
        <v>1430</v>
      </c>
      <c r="L110" s="313">
        <v>1430</v>
      </c>
      <c r="M110" s="428">
        <f t="shared" si="18"/>
        <v>-858.90000000000009</v>
      </c>
      <c r="N110" s="428"/>
      <c r="O110" s="189"/>
      <c r="P110" s="521"/>
      <c r="Q110" s="1"/>
    </row>
    <row r="111" spans="1:17" s="14" customFormat="1" ht="25.5" x14ac:dyDescent="0.2">
      <c r="A111" s="1579"/>
      <c r="B111" s="1577"/>
      <c r="C111" s="553"/>
      <c r="D111" s="552" t="s">
        <v>925</v>
      </c>
      <c r="E111" s="311"/>
      <c r="F111" s="313"/>
      <c r="G111" s="311"/>
      <c r="H111" s="313"/>
      <c r="I111" s="534">
        <v>1580</v>
      </c>
      <c r="J111" s="533">
        <v>1580</v>
      </c>
      <c r="K111" s="311">
        <v>987.5</v>
      </c>
      <c r="L111" s="313">
        <v>987.5</v>
      </c>
      <c r="M111" s="428">
        <f t="shared" si="18"/>
        <v>-592.5</v>
      </c>
      <c r="N111" s="428"/>
      <c r="O111" s="189"/>
      <c r="P111" s="521"/>
      <c r="Q111" s="1"/>
    </row>
    <row r="112" spans="1:17" s="14" customFormat="1" ht="12.75" x14ac:dyDescent="0.2">
      <c r="A112" s="1579"/>
      <c r="B112" s="1577"/>
      <c r="C112" s="553"/>
      <c r="D112" s="552" t="s">
        <v>926</v>
      </c>
      <c r="E112" s="311"/>
      <c r="F112" s="313"/>
      <c r="G112" s="311"/>
      <c r="H112" s="313"/>
      <c r="I112" s="534">
        <v>131.1</v>
      </c>
      <c r="J112" s="533">
        <v>131.1</v>
      </c>
      <c r="K112" s="311">
        <v>82.5</v>
      </c>
      <c r="L112" s="313">
        <v>82.5</v>
      </c>
      <c r="M112" s="428">
        <f t="shared" si="18"/>
        <v>-48.599999999999994</v>
      </c>
      <c r="N112" s="428"/>
      <c r="O112" s="189"/>
      <c r="P112" s="521"/>
      <c r="Q112" s="1"/>
    </row>
    <row r="113" spans="1:17" s="14" customFormat="1" ht="25.5" x14ac:dyDescent="0.2">
      <c r="A113" s="1579"/>
      <c r="B113" s="1577"/>
      <c r="C113" s="553" t="s">
        <v>176</v>
      </c>
      <c r="D113" s="552" t="s">
        <v>177</v>
      </c>
      <c r="E113" s="311">
        <v>15</v>
      </c>
      <c r="F113" s="312">
        <v>15</v>
      </c>
      <c r="G113" s="311">
        <v>15</v>
      </c>
      <c r="H113" s="312">
        <v>15</v>
      </c>
      <c r="I113" s="311">
        <v>15</v>
      </c>
      <c r="J113" s="312">
        <v>15</v>
      </c>
      <c r="K113" s="311">
        <v>15</v>
      </c>
      <c r="L113" s="312">
        <v>15</v>
      </c>
      <c r="M113" s="428">
        <f t="shared" si="18"/>
        <v>0</v>
      </c>
      <c r="N113" s="428">
        <f t="shared" si="19"/>
        <v>0</v>
      </c>
      <c r="O113" s="188" t="s">
        <v>178</v>
      </c>
      <c r="Q113" s="1"/>
    </row>
    <row r="114" spans="1:17" s="14" customFormat="1" ht="72" x14ac:dyDescent="0.2">
      <c r="A114" s="1579"/>
      <c r="B114" s="1577"/>
      <c r="C114" s="553" t="s">
        <v>179</v>
      </c>
      <c r="D114" s="552" t="s">
        <v>180</v>
      </c>
      <c r="E114" s="311">
        <v>5.8</v>
      </c>
      <c r="F114" s="312">
        <v>5.8</v>
      </c>
      <c r="G114" s="311">
        <v>5.8</v>
      </c>
      <c r="H114" s="312">
        <v>5.8</v>
      </c>
      <c r="I114" s="311">
        <v>21</v>
      </c>
      <c r="J114" s="312">
        <v>21</v>
      </c>
      <c r="K114" s="311">
        <v>21</v>
      </c>
      <c r="L114" s="312">
        <v>21</v>
      </c>
      <c r="M114" s="428">
        <f t="shared" si="18"/>
        <v>0</v>
      </c>
      <c r="N114" s="428">
        <f t="shared" si="19"/>
        <v>15.2</v>
      </c>
      <c r="O114" s="188" t="s">
        <v>762</v>
      </c>
      <c r="Q114" s="1"/>
    </row>
    <row r="115" spans="1:17" s="14" customFormat="1" ht="168" x14ac:dyDescent="0.2">
      <c r="A115" s="1579"/>
      <c r="B115" s="1577"/>
      <c r="C115" s="553" t="s">
        <v>181</v>
      </c>
      <c r="D115" s="552" t="s">
        <v>182</v>
      </c>
      <c r="E115" s="311">
        <v>1466.1</v>
      </c>
      <c r="F115" s="312">
        <v>1466.1</v>
      </c>
      <c r="G115" s="311">
        <v>1466.1</v>
      </c>
      <c r="H115" s="312">
        <v>1466.1</v>
      </c>
      <c r="I115" s="311">
        <v>1241</v>
      </c>
      <c r="J115" s="312">
        <v>1241</v>
      </c>
      <c r="K115" s="311">
        <v>1241</v>
      </c>
      <c r="L115" s="312">
        <v>1241</v>
      </c>
      <c r="M115" s="428">
        <f t="shared" si="18"/>
        <v>0</v>
      </c>
      <c r="N115" s="428">
        <f t="shared" si="19"/>
        <v>-225.09999999999991</v>
      </c>
      <c r="O115" s="233" t="s">
        <v>183</v>
      </c>
      <c r="Q115" s="1"/>
    </row>
    <row r="116" spans="1:17" s="14" customFormat="1" ht="18.600000000000001" customHeight="1" x14ac:dyDescent="0.2">
      <c r="A116" s="1579"/>
      <c r="B116" s="1577"/>
      <c r="C116" s="1575" t="s">
        <v>184</v>
      </c>
      <c r="D116" s="1575"/>
      <c r="E116" s="320">
        <f>SUM(E79:E86,E88:E90,E93:E115)</f>
        <v>3982.1</v>
      </c>
      <c r="F116" s="320">
        <f t="shared" ref="F116:H116" si="22">SUM(F79:F86,F88:F90,F93:F115)</f>
        <v>3537.6000000000004</v>
      </c>
      <c r="G116" s="320">
        <f t="shared" si="22"/>
        <v>4903.1000000000004</v>
      </c>
      <c r="H116" s="320">
        <f t="shared" si="22"/>
        <v>4378.6000000000004</v>
      </c>
      <c r="I116" s="320">
        <f>SUM(I79:I86,I88:I90,I92:I115)-I108-I110-I111-I112</f>
        <v>26088.600000000006</v>
      </c>
      <c r="J116" s="320">
        <f t="shared" ref="J116:N116" si="23">SUM(J79:J86,J88:J90,J92:J115)-J108-J110-J111-J112</f>
        <v>25772.5</v>
      </c>
      <c r="K116" s="320">
        <f t="shared" si="23"/>
        <v>8182.9</v>
      </c>
      <c r="L116" s="320">
        <f t="shared" si="23"/>
        <v>7462.1</v>
      </c>
      <c r="M116" s="320">
        <f t="shared" si="23"/>
        <v>-17905.700000000004</v>
      </c>
      <c r="N116" s="320">
        <f t="shared" si="23"/>
        <v>3800.7999999999997</v>
      </c>
      <c r="O116" s="20"/>
      <c r="Q116" s="1"/>
    </row>
    <row r="117" spans="1:17" s="14" customFormat="1" ht="13.15" customHeight="1" x14ac:dyDescent="0.2">
      <c r="A117" s="1579"/>
      <c r="B117" s="1577"/>
      <c r="C117" s="1576" t="s">
        <v>185</v>
      </c>
      <c r="D117" s="1576"/>
      <c r="E117" s="321"/>
      <c r="F117" s="321"/>
      <c r="G117" s="321">
        <v>121.4</v>
      </c>
      <c r="H117" s="322">
        <v>121.4</v>
      </c>
      <c r="I117" s="579">
        <v>300</v>
      </c>
      <c r="J117" s="579">
        <v>300</v>
      </c>
      <c r="K117" s="579">
        <v>404.7</v>
      </c>
      <c r="L117" s="322"/>
      <c r="M117" s="321"/>
      <c r="N117" s="288">
        <f t="shared" si="19"/>
        <v>404.7</v>
      </c>
      <c r="O117" s="161"/>
      <c r="Q117" s="1"/>
    </row>
    <row r="118" spans="1:17" s="14" customFormat="1" ht="25.5" x14ac:dyDescent="0.2">
      <c r="A118" s="1590" t="s">
        <v>278</v>
      </c>
      <c r="B118" s="1577" t="s">
        <v>279</v>
      </c>
      <c r="C118" s="1577">
        <v>5010101001</v>
      </c>
      <c r="D118" s="552" t="s">
        <v>458</v>
      </c>
      <c r="E118" s="311">
        <v>61</v>
      </c>
      <c r="F118" s="313">
        <v>61</v>
      </c>
      <c r="G118" s="311">
        <f>61+409.3</f>
        <v>470.3</v>
      </c>
      <c r="H118" s="313">
        <v>470.3</v>
      </c>
      <c r="I118" s="311"/>
      <c r="J118" s="313"/>
      <c r="K118" s="311"/>
      <c r="L118" s="313"/>
      <c r="M118" s="428">
        <f t="shared" ref="M118:M129" si="24">+K118-I118</f>
        <v>0</v>
      </c>
      <c r="N118" s="428">
        <f t="shared" si="19"/>
        <v>-61</v>
      </c>
      <c r="O118" s="193" t="s">
        <v>459</v>
      </c>
      <c r="Q118" s="1"/>
    </row>
    <row r="119" spans="1:17" s="14" customFormat="1" ht="16.5" customHeight="1" x14ac:dyDescent="0.2">
      <c r="A119" s="1590"/>
      <c r="B119" s="1577"/>
      <c r="C119" s="1577"/>
      <c r="D119" s="323" t="s">
        <v>142</v>
      </c>
      <c r="E119" s="311">
        <v>15</v>
      </c>
      <c r="F119" s="313">
        <v>15</v>
      </c>
      <c r="G119" s="311"/>
      <c r="H119" s="313"/>
      <c r="I119" s="311"/>
      <c r="J119" s="313"/>
      <c r="K119" s="311"/>
      <c r="L119" s="313"/>
      <c r="M119" s="428">
        <f t="shared" si="24"/>
        <v>0</v>
      </c>
      <c r="N119" s="428">
        <f t="shared" si="19"/>
        <v>-15</v>
      </c>
      <c r="O119" s="193"/>
      <c r="Q119" s="1"/>
    </row>
    <row r="120" spans="1:17" s="14" customFormat="1" ht="72" x14ac:dyDescent="0.2">
      <c r="A120" s="1590"/>
      <c r="B120" s="1577"/>
      <c r="C120" s="551">
        <v>5010101002</v>
      </c>
      <c r="D120" s="552" t="s">
        <v>460</v>
      </c>
      <c r="E120" s="311">
        <v>144.5</v>
      </c>
      <c r="F120" s="313">
        <v>5.9</v>
      </c>
      <c r="G120" s="311">
        <v>144.5</v>
      </c>
      <c r="H120" s="313">
        <v>5.9</v>
      </c>
      <c r="I120" s="311">
        <v>899.1</v>
      </c>
      <c r="J120" s="313"/>
      <c r="K120" s="311">
        <v>289.5</v>
      </c>
      <c r="L120" s="313"/>
      <c r="M120" s="428">
        <f t="shared" si="24"/>
        <v>-609.6</v>
      </c>
      <c r="N120" s="428">
        <f t="shared" si="19"/>
        <v>145</v>
      </c>
      <c r="O120" s="188" t="s">
        <v>804</v>
      </c>
      <c r="Q120" s="1"/>
    </row>
    <row r="121" spans="1:17" s="14" customFormat="1" ht="36" x14ac:dyDescent="0.2">
      <c r="A121" s="1590"/>
      <c r="B121" s="1577"/>
      <c r="C121" s="551">
        <v>5010101003</v>
      </c>
      <c r="D121" s="552" t="s">
        <v>461</v>
      </c>
      <c r="E121" s="311">
        <v>5219.5</v>
      </c>
      <c r="F121" s="313"/>
      <c r="G121" s="311">
        <v>5219.5</v>
      </c>
      <c r="H121" s="313"/>
      <c r="I121" s="311">
        <v>5200</v>
      </c>
      <c r="J121" s="313"/>
      <c r="K121" s="311">
        <v>5200</v>
      </c>
      <c r="L121" s="313"/>
      <c r="M121" s="428">
        <f t="shared" si="24"/>
        <v>0</v>
      </c>
      <c r="N121" s="428">
        <f t="shared" si="19"/>
        <v>-19.5</v>
      </c>
      <c r="O121" s="188" t="s">
        <v>680</v>
      </c>
      <c r="Q121" s="1"/>
    </row>
    <row r="122" spans="1:17" s="14" customFormat="1" ht="12.75" x14ac:dyDescent="0.2">
      <c r="A122" s="1590"/>
      <c r="B122" s="1577"/>
      <c r="C122" s="551">
        <v>5010201</v>
      </c>
      <c r="D122" s="552" t="s">
        <v>281</v>
      </c>
      <c r="E122" s="311">
        <v>10</v>
      </c>
      <c r="F122" s="313">
        <v>10</v>
      </c>
      <c r="G122" s="311">
        <v>14.4</v>
      </c>
      <c r="H122" s="313">
        <v>14.4</v>
      </c>
      <c r="I122" s="311">
        <v>20</v>
      </c>
      <c r="J122" s="313">
        <v>20</v>
      </c>
      <c r="K122" s="311">
        <v>20</v>
      </c>
      <c r="L122" s="313">
        <v>20</v>
      </c>
      <c r="M122" s="428">
        <f t="shared" si="24"/>
        <v>0</v>
      </c>
      <c r="N122" s="428">
        <f t="shared" si="19"/>
        <v>10</v>
      </c>
      <c r="O122" s="193" t="s">
        <v>765</v>
      </c>
      <c r="Q122" s="1"/>
    </row>
    <row r="123" spans="1:17" s="14" customFormat="1" ht="25.5" x14ac:dyDescent="0.2">
      <c r="A123" s="1590"/>
      <c r="B123" s="1577"/>
      <c r="C123" s="551">
        <v>5010203</v>
      </c>
      <c r="D123" s="552" t="s">
        <v>462</v>
      </c>
      <c r="E123" s="311"/>
      <c r="F123" s="313"/>
      <c r="G123" s="311">
        <v>14.6</v>
      </c>
      <c r="H123" s="313">
        <v>14.6</v>
      </c>
      <c r="I123" s="311"/>
      <c r="J123" s="313"/>
      <c r="K123" s="311"/>
      <c r="L123" s="313"/>
      <c r="M123" s="428">
        <f t="shared" si="24"/>
        <v>0</v>
      </c>
      <c r="N123" s="428">
        <f t="shared" si="19"/>
        <v>0</v>
      </c>
      <c r="O123" s="193"/>
      <c r="Q123" s="1"/>
    </row>
    <row r="124" spans="1:17" s="14" customFormat="1" ht="48" x14ac:dyDescent="0.2">
      <c r="A124" s="1590"/>
      <c r="B124" s="1577"/>
      <c r="C124" s="551">
        <v>5010103001</v>
      </c>
      <c r="D124" s="552" t="s">
        <v>781</v>
      </c>
      <c r="E124" s="311">
        <v>486</v>
      </c>
      <c r="F124" s="313">
        <v>486</v>
      </c>
      <c r="G124" s="311">
        <v>486</v>
      </c>
      <c r="H124" s="313">
        <v>486</v>
      </c>
      <c r="I124" s="311">
        <f>560+1550</f>
        <v>2110</v>
      </c>
      <c r="J124" s="313">
        <f>560+1550</f>
        <v>2110</v>
      </c>
      <c r="K124" s="311">
        <f>510+133</f>
        <v>643</v>
      </c>
      <c r="L124" s="313">
        <v>643</v>
      </c>
      <c r="M124" s="428">
        <f t="shared" si="24"/>
        <v>-1467</v>
      </c>
      <c r="N124" s="428">
        <f t="shared" si="19"/>
        <v>157</v>
      </c>
      <c r="O124" s="194" t="s">
        <v>764</v>
      </c>
      <c r="Q124" s="1"/>
    </row>
    <row r="125" spans="1:17" s="14" customFormat="1" ht="25.5" x14ac:dyDescent="0.2">
      <c r="A125" s="1590"/>
      <c r="B125" s="1577"/>
      <c r="C125" s="551">
        <v>5010202</v>
      </c>
      <c r="D125" s="552" t="s">
        <v>463</v>
      </c>
      <c r="E125" s="311">
        <v>50</v>
      </c>
      <c r="F125" s="313">
        <v>50</v>
      </c>
      <c r="G125" s="311">
        <v>50</v>
      </c>
      <c r="H125" s="313">
        <v>50</v>
      </c>
      <c r="I125" s="311">
        <v>30</v>
      </c>
      <c r="J125" s="313">
        <v>30</v>
      </c>
      <c r="K125" s="311">
        <v>30</v>
      </c>
      <c r="L125" s="313">
        <v>30</v>
      </c>
      <c r="M125" s="428">
        <f t="shared" si="24"/>
        <v>0</v>
      </c>
      <c r="N125" s="428">
        <f t="shared" si="19"/>
        <v>-20</v>
      </c>
      <c r="O125" s="193" t="s">
        <v>464</v>
      </c>
      <c r="Q125" s="1"/>
    </row>
    <row r="126" spans="1:17" s="14" customFormat="1" ht="38.25" x14ac:dyDescent="0.2">
      <c r="A126" s="1590"/>
      <c r="B126" s="1577"/>
      <c r="C126" s="1577">
        <v>5010206</v>
      </c>
      <c r="D126" s="552" t="s">
        <v>465</v>
      </c>
      <c r="E126" s="311">
        <v>174</v>
      </c>
      <c r="F126" s="313">
        <v>174</v>
      </c>
      <c r="G126" s="311">
        <v>297.7</v>
      </c>
      <c r="H126" s="313">
        <v>297.7</v>
      </c>
      <c r="I126" s="311">
        <v>312.39999999999998</v>
      </c>
      <c r="J126" s="313">
        <v>312.39999999999998</v>
      </c>
      <c r="K126" s="311">
        <v>312.39999999999998</v>
      </c>
      <c r="L126" s="313">
        <v>179.4</v>
      </c>
      <c r="M126" s="428">
        <f t="shared" si="24"/>
        <v>0</v>
      </c>
      <c r="N126" s="428">
        <f t="shared" si="19"/>
        <v>138.39999999999998</v>
      </c>
      <c r="O126" s="193" t="s">
        <v>763</v>
      </c>
      <c r="Q126" s="1"/>
    </row>
    <row r="127" spans="1:17" s="14" customFormat="1" ht="12.75" x14ac:dyDescent="0.2">
      <c r="A127" s="1590"/>
      <c r="B127" s="1577"/>
      <c r="C127" s="1577"/>
      <c r="D127" s="323" t="s">
        <v>142</v>
      </c>
      <c r="E127" s="311">
        <v>2.1</v>
      </c>
      <c r="F127" s="313">
        <v>2.1</v>
      </c>
      <c r="G127" s="311">
        <v>234</v>
      </c>
      <c r="H127" s="313">
        <v>234</v>
      </c>
      <c r="I127" s="311">
        <v>133</v>
      </c>
      <c r="J127" s="313">
        <v>133</v>
      </c>
      <c r="K127" s="311">
        <v>133</v>
      </c>
      <c r="L127" s="313"/>
      <c r="M127" s="428">
        <f t="shared" si="24"/>
        <v>0</v>
      </c>
      <c r="N127" s="428">
        <f t="shared" si="19"/>
        <v>130.9</v>
      </c>
      <c r="O127" s="193"/>
      <c r="Q127" s="1"/>
    </row>
    <row r="128" spans="1:17" s="14" customFormat="1" ht="96.75" customHeight="1" x14ac:dyDescent="0.2">
      <c r="A128" s="1590"/>
      <c r="B128" s="1577"/>
      <c r="C128" s="1577">
        <v>5010211</v>
      </c>
      <c r="D128" s="552" t="s">
        <v>466</v>
      </c>
      <c r="E128" s="311">
        <v>370</v>
      </c>
      <c r="F128" s="313">
        <v>370</v>
      </c>
      <c r="G128" s="311">
        <v>241.9</v>
      </c>
      <c r="H128" s="313">
        <v>241.9</v>
      </c>
      <c r="I128" s="311">
        <v>210</v>
      </c>
      <c r="J128" s="313">
        <v>210</v>
      </c>
      <c r="K128" s="311">
        <v>210</v>
      </c>
      <c r="L128" s="313">
        <v>210</v>
      </c>
      <c r="M128" s="428">
        <f t="shared" si="24"/>
        <v>0</v>
      </c>
      <c r="N128" s="428">
        <f t="shared" si="19"/>
        <v>-160</v>
      </c>
      <c r="O128" s="195" t="s">
        <v>682</v>
      </c>
      <c r="Q128" s="1"/>
    </row>
    <row r="129" spans="1:17" s="14" customFormat="1" ht="12.75" x14ac:dyDescent="0.2">
      <c r="A129" s="1590"/>
      <c r="B129" s="1577"/>
      <c r="C129" s="1577"/>
      <c r="D129" s="323" t="s">
        <v>142</v>
      </c>
      <c r="E129" s="311">
        <v>106.9</v>
      </c>
      <c r="F129" s="313">
        <v>106.9</v>
      </c>
      <c r="G129" s="311"/>
      <c r="H129" s="313"/>
      <c r="I129" s="311"/>
      <c r="J129" s="313"/>
      <c r="K129" s="311"/>
      <c r="L129" s="313"/>
      <c r="M129" s="428">
        <f t="shared" si="24"/>
        <v>0</v>
      </c>
      <c r="N129" s="428">
        <f t="shared" si="19"/>
        <v>-106.9</v>
      </c>
      <c r="O129" s="193"/>
      <c r="Q129" s="1"/>
    </row>
    <row r="130" spans="1:17" s="14" customFormat="1" ht="12.75" customHeight="1" x14ac:dyDescent="0.2">
      <c r="A130" s="1590"/>
      <c r="B130" s="1577"/>
      <c r="C130" s="1575" t="s">
        <v>282</v>
      </c>
      <c r="D130" s="1575"/>
      <c r="E130" s="271">
        <f>SUM(E118,E120:E126,E128)</f>
        <v>6515</v>
      </c>
      <c r="F130" s="271">
        <f t="shared" ref="F130:L130" si="25">SUM(F118,F120:F126,F128)</f>
        <v>1156.9000000000001</v>
      </c>
      <c r="G130" s="271">
        <f t="shared" si="25"/>
        <v>6938.9</v>
      </c>
      <c r="H130" s="271">
        <f t="shared" si="25"/>
        <v>1580.8000000000002</v>
      </c>
      <c r="I130" s="271">
        <f>SUM(I118,I120:I126,I128)</f>
        <v>8781.5</v>
      </c>
      <c r="J130" s="271">
        <f t="shared" si="25"/>
        <v>2682.4</v>
      </c>
      <c r="K130" s="271">
        <f t="shared" si="25"/>
        <v>6704.9</v>
      </c>
      <c r="L130" s="271">
        <f t="shared" si="25"/>
        <v>1082.4000000000001</v>
      </c>
      <c r="M130" s="271">
        <f t="shared" ref="M130:M131" si="26">+K130-I130</f>
        <v>-2076.6000000000004</v>
      </c>
      <c r="N130" s="288">
        <f t="shared" si="19"/>
        <v>189.89999999999964</v>
      </c>
      <c r="O130" s="20"/>
      <c r="Q130" s="1"/>
    </row>
    <row r="131" spans="1:17" s="14" customFormat="1" ht="13.5" customHeight="1" x14ac:dyDescent="0.2">
      <c r="A131" s="1590"/>
      <c r="B131" s="1577"/>
      <c r="C131" s="1589" t="s">
        <v>185</v>
      </c>
      <c r="D131" s="1589"/>
      <c r="E131" s="271">
        <f>+E129+E127+E119</f>
        <v>124</v>
      </c>
      <c r="F131" s="271">
        <f t="shared" ref="F131:J131" si="27">+F129+F127+F119</f>
        <v>124</v>
      </c>
      <c r="G131" s="271">
        <f t="shared" si="27"/>
        <v>234</v>
      </c>
      <c r="H131" s="271">
        <f t="shared" si="27"/>
        <v>234</v>
      </c>
      <c r="I131" s="271">
        <f t="shared" si="27"/>
        <v>133</v>
      </c>
      <c r="J131" s="271">
        <f t="shared" si="27"/>
        <v>133</v>
      </c>
      <c r="K131" s="271">
        <v>133</v>
      </c>
      <c r="L131" s="271"/>
      <c r="M131" s="271">
        <f t="shared" si="26"/>
        <v>0</v>
      </c>
      <c r="N131" s="288">
        <f t="shared" si="19"/>
        <v>9</v>
      </c>
      <c r="O131" s="20"/>
      <c r="Q131" s="1"/>
    </row>
    <row r="132" spans="1:17" s="14" customFormat="1" ht="20.25" customHeight="1" x14ac:dyDescent="0.2">
      <c r="A132" s="1591" t="s">
        <v>467</v>
      </c>
      <c r="B132" s="1591"/>
      <c r="C132" s="1591"/>
      <c r="D132" s="1591"/>
      <c r="E132" s="311">
        <f>+E130+E78+E116</f>
        <v>37200.999999999993</v>
      </c>
      <c r="F132" s="311">
        <f t="shared" ref="F132:L132" si="28">+F130+F78+F116</f>
        <v>30336.5</v>
      </c>
      <c r="G132" s="311">
        <f t="shared" si="28"/>
        <v>38284.1</v>
      </c>
      <c r="H132" s="311">
        <f t="shared" si="28"/>
        <v>31264.800000000003</v>
      </c>
      <c r="I132" s="311">
        <f t="shared" si="28"/>
        <v>70393.3</v>
      </c>
      <c r="J132" s="311">
        <f t="shared" si="28"/>
        <v>62910.700000000004</v>
      </c>
      <c r="K132" s="311">
        <f t="shared" si="28"/>
        <v>47544.3</v>
      </c>
      <c r="L132" s="311">
        <f t="shared" si="28"/>
        <v>40133.599999999999</v>
      </c>
      <c r="M132" s="311">
        <f>+M130+M78+M116</f>
        <v>-22849.000000000007</v>
      </c>
      <c r="N132" s="152">
        <f t="shared" si="19"/>
        <v>10343.30000000001</v>
      </c>
      <c r="O132" s="96"/>
      <c r="Q132" s="1"/>
    </row>
    <row r="133" spans="1:17" s="14" customFormat="1" ht="18.75" customHeight="1" x14ac:dyDescent="0.2">
      <c r="A133" s="1551" t="s">
        <v>185</v>
      </c>
      <c r="B133" s="1551"/>
      <c r="C133" s="1551"/>
      <c r="D133" s="1551"/>
      <c r="E133" s="579">
        <f>+E131+E117</f>
        <v>124</v>
      </c>
      <c r="F133" s="579">
        <f t="shared" ref="F133:H133" si="29">+F131+F117</f>
        <v>124</v>
      </c>
      <c r="G133" s="579">
        <f t="shared" si="29"/>
        <v>355.4</v>
      </c>
      <c r="H133" s="579">
        <f t="shared" si="29"/>
        <v>355.4</v>
      </c>
      <c r="I133" s="579">
        <f>+I131+I117</f>
        <v>433</v>
      </c>
      <c r="J133" s="579">
        <f t="shared" ref="J133:N133" si="30">+J131+J117</f>
        <v>433</v>
      </c>
      <c r="K133" s="579">
        <f t="shared" si="30"/>
        <v>537.70000000000005</v>
      </c>
      <c r="L133" s="579">
        <f t="shared" si="30"/>
        <v>0</v>
      </c>
      <c r="M133" s="579">
        <f t="shared" si="30"/>
        <v>0</v>
      </c>
      <c r="N133" s="579">
        <f t="shared" si="30"/>
        <v>413.7</v>
      </c>
      <c r="O133" s="160"/>
      <c r="Q133" s="1"/>
    </row>
    <row r="135" spans="1:17" ht="12.75" x14ac:dyDescent="0.2">
      <c r="B135" s="1540" t="s">
        <v>128</v>
      </c>
      <c r="C135" s="1540"/>
      <c r="D135" s="1540"/>
    </row>
  </sheetData>
  <mergeCells count="53">
    <mergeCell ref="B135:D135"/>
    <mergeCell ref="A133:D133"/>
    <mergeCell ref="C126:C127"/>
    <mergeCell ref="C128:C129"/>
    <mergeCell ref="C130:D130"/>
    <mergeCell ref="C131:D131"/>
    <mergeCell ref="B118:B131"/>
    <mergeCell ref="A118:A131"/>
    <mergeCell ref="C118:C119"/>
    <mergeCell ref="A132:D132"/>
    <mergeCell ref="C22:D22"/>
    <mergeCell ref="B7:B12"/>
    <mergeCell ref="A7:A12"/>
    <mergeCell ref="A2:O2"/>
    <mergeCell ref="E4:E5"/>
    <mergeCell ref="G4:G5"/>
    <mergeCell ref="I4:I5"/>
    <mergeCell ref="K4:K5"/>
    <mergeCell ref="M4:M5"/>
    <mergeCell ref="O4:O5"/>
    <mergeCell ref="A4:B4"/>
    <mergeCell ref="C4:D4"/>
    <mergeCell ref="N4:N5"/>
    <mergeCell ref="B13:B23"/>
    <mergeCell ref="A13:A23"/>
    <mergeCell ref="A78:D78"/>
    <mergeCell ref="B24:B27"/>
    <mergeCell ref="A24:A27"/>
    <mergeCell ref="B28:B30"/>
    <mergeCell ref="A28:A30"/>
    <mergeCell ref="B31:B33"/>
    <mergeCell ref="A31:A33"/>
    <mergeCell ref="B34:B37"/>
    <mergeCell ref="A34:A37"/>
    <mergeCell ref="B38:B57"/>
    <mergeCell ref="A38:A57"/>
    <mergeCell ref="B76:B77"/>
    <mergeCell ref="A76:A77"/>
    <mergeCell ref="B58:B75"/>
    <mergeCell ref="A58:A75"/>
    <mergeCell ref="C83:D83"/>
    <mergeCell ref="C116:D116"/>
    <mergeCell ref="C117:D117"/>
    <mergeCell ref="B79:B82"/>
    <mergeCell ref="A79:A82"/>
    <mergeCell ref="B103:B107"/>
    <mergeCell ref="A103:A107"/>
    <mergeCell ref="B108:B117"/>
    <mergeCell ref="A108:A117"/>
    <mergeCell ref="B86:B96"/>
    <mergeCell ref="A86:A96"/>
    <mergeCell ref="B97:B102"/>
    <mergeCell ref="A97:A102"/>
  </mergeCells>
  <pageMargins left="0" right="0" top="0" bottom="0.35433070866141736" header="0.31496062992125984" footer="0.31496062992125984"/>
  <pageSetup paperSize="9" scale="71" fitToHeight="0" orientation="landscape" r:id="rId1"/>
  <headerFooter>
    <oddFooter>&amp;C&amp;P</oddFooter>
  </headerFooter>
  <rowBreaks count="3" manualBreakCount="3">
    <brk id="12" min="1" max="14" man="1"/>
    <brk id="30" min="1" max="14" man="1"/>
    <brk id="117" max="14" man="1"/>
  </rowBreaks>
  <ignoredErrors>
    <ignoredError sqref="A7 C7:C11 C15 C23:C30 A31 C33:C45 C62:C68 C72:C77 A79 C79:C82 C113:C115"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27"/>
  <sheetViews>
    <sheetView showZeros="0" zoomScaleNormal="100" zoomScaleSheetLayoutView="55" workbookViewId="0">
      <pane ySplit="6" topLeftCell="A87" activePane="bottomLeft" state="frozen"/>
      <selection activeCell="D1" sqref="D1"/>
      <selection pane="bottomLeft" activeCell="B95" sqref="B95:Q141"/>
    </sheetView>
  </sheetViews>
  <sheetFormatPr defaultColWidth="8.85546875" defaultRowHeight="12" x14ac:dyDescent="0.2"/>
  <cols>
    <col min="1" max="1" width="3.28515625" style="55" customWidth="1"/>
    <col min="2" max="2" width="11" style="67" customWidth="1"/>
    <col min="3" max="3" width="10.5703125" style="68" customWidth="1"/>
    <col min="4" max="4" width="36.28515625" style="518" customWidth="1"/>
    <col min="5" max="10" width="9.7109375" style="72" customWidth="1"/>
    <col min="11" max="11" width="9.7109375" style="73" customWidth="1"/>
    <col min="12" max="12" width="9.7109375" style="71" customWidth="1"/>
    <col min="13" max="14" width="7.140625" style="71" hidden="1" customWidth="1"/>
    <col min="15" max="16" width="9.7109375" style="71" customWidth="1"/>
    <col min="17" max="17" width="43.42578125" style="49" customWidth="1"/>
    <col min="18" max="16384" width="8.85546875" style="55"/>
  </cols>
  <sheetData>
    <row r="1" spans="1:19" s="45" customFormat="1" ht="12.75" x14ac:dyDescent="0.2">
      <c r="B1" s="44"/>
      <c r="C1" s="46"/>
      <c r="D1" s="508"/>
      <c r="E1" s="47"/>
      <c r="F1" s="47"/>
      <c r="G1" s="47"/>
      <c r="H1" s="47"/>
      <c r="I1" s="47"/>
      <c r="J1" s="47"/>
      <c r="K1" s="48"/>
      <c r="L1" s="47"/>
      <c r="M1" s="47"/>
      <c r="N1" s="47"/>
      <c r="O1" s="47"/>
      <c r="P1" s="47"/>
      <c r="Q1" s="605" t="s">
        <v>1007</v>
      </c>
    </row>
    <row r="2" spans="1:19" s="45" customFormat="1" ht="14.25" x14ac:dyDescent="0.2">
      <c r="B2" s="1610" t="s">
        <v>796</v>
      </c>
      <c r="C2" s="1610"/>
      <c r="D2" s="1610"/>
      <c r="E2" s="1610"/>
      <c r="F2" s="1610"/>
      <c r="G2" s="1610"/>
      <c r="H2" s="1610"/>
      <c r="I2" s="1610"/>
      <c r="J2" s="1610"/>
      <c r="K2" s="1610"/>
      <c r="L2" s="1610"/>
      <c r="M2" s="1610"/>
      <c r="N2" s="1610"/>
      <c r="O2" s="1610"/>
      <c r="P2" s="1610"/>
      <c r="Q2" s="1610"/>
    </row>
    <row r="3" spans="1:19" s="45" customFormat="1" ht="12.75" x14ac:dyDescent="0.2">
      <c r="B3" s="44"/>
      <c r="C3" s="46"/>
      <c r="D3" s="1611"/>
      <c r="E3" s="1611"/>
      <c r="F3" s="1611"/>
      <c r="G3" s="50"/>
      <c r="H3" s="50"/>
      <c r="I3" s="50"/>
      <c r="J3" s="50"/>
      <c r="K3" s="48"/>
      <c r="L3" s="47"/>
      <c r="M3" s="47"/>
      <c r="N3" s="47"/>
      <c r="O3" s="47"/>
      <c r="P3" s="47"/>
      <c r="Q3" s="210" t="s">
        <v>0</v>
      </c>
    </row>
    <row r="4" spans="1:19" s="45" customFormat="1" ht="17.100000000000001" customHeight="1" x14ac:dyDescent="0.2">
      <c r="A4" s="1612" t="s">
        <v>1</v>
      </c>
      <c r="B4" s="1612"/>
      <c r="C4" s="1548" t="s">
        <v>77</v>
      </c>
      <c r="D4" s="1548"/>
      <c r="E4" s="1613" t="s">
        <v>60</v>
      </c>
      <c r="F4" s="555" t="s">
        <v>187</v>
      </c>
      <c r="G4" s="1614" t="s">
        <v>61</v>
      </c>
      <c r="H4" s="51" t="s">
        <v>187</v>
      </c>
      <c r="I4" s="1613" t="s">
        <v>62</v>
      </c>
      <c r="J4" s="555" t="s">
        <v>187</v>
      </c>
      <c r="K4" s="1613" t="s">
        <v>64</v>
      </c>
      <c r="L4" s="555" t="s">
        <v>187</v>
      </c>
      <c r="M4" s="1615" t="s">
        <v>188</v>
      </c>
      <c r="N4" s="1615" t="s">
        <v>189</v>
      </c>
      <c r="O4" s="1539" t="s">
        <v>798</v>
      </c>
      <c r="P4" s="1539" t="s">
        <v>807</v>
      </c>
      <c r="Q4" s="1541" t="s">
        <v>190</v>
      </c>
    </row>
    <row r="5" spans="1:19" s="45" customFormat="1" ht="44.25" customHeight="1" x14ac:dyDescent="0.2">
      <c r="A5" s="554" t="s">
        <v>78</v>
      </c>
      <c r="B5" s="549" t="s">
        <v>81</v>
      </c>
      <c r="C5" s="549" t="s">
        <v>78</v>
      </c>
      <c r="D5" s="549" t="s">
        <v>81</v>
      </c>
      <c r="E5" s="1613"/>
      <c r="F5" s="224" t="s">
        <v>59</v>
      </c>
      <c r="G5" s="1614"/>
      <c r="H5" s="52" t="s">
        <v>59</v>
      </c>
      <c r="I5" s="1613"/>
      <c r="J5" s="224" t="s">
        <v>59</v>
      </c>
      <c r="K5" s="1613"/>
      <c r="L5" s="224" t="s">
        <v>63</v>
      </c>
      <c r="M5" s="1615"/>
      <c r="N5" s="1615"/>
      <c r="O5" s="1539"/>
      <c r="P5" s="1539"/>
      <c r="Q5" s="1541"/>
    </row>
    <row r="6" spans="1:19" s="53" customFormat="1" ht="12" customHeight="1" x14ac:dyDescent="0.2">
      <c r="A6" s="249">
        <v>1</v>
      </c>
      <c r="B6" s="250">
        <v>2</v>
      </c>
      <c r="C6" s="250">
        <v>3</v>
      </c>
      <c r="D6" s="250">
        <v>4</v>
      </c>
      <c r="E6" s="251">
        <v>5</v>
      </c>
      <c r="F6" s="230">
        <v>6</v>
      </c>
      <c r="G6" s="252">
        <v>7</v>
      </c>
      <c r="H6" s="253">
        <v>8</v>
      </c>
      <c r="I6" s="251">
        <v>9</v>
      </c>
      <c r="J6" s="230">
        <v>10</v>
      </c>
      <c r="K6" s="254">
        <v>11</v>
      </c>
      <c r="L6" s="230">
        <v>12</v>
      </c>
      <c r="M6" s="230">
        <v>13</v>
      </c>
      <c r="N6" s="230">
        <v>14</v>
      </c>
      <c r="O6" s="419">
        <v>13</v>
      </c>
      <c r="P6" s="419">
        <v>14</v>
      </c>
      <c r="Q6" s="232">
        <v>15</v>
      </c>
    </row>
    <row r="7" spans="1:19" ht="48" x14ac:dyDescent="0.2">
      <c r="A7" s="1607" t="s">
        <v>80</v>
      </c>
      <c r="B7" s="1594" t="s">
        <v>79</v>
      </c>
      <c r="C7" s="558">
        <v>2040201</v>
      </c>
      <c r="D7" s="371" t="s">
        <v>273</v>
      </c>
      <c r="E7" s="329">
        <v>23555.599999999999</v>
      </c>
      <c r="F7" s="330">
        <v>20555.599999999999</v>
      </c>
      <c r="G7" s="331">
        <v>23945.599999999999</v>
      </c>
      <c r="H7" s="332">
        <v>20945.599999999999</v>
      </c>
      <c r="I7" s="329">
        <v>26096.799999999999</v>
      </c>
      <c r="J7" s="330">
        <v>26096.799999999999</v>
      </c>
      <c r="K7" s="333">
        <v>22305</v>
      </c>
      <c r="L7" s="330">
        <v>19000</v>
      </c>
      <c r="M7" s="330">
        <f>K7-E7</f>
        <v>-1250.5999999999985</v>
      </c>
      <c r="N7" s="330">
        <f>K7-G7</f>
        <v>-1640.5999999999985</v>
      </c>
      <c r="O7" s="430">
        <f>K7-I7</f>
        <v>-3791.7999999999993</v>
      </c>
      <c r="P7" s="430">
        <f>+K7-E7</f>
        <v>-1250.5999999999985</v>
      </c>
      <c r="Q7" s="559" t="s">
        <v>805</v>
      </c>
      <c r="S7" s="221">
        <f>+K7-I7-O7</f>
        <v>0</v>
      </c>
    </row>
    <row r="8" spans="1:19" ht="12.75" x14ac:dyDescent="0.2">
      <c r="A8" s="1607"/>
      <c r="B8" s="1594"/>
      <c r="C8" s="1608" t="s">
        <v>185</v>
      </c>
      <c r="D8" s="1608"/>
      <c r="E8" s="329">
        <v>9801</v>
      </c>
      <c r="F8" s="334">
        <v>6801</v>
      </c>
      <c r="G8" s="331">
        <v>10420.9</v>
      </c>
      <c r="H8" s="335">
        <v>7420.9</v>
      </c>
      <c r="I8" s="329">
        <v>6648</v>
      </c>
      <c r="J8" s="334">
        <v>6648</v>
      </c>
      <c r="K8" s="329">
        <v>4553</v>
      </c>
      <c r="L8" s="541">
        <v>1248</v>
      </c>
      <c r="M8" s="334"/>
      <c r="N8" s="334"/>
      <c r="O8" s="430">
        <f>K8-I8</f>
        <v>-2095</v>
      </c>
      <c r="P8" s="430">
        <f t="shared" ref="P8:P16" si="0">+K8-E8</f>
        <v>-5248</v>
      </c>
      <c r="Q8" s="559"/>
      <c r="S8" s="221">
        <f t="shared" ref="S8:S108" si="1">+K8-I8-O8</f>
        <v>0</v>
      </c>
    </row>
    <row r="9" spans="1:19" ht="36" x14ac:dyDescent="0.2">
      <c r="A9" s="1594"/>
      <c r="B9" s="1594"/>
      <c r="C9" s="62">
        <v>2040202</v>
      </c>
      <c r="D9" s="371" t="s">
        <v>274</v>
      </c>
      <c r="E9" s="329">
        <v>17500</v>
      </c>
      <c r="F9" s="334">
        <v>16490.5</v>
      </c>
      <c r="G9" s="331">
        <v>17500</v>
      </c>
      <c r="H9" s="335">
        <v>16490.5</v>
      </c>
      <c r="I9" s="329">
        <v>25823</v>
      </c>
      <c r="J9" s="334">
        <v>25823</v>
      </c>
      <c r="K9" s="329">
        <f>18995-600</f>
        <v>18395</v>
      </c>
      <c r="L9" s="334">
        <f>18300-600</f>
        <v>17700</v>
      </c>
      <c r="M9" s="334">
        <f t="shared" ref="M9" si="2">K9-E9</f>
        <v>895</v>
      </c>
      <c r="N9" s="334">
        <f t="shared" ref="N9" si="3">K9-G9</f>
        <v>895</v>
      </c>
      <c r="O9" s="430">
        <f t="shared" ref="O9:P24" si="4">K9-I9</f>
        <v>-7428</v>
      </c>
      <c r="P9" s="430">
        <f t="shared" si="0"/>
        <v>895</v>
      </c>
      <c r="Q9" s="559" t="s">
        <v>1273</v>
      </c>
      <c r="S9" s="221">
        <f t="shared" si="1"/>
        <v>0</v>
      </c>
    </row>
    <row r="10" spans="1:19" ht="12.75" x14ac:dyDescent="0.2">
      <c r="A10" s="1594"/>
      <c r="B10" s="1594"/>
      <c r="C10" s="1608" t="s">
        <v>185</v>
      </c>
      <c r="D10" s="1608"/>
      <c r="E10" s="329">
        <v>5199</v>
      </c>
      <c r="F10" s="334">
        <v>4189.5</v>
      </c>
      <c r="G10" s="331">
        <v>5198.8999999999996</v>
      </c>
      <c r="H10" s="335">
        <v>4189.3999999999996</v>
      </c>
      <c r="I10" s="329">
        <v>4695.1000000000004</v>
      </c>
      <c r="J10" s="334">
        <v>4695.1000000000004</v>
      </c>
      <c r="K10" s="329">
        <v>1695</v>
      </c>
      <c r="L10" s="334">
        <v>1000</v>
      </c>
      <c r="M10" s="334"/>
      <c r="N10" s="334"/>
      <c r="O10" s="430">
        <f t="shared" si="4"/>
        <v>-3000.1000000000004</v>
      </c>
      <c r="P10" s="430">
        <f t="shared" si="0"/>
        <v>-3504</v>
      </c>
      <c r="Q10" s="559"/>
      <c r="S10" s="221">
        <f t="shared" si="1"/>
        <v>0</v>
      </c>
    </row>
    <row r="11" spans="1:19" ht="12.75" x14ac:dyDescent="0.2">
      <c r="A11" s="1594"/>
      <c r="B11" s="1594"/>
      <c r="C11" s="1556" t="s">
        <v>275</v>
      </c>
      <c r="D11" s="1556"/>
      <c r="E11" s="336">
        <f t="shared" ref="E11:L12" si="5">SUM(E7,E9)</f>
        <v>41055.599999999999</v>
      </c>
      <c r="F11" s="336">
        <f t="shared" si="5"/>
        <v>37046.1</v>
      </c>
      <c r="G11" s="336">
        <f t="shared" si="5"/>
        <v>41445.599999999999</v>
      </c>
      <c r="H11" s="336">
        <f t="shared" si="5"/>
        <v>37436.1</v>
      </c>
      <c r="I11" s="336">
        <f t="shared" si="5"/>
        <v>51919.8</v>
      </c>
      <c r="J11" s="336">
        <f t="shared" si="5"/>
        <v>51919.8</v>
      </c>
      <c r="K11" s="336">
        <f t="shared" si="5"/>
        <v>40700</v>
      </c>
      <c r="L11" s="336">
        <f t="shared" si="5"/>
        <v>36700</v>
      </c>
      <c r="M11" s="336">
        <f>SUM(M7:M9)</f>
        <v>-355.59999999999854</v>
      </c>
      <c r="N11" s="336">
        <f>SUM(N7:N9)</f>
        <v>-745.59999999999854</v>
      </c>
      <c r="O11" s="336">
        <f>+K11-I11</f>
        <v>-11219.800000000003</v>
      </c>
      <c r="P11" s="336">
        <f t="shared" si="0"/>
        <v>-355.59999999999854</v>
      </c>
      <c r="Q11" s="59"/>
      <c r="S11" s="221">
        <f t="shared" si="1"/>
        <v>0</v>
      </c>
    </row>
    <row r="12" spans="1:19" ht="12.75" x14ac:dyDescent="0.2">
      <c r="A12" s="1594"/>
      <c r="B12" s="1594"/>
      <c r="C12" s="1604" t="s">
        <v>185</v>
      </c>
      <c r="D12" s="1604"/>
      <c r="E12" s="337">
        <f t="shared" si="5"/>
        <v>15000</v>
      </c>
      <c r="F12" s="337">
        <f t="shared" si="5"/>
        <v>10990.5</v>
      </c>
      <c r="G12" s="337">
        <f t="shared" si="5"/>
        <v>15619.8</v>
      </c>
      <c r="H12" s="337">
        <f t="shared" si="5"/>
        <v>11610.3</v>
      </c>
      <c r="I12" s="337">
        <f t="shared" si="5"/>
        <v>11343.1</v>
      </c>
      <c r="J12" s="337">
        <f t="shared" si="5"/>
        <v>11343.1</v>
      </c>
      <c r="K12" s="337">
        <f t="shared" si="5"/>
        <v>6248</v>
      </c>
      <c r="L12" s="337">
        <f t="shared" si="5"/>
        <v>2248</v>
      </c>
      <c r="M12" s="337" t="e">
        <f>SUM(#REF!)</f>
        <v>#REF!</v>
      </c>
      <c r="N12" s="337" t="e">
        <f>SUM(#REF!)</f>
        <v>#REF!</v>
      </c>
      <c r="O12" s="337">
        <f t="shared" si="4"/>
        <v>-5095.1000000000004</v>
      </c>
      <c r="P12" s="337">
        <f t="shared" si="0"/>
        <v>-8752</v>
      </c>
      <c r="Q12" s="59"/>
      <c r="S12" s="221">
        <f t="shared" si="1"/>
        <v>0</v>
      </c>
    </row>
    <row r="13" spans="1:19" s="102" customFormat="1" ht="36" x14ac:dyDescent="0.2">
      <c r="A13" s="1607" t="s">
        <v>132</v>
      </c>
      <c r="B13" s="1609" t="s">
        <v>133</v>
      </c>
      <c r="C13" s="554">
        <v>3010408</v>
      </c>
      <c r="D13" s="372" t="s">
        <v>276</v>
      </c>
      <c r="E13" s="338">
        <v>10</v>
      </c>
      <c r="F13" s="339"/>
      <c r="G13" s="340">
        <v>10</v>
      </c>
      <c r="H13" s="341"/>
      <c r="I13" s="338">
        <v>10</v>
      </c>
      <c r="J13" s="339"/>
      <c r="K13" s="338">
        <v>10</v>
      </c>
      <c r="L13" s="342"/>
      <c r="M13" s="342">
        <f t="shared" ref="M13:M50" si="6">K13-E13</f>
        <v>0</v>
      </c>
      <c r="N13" s="342">
        <f t="shared" ref="N13:N50" si="7">K13-G13</f>
        <v>0</v>
      </c>
      <c r="O13" s="431">
        <f t="shared" si="4"/>
        <v>0</v>
      </c>
      <c r="P13" s="430">
        <f t="shared" si="0"/>
        <v>0</v>
      </c>
      <c r="Q13" s="559" t="s">
        <v>468</v>
      </c>
      <c r="S13" s="221">
        <f t="shared" si="1"/>
        <v>0</v>
      </c>
    </row>
    <row r="14" spans="1:19" s="103" customFormat="1" ht="168" x14ac:dyDescent="0.2">
      <c r="A14" s="1607"/>
      <c r="B14" s="1609"/>
      <c r="C14" s="554">
        <v>3010407</v>
      </c>
      <c r="D14" s="372" t="s">
        <v>277</v>
      </c>
      <c r="E14" s="338">
        <v>50</v>
      </c>
      <c r="F14" s="339"/>
      <c r="G14" s="340">
        <v>50</v>
      </c>
      <c r="H14" s="341"/>
      <c r="I14" s="338">
        <v>40</v>
      </c>
      <c r="J14" s="339"/>
      <c r="K14" s="338">
        <v>40</v>
      </c>
      <c r="L14" s="339"/>
      <c r="M14" s="339">
        <f t="shared" si="6"/>
        <v>-10</v>
      </c>
      <c r="N14" s="339">
        <f t="shared" si="7"/>
        <v>-10</v>
      </c>
      <c r="O14" s="431">
        <f t="shared" si="4"/>
        <v>0</v>
      </c>
      <c r="P14" s="430">
        <f t="shared" si="0"/>
        <v>-10</v>
      </c>
      <c r="Q14" s="559" t="s">
        <v>469</v>
      </c>
      <c r="S14" s="221">
        <f t="shared" si="1"/>
        <v>0</v>
      </c>
    </row>
    <row r="15" spans="1:19" s="102" customFormat="1" x14ac:dyDescent="0.2">
      <c r="A15" s="1607"/>
      <c r="B15" s="1609"/>
      <c r="C15" s="554"/>
      <c r="D15" s="509" t="s">
        <v>185</v>
      </c>
      <c r="E15" s="97">
        <v>0</v>
      </c>
      <c r="F15" s="63"/>
      <c r="G15" s="98"/>
      <c r="H15" s="99"/>
      <c r="I15" s="97"/>
      <c r="J15" s="63"/>
      <c r="K15" s="100">
        <v>0</v>
      </c>
      <c r="L15" s="101"/>
      <c r="M15" s="101">
        <f t="shared" si="6"/>
        <v>0</v>
      </c>
      <c r="N15" s="101">
        <f t="shared" si="7"/>
        <v>0</v>
      </c>
      <c r="O15" s="432">
        <f t="shared" si="4"/>
        <v>0</v>
      </c>
      <c r="P15" s="433">
        <f t="shared" si="0"/>
        <v>0</v>
      </c>
      <c r="Q15" s="58"/>
      <c r="S15" s="221">
        <f t="shared" si="1"/>
        <v>0</v>
      </c>
    </row>
    <row r="16" spans="1:19" s="102" customFormat="1" ht="12.75" x14ac:dyDescent="0.2">
      <c r="A16" s="1607"/>
      <c r="B16" s="1609"/>
      <c r="C16" s="1556" t="s">
        <v>184</v>
      </c>
      <c r="D16" s="1556"/>
      <c r="E16" s="343">
        <f t="shared" ref="E16:L16" si="8">+SUM(E13:E14)</f>
        <v>60</v>
      </c>
      <c r="F16" s="343">
        <f t="shared" si="8"/>
        <v>0</v>
      </c>
      <c r="G16" s="344">
        <f t="shared" si="8"/>
        <v>60</v>
      </c>
      <c r="H16" s="344">
        <f t="shared" si="8"/>
        <v>0</v>
      </c>
      <c r="I16" s="343">
        <f t="shared" si="8"/>
        <v>50</v>
      </c>
      <c r="J16" s="343">
        <f t="shared" si="8"/>
        <v>0</v>
      </c>
      <c r="K16" s="343">
        <f t="shared" si="8"/>
        <v>50</v>
      </c>
      <c r="L16" s="343">
        <f t="shared" si="8"/>
        <v>0</v>
      </c>
      <c r="M16" s="343">
        <f t="shared" si="6"/>
        <v>-10</v>
      </c>
      <c r="N16" s="343">
        <f t="shared" si="7"/>
        <v>-10</v>
      </c>
      <c r="O16" s="343">
        <f t="shared" si="4"/>
        <v>0</v>
      </c>
      <c r="P16" s="336">
        <f t="shared" si="0"/>
        <v>-10</v>
      </c>
      <c r="Q16" s="59"/>
      <c r="S16" s="221">
        <f t="shared" si="1"/>
        <v>0</v>
      </c>
    </row>
    <row r="17" spans="1:19" ht="12.75" x14ac:dyDescent="0.2">
      <c r="A17" s="556"/>
      <c r="B17" s="556"/>
      <c r="C17" s="1605" t="s">
        <v>185</v>
      </c>
      <c r="D17" s="1605"/>
      <c r="E17" s="56">
        <v>0</v>
      </c>
      <c r="F17" s="56">
        <v>0</v>
      </c>
      <c r="G17" s="60"/>
      <c r="H17" s="60"/>
      <c r="I17" s="56"/>
      <c r="J17" s="56"/>
      <c r="K17" s="56">
        <v>0</v>
      </c>
      <c r="L17" s="56">
        <v>0</v>
      </c>
      <c r="M17" s="56">
        <f t="shared" si="6"/>
        <v>0</v>
      </c>
      <c r="N17" s="56">
        <f t="shared" si="7"/>
        <v>0</v>
      </c>
      <c r="O17" s="56">
        <f t="shared" si="4"/>
        <v>0</v>
      </c>
      <c r="P17" s="56">
        <f t="shared" si="4"/>
        <v>0</v>
      </c>
      <c r="Q17" s="57"/>
      <c r="S17" s="221">
        <f t="shared" si="1"/>
        <v>0</v>
      </c>
    </row>
    <row r="18" spans="1:19" s="102" customFormat="1" ht="48" x14ac:dyDescent="0.2">
      <c r="A18" s="1606" t="s">
        <v>278</v>
      </c>
      <c r="B18" s="1603" t="s">
        <v>279</v>
      </c>
      <c r="C18" s="554">
        <v>5010306</v>
      </c>
      <c r="D18" s="372" t="s">
        <v>280</v>
      </c>
      <c r="E18" s="338">
        <v>35.700000000000003</v>
      </c>
      <c r="F18" s="342">
        <v>35.700000000000003</v>
      </c>
      <c r="G18" s="340">
        <v>335.7</v>
      </c>
      <c r="H18" s="345">
        <v>335.7</v>
      </c>
      <c r="I18" s="338">
        <v>315</v>
      </c>
      <c r="J18" s="342">
        <v>315</v>
      </c>
      <c r="K18" s="338">
        <v>265</v>
      </c>
      <c r="L18" s="342">
        <v>265</v>
      </c>
      <c r="M18" s="342">
        <f t="shared" si="6"/>
        <v>229.3</v>
      </c>
      <c r="N18" s="342">
        <f t="shared" si="7"/>
        <v>-70.699999999999989</v>
      </c>
      <c r="O18" s="431">
        <f>K18-I18</f>
        <v>-50</v>
      </c>
      <c r="P18" s="430">
        <f>+K18-E18</f>
        <v>229.3</v>
      </c>
      <c r="Q18" s="559" t="s">
        <v>713</v>
      </c>
      <c r="S18" s="221">
        <f t="shared" si="1"/>
        <v>0</v>
      </c>
    </row>
    <row r="19" spans="1:19" s="102" customFormat="1" ht="23.25" customHeight="1" x14ac:dyDescent="0.2">
      <c r="A19" s="1606"/>
      <c r="B19" s="1603"/>
      <c r="C19" s="554"/>
      <c r="D19" s="372" t="s">
        <v>808</v>
      </c>
      <c r="E19" s="338"/>
      <c r="F19" s="342"/>
      <c r="G19" s="340"/>
      <c r="H19" s="345"/>
      <c r="I19" s="338">
        <v>359</v>
      </c>
      <c r="J19" s="342">
        <v>359</v>
      </c>
      <c r="K19" s="338">
        <v>159</v>
      </c>
      <c r="L19" s="342">
        <v>159</v>
      </c>
      <c r="M19" s="342"/>
      <c r="N19" s="342"/>
      <c r="O19" s="431">
        <f>K19-I19</f>
        <v>-200</v>
      </c>
      <c r="P19" s="430">
        <f>+K19-E19</f>
        <v>159</v>
      </c>
      <c r="Q19" s="559" t="s">
        <v>809</v>
      </c>
      <c r="S19" s="221"/>
    </row>
    <row r="20" spans="1:19" s="102" customFormat="1" ht="12.75" x14ac:dyDescent="0.2">
      <c r="A20" s="1606"/>
      <c r="B20" s="1603"/>
      <c r="C20" s="1556" t="s">
        <v>282</v>
      </c>
      <c r="D20" s="1556"/>
      <c r="E20" s="343">
        <f t="shared" ref="E20:H20" si="9">SUM(E18:E18)</f>
        <v>35.700000000000003</v>
      </c>
      <c r="F20" s="343">
        <f t="shared" si="9"/>
        <v>35.700000000000003</v>
      </c>
      <c r="G20" s="344">
        <f t="shared" si="9"/>
        <v>335.7</v>
      </c>
      <c r="H20" s="344">
        <f t="shared" si="9"/>
        <v>335.7</v>
      </c>
      <c r="I20" s="343">
        <f>SUM(I18:I19)</f>
        <v>674</v>
      </c>
      <c r="J20" s="343">
        <f>SUM(J18:J19)</f>
        <v>674</v>
      </c>
      <c r="K20" s="343">
        <f>SUM(K18:K19)</f>
        <v>424</v>
      </c>
      <c r="L20" s="343">
        <f t="shared" ref="L20:O20" si="10">SUM(L18:L19)</f>
        <v>424</v>
      </c>
      <c r="M20" s="343">
        <f t="shared" si="10"/>
        <v>229.3</v>
      </c>
      <c r="N20" s="343">
        <f t="shared" si="10"/>
        <v>-70.699999999999989</v>
      </c>
      <c r="O20" s="343">
        <f t="shared" si="10"/>
        <v>-250</v>
      </c>
      <c r="P20" s="343">
        <f>SUM(P18:P19)</f>
        <v>388.3</v>
      </c>
      <c r="Q20" s="259"/>
      <c r="S20" s="221"/>
    </row>
    <row r="21" spans="1:19" ht="38.25" x14ac:dyDescent="0.2">
      <c r="A21" s="1607" t="s">
        <v>283</v>
      </c>
      <c r="B21" s="1594" t="s">
        <v>284</v>
      </c>
      <c r="C21" s="62">
        <v>6030108</v>
      </c>
      <c r="D21" s="371" t="s">
        <v>285</v>
      </c>
      <c r="E21" s="329">
        <v>93</v>
      </c>
      <c r="F21" s="346">
        <v>93</v>
      </c>
      <c r="G21" s="331">
        <v>93</v>
      </c>
      <c r="H21" s="347">
        <v>93</v>
      </c>
      <c r="I21" s="329">
        <v>60</v>
      </c>
      <c r="J21" s="346">
        <v>60</v>
      </c>
      <c r="K21" s="329">
        <v>60</v>
      </c>
      <c r="L21" s="330">
        <v>60</v>
      </c>
      <c r="M21" s="330">
        <f t="shared" si="6"/>
        <v>-33</v>
      </c>
      <c r="N21" s="330">
        <f t="shared" si="7"/>
        <v>-33</v>
      </c>
      <c r="O21" s="430">
        <f>K21-I21</f>
        <v>0</v>
      </c>
      <c r="P21" s="430">
        <f t="shared" ref="P21:P139" si="11">+K21-E21</f>
        <v>-33</v>
      </c>
      <c r="Q21" s="559" t="s">
        <v>286</v>
      </c>
      <c r="S21" s="221">
        <f t="shared" si="1"/>
        <v>0</v>
      </c>
    </row>
    <row r="22" spans="1:19" ht="12.75" x14ac:dyDescent="0.2">
      <c r="A22" s="1594"/>
      <c r="B22" s="1594"/>
      <c r="C22" s="558"/>
      <c r="D22" s="358" t="s">
        <v>185</v>
      </c>
      <c r="E22" s="329">
        <v>30</v>
      </c>
      <c r="F22" s="346">
        <v>30</v>
      </c>
      <c r="G22" s="331">
        <v>28.5</v>
      </c>
      <c r="H22" s="347">
        <v>28.5</v>
      </c>
      <c r="I22" s="329"/>
      <c r="J22" s="346"/>
      <c r="K22" s="329"/>
      <c r="L22" s="330"/>
      <c r="M22" s="330">
        <f t="shared" si="6"/>
        <v>-30</v>
      </c>
      <c r="N22" s="330">
        <f t="shared" si="7"/>
        <v>-28.5</v>
      </c>
      <c r="O22" s="430">
        <f>K22-I22</f>
        <v>0</v>
      </c>
      <c r="P22" s="430">
        <f t="shared" si="11"/>
        <v>-30</v>
      </c>
      <c r="Q22" s="561"/>
      <c r="S22" s="221">
        <f t="shared" si="1"/>
        <v>0</v>
      </c>
    </row>
    <row r="23" spans="1:19" ht="12.75" x14ac:dyDescent="0.2">
      <c r="A23" s="1594"/>
      <c r="B23" s="1594"/>
      <c r="C23" s="1556" t="s">
        <v>287</v>
      </c>
      <c r="D23" s="1556"/>
      <c r="E23" s="336">
        <f>SUM(E21)</f>
        <v>93</v>
      </c>
      <c r="F23" s="336">
        <f>SUM(F21)</f>
        <v>93</v>
      </c>
      <c r="G23" s="348">
        <f t="shared" ref="G23:J24" si="12">SUM(G21)</f>
        <v>93</v>
      </c>
      <c r="H23" s="348">
        <f t="shared" si="12"/>
        <v>93</v>
      </c>
      <c r="I23" s="336">
        <f t="shared" si="12"/>
        <v>60</v>
      </c>
      <c r="J23" s="336">
        <f t="shared" si="12"/>
        <v>60</v>
      </c>
      <c r="K23" s="336">
        <f>SUM(K21)</f>
        <v>60</v>
      </c>
      <c r="L23" s="336">
        <f>SUM(L21)</f>
        <v>60</v>
      </c>
      <c r="M23" s="336">
        <f t="shared" si="6"/>
        <v>-33</v>
      </c>
      <c r="N23" s="336">
        <f t="shared" si="7"/>
        <v>-33</v>
      </c>
      <c r="O23" s="337">
        <f>K23-I23</f>
        <v>0</v>
      </c>
      <c r="P23" s="365">
        <f t="shared" si="11"/>
        <v>-33</v>
      </c>
      <c r="Q23" s="59"/>
      <c r="S23" s="221">
        <f t="shared" si="1"/>
        <v>0</v>
      </c>
    </row>
    <row r="24" spans="1:19" ht="12.75" x14ac:dyDescent="0.2">
      <c r="A24" s="1594"/>
      <c r="B24" s="1594"/>
      <c r="C24" s="1604" t="s">
        <v>185</v>
      </c>
      <c r="D24" s="1604"/>
      <c r="E24" s="337">
        <f>SUM(E22)</f>
        <v>30</v>
      </c>
      <c r="F24" s="337">
        <f>SUM(F22)</f>
        <v>30</v>
      </c>
      <c r="G24" s="349">
        <f t="shared" si="12"/>
        <v>28.5</v>
      </c>
      <c r="H24" s="349">
        <f t="shared" si="12"/>
        <v>28.5</v>
      </c>
      <c r="I24" s="337">
        <f t="shared" si="12"/>
        <v>0</v>
      </c>
      <c r="J24" s="337">
        <f t="shared" si="12"/>
        <v>0</v>
      </c>
      <c r="K24" s="337"/>
      <c r="L24" s="337"/>
      <c r="M24" s="337">
        <f t="shared" si="6"/>
        <v>-30</v>
      </c>
      <c r="N24" s="337">
        <f t="shared" si="7"/>
        <v>-28.5</v>
      </c>
      <c r="O24" s="337">
        <f t="shared" si="4"/>
        <v>0</v>
      </c>
      <c r="P24" s="337">
        <f t="shared" si="11"/>
        <v>-30</v>
      </c>
      <c r="Q24" s="59"/>
      <c r="S24" s="221">
        <f t="shared" si="1"/>
        <v>0</v>
      </c>
    </row>
    <row r="25" spans="1:19" s="102" customFormat="1" ht="108" x14ac:dyDescent="0.2">
      <c r="A25" s="557">
        <v>10</v>
      </c>
      <c r="B25" s="557" t="s">
        <v>288</v>
      </c>
      <c r="C25" s="554">
        <v>10020201</v>
      </c>
      <c r="D25" s="372" t="s">
        <v>289</v>
      </c>
      <c r="E25" s="338">
        <v>241</v>
      </c>
      <c r="F25" s="339">
        <v>241</v>
      </c>
      <c r="G25" s="340">
        <v>458.4</v>
      </c>
      <c r="H25" s="341">
        <v>458.4</v>
      </c>
      <c r="I25" s="338">
        <v>400</v>
      </c>
      <c r="J25" s="339">
        <v>400</v>
      </c>
      <c r="K25" s="338">
        <v>300</v>
      </c>
      <c r="L25" s="342">
        <v>300</v>
      </c>
      <c r="M25" s="342">
        <f t="shared" si="6"/>
        <v>59</v>
      </c>
      <c r="N25" s="342">
        <f t="shared" si="7"/>
        <v>-158.39999999999998</v>
      </c>
      <c r="O25" s="431">
        <f t="shared" ref="O25:O51" si="13">K25-I25</f>
        <v>-100</v>
      </c>
      <c r="P25" s="430">
        <f t="shared" si="11"/>
        <v>59</v>
      </c>
      <c r="Q25" s="560" t="s">
        <v>691</v>
      </c>
      <c r="S25" s="221">
        <f t="shared" si="1"/>
        <v>0</v>
      </c>
    </row>
    <row r="26" spans="1:19" s="102" customFormat="1" ht="84" x14ac:dyDescent="0.2">
      <c r="A26" s="1603">
        <v>10</v>
      </c>
      <c r="B26" s="1603" t="s">
        <v>288</v>
      </c>
      <c r="C26" s="554">
        <v>10020209001</v>
      </c>
      <c r="D26" s="372" t="s">
        <v>290</v>
      </c>
      <c r="E26" s="338"/>
      <c r="F26" s="339"/>
      <c r="G26" s="340"/>
      <c r="H26" s="341"/>
      <c r="I26" s="338">
        <v>100</v>
      </c>
      <c r="J26" s="339">
        <v>100</v>
      </c>
      <c r="K26" s="338">
        <v>100</v>
      </c>
      <c r="L26" s="342">
        <v>100</v>
      </c>
      <c r="M26" s="342"/>
      <c r="N26" s="342"/>
      <c r="O26" s="431"/>
      <c r="P26" s="430">
        <f t="shared" si="11"/>
        <v>100</v>
      </c>
      <c r="Q26" s="196" t="s">
        <v>470</v>
      </c>
      <c r="S26" s="221">
        <f t="shared" si="1"/>
        <v>0</v>
      </c>
    </row>
    <row r="27" spans="1:19" s="102" customFormat="1" ht="38.25" x14ac:dyDescent="0.2">
      <c r="A27" s="1603"/>
      <c r="B27" s="1603"/>
      <c r="C27" s="554">
        <v>10020220001</v>
      </c>
      <c r="D27" s="372" t="s">
        <v>291</v>
      </c>
      <c r="E27" s="338"/>
      <c r="F27" s="339"/>
      <c r="G27" s="340"/>
      <c r="H27" s="341"/>
      <c r="I27" s="338">
        <v>500</v>
      </c>
      <c r="J27" s="339">
        <v>500</v>
      </c>
      <c r="K27" s="338">
        <v>100</v>
      </c>
      <c r="L27" s="342">
        <v>100</v>
      </c>
      <c r="M27" s="342">
        <f t="shared" si="6"/>
        <v>100</v>
      </c>
      <c r="N27" s="342">
        <f t="shared" si="7"/>
        <v>100</v>
      </c>
      <c r="O27" s="431">
        <f t="shared" si="13"/>
        <v>-400</v>
      </c>
      <c r="P27" s="430">
        <f t="shared" si="11"/>
        <v>100</v>
      </c>
      <c r="Q27" s="560" t="s">
        <v>471</v>
      </c>
      <c r="S27" s="221">
        <f t="shared" si="1"/>
        <v>0</v>
      </c>
    </row>
    <row r="28" spans="1:19" s="102" customFormat="1" ht="12.75" x14ac:dyDescent="0.2">
      <c r="A28" s="1603"/>
      <c r="B28" s="1603"/>
      <c r="C28" s="1556" t="s">
        <v>292</v>
      </c>
      <c r="D28" s="1556"/>
      <c r="E28" s="343">
        <f t="shared" ref="E28:L28" si="14">SUM(E25:E27)</f>
        <v>241</v>
      </c>
      <c r="F28" s="343">
        <f t="shared" si="14"/>
        <v>241</v>
      </c>
      <c r="G28" s="344">
        <f t="shared" si="14"/>
        <v>458.4</v>
      </c>
      <c r="H28" s="344">
        <f t="shared" si="14"/>
        <v>458.4</v>
      </c>
      <c r="I28" s="343">
        <f t="shared" si="14"/>
        <v>1000</v>
      </c>
      <c r="J28" s="343">
        <f t="shared" si="14"/>
        <v>1000</v>
      </c>
      <c r="K28" s="343">
        <f t="shared" si="14"/>
        <v>500</v>
      </c>
      <c r="L28" s="343">
        <f t="shared" si="14"/>
        <v>500</v>
      </c>
      <c r="M28" s="343">
        <f t="shared" si="6"/>
        <v>259</v>
      </c>
      <c r="N28" s="343">
        <f t="shared" si="7"/>
        <v>41.600000000000023</v>
      </c>
      <c r="O28" s="343">
        <f t="shared" si="13"/>
        <v>-500</v>
      </c>
      <c r="P28" s="365">
        <f t="shared" si="11"/>
        <v>259</v>
      </c>
      <c r="Q28" s="59"/>
      <c r="S28" s="221">
        <f t="shared" si="1"/>
        <v>0</v>
      </c>
    </row>
    <row r="29" spans="1:19" ht="12.75" x14ac:dyDescent="0.2">
      <c r="A29" s="1603"/>
      <c r="B29" s="1603"/>
      <c r="C29" s="1551" t="s">
        <v>185</v>
      </c>
      <c r="D29" s="1551"/>
      <c r="E29" s="350">
        <v>0</v>
      </c>
      <c r="F29" s="350">
        <v>0</v>
      </c>
      <c r="G29" s="351">
        <v>69.400000000000006</v>
      </c>
      <c r="H29" s="351">
        <v>69.400000000000006</v>
      </c>
      <c r="I29" s="350"/>
      <c r="J29" s="350"/>
      <c r="K29" s="350">
        <v>0</v>
      </c>
      <c r="L29" s="350">
        <v>0</v>
      </c>
      <c r="M29" s="350">
        <f t="shared" si="6"/>
        <v>0</v>
      </c>
      <c r="N29" s="350">
        <f t="shared" si="7"/>
        <v>-69.400000000000006</v>
      </c>
      <c r="O29" s="350">
        <f t="shared" si="13"/>
        <v>0</v>
      </c>
      <c r="P29" s="337">
        <f t="shared" si="11"/>
        <v>0</v>
      </c>
      <c r="Q29" s="59"/>
      <c r="S29" s="221">
        <f t="shared" si="1"/>
        <v>0</v>
      </c>
    </row>
    <row r="30" spans="1:19" s="102" customFormat="1" ht="48" x14ac:dyDescent="0.2">
      <c r="A30" s="1603">
        <v>11</v>
      </c>
      <c r="B30" s="1603" t="s">
        <v>293</v>
      </c>
      <c r="C30" s="554">
        <v>11010102</v>
      </c>
      <c r="D30" s="372" t="s">
        <v>294</v>
      </c>
      <c r="E30" s="338">
        <v>102.5</v>
      </c>
      <c r="F30" s="339"/>
      <c r="G30" s="352">
        <v>102.5</v>
      </c>
      <c r="H30" s="353"/>
      <c r="I30" s="354">
        <v>66</v>
      </c>
      <c r="J30" s="355"/>
      <c r="K30" s="354">
        <v>66</v>
      </c>
      <c r="L30" s="356"/>
      <c r="M30" s="342">
        <f t="shared" si="6"/>
        <v>-36.5</v>
      </c>
      <c r="N30" s="342">
        <f t="shared" si="7"/>
        <v>-36.5</v>
      </c>
      <c r="O30" s="431">
        <f t="shared" si="13"/>
        <v>0</v>
      </c>
      <c r="P30" s="430">
        <f t="shared" si="11"/>
        <v>-36.5</v>
      </c>
      <c r="Q30" s="197" t="s">
        <v>472</v>
      </c>
      <c r="S30" s="221">
        <f t="shared" si="1"/>
        <v>0</v>
      </c>
    </row>
    <row r="31" spans="1:19" s="102" customFormat="1" ht="224.25" customHeight="1" x14ac:dyDescent="0.2">
      <c r="A31" s="1603"/>
      <c r="B31" s="1603"/>
      <c r="C31" s="554">
        <v>11010103</v>
      </c>
      <c r="D31" s="372" t="s">
        <v>306</v>
      </c>
      <c r="E31" s="338">
        <v>5700</v>
      </c>
      <c r="F31" s="342">
        <v>1200</v>
      </c>
      <c r="G31" s="340">
        <v>1200</v>
      </c>
      <c r="H31" s="345">
        <v>1200</v>
      </c>
      <c r="I31" s="338">
        <f>8105+9000</f>
        <v>17105</v>
      </c>
      <c r="J31" s="342">
        <v>8105</v>
      </c>
      <c r="K31" s="338">
        <f>1825+9000+1500</f>
        <v>12325</v>
      </c>
      <c r="L31" s="342">
        <f>1825+1500</f>
        <v>3325</v>
      </c>
      <c r="M31" s="342">
        <f t="shared" si="6"/>
        <v>6625</v>
      </c>
      <c r="N31" s="342">
        <f t="shared" si="7"/>
        <v>11125</v>
      </c>
      <c r="O31" s="431">
        <f t="shared" si="13"/>
        <v>-4780</v>
      </c>
      <c r="P31" s="430">
        <f t="shared" si="11"/>
        <v>6625</v>
      </c>
      <c r="Q31" s="559" t="s">
        <v>934</v>
      </c>
      <c r="S31" s="221">
        <f t="shared" si="1"/>
        <v>0</v>
      </c>
    </row>
    <row r="32" spans="1:19" s="102" customFormat="1" ht="84" x14ac:dyDescent="0.2">
      <c r="A32" s="1603"/>
      <c r="B32" s="1603"/>
      <c r="C32" s="554">
        <v>11010103001</v>
      </c>
      <c r="D32" s="372" t="s">
        <v>310</v>
      </c>
      <c r="E32" s="338">
        <v>590.1</v>
      </c>
      <c r="F32" s="339">
        <v>590.1</v>
      </c>
      <c r="G32" s="340">
        <v>1180.2</v>
      </c>
      <c r="H32" s="341">
        <v>1180.2</v>
      </c>
      <c r="I32" s="338">
        <v>590.1</v>
      </c>
      <c r="J32" s="339">
        <v>590.1</v>
      </c>
      <c r="K32" s="338">
        <v>590.1</v>
      </c>
      <c r="L32" s="342">
        <v>590.1</v>
      </c>
      <c r="M32" s="342">
        <f t="shared" si="6"/>
        <v>0</v>
      </c>
      <c r="N32" s="342">
        <f t="shared" si="7"/>
        <v>-590.1</v>
      </c>
      <c r="O32" s="431">
        <f t="shared" si="13"/>
        <v>0</v>
      </c>
      <c r="P32" s="430">
        <f t="shared" si="11"/>
        <v>0</v>
      </c>
      <c r="Q32" s="559" t="s">
        <v>710</v>
      </c>
      <c r="S32" s="221">
        <f t="shared" si="1"/>
        <v>0</v>
      </c>
    </row>
    <row r="33" spans="1:19" s="102" customFormat="1" ht="132" x14ac:dyDescent="0.2">
      <c r="A33" s="1603"/>
      <c r="B33" s="1603"/>
      <c r="C33" s="554">
        <v>11010103002</v>
      </c>
      <c r="D33" s="372" t="s">
        <v>307</v>
      </c>
      <c r="E33" s="338">
        <v>436.1</v>
      </c>
      <c r="F33" s="339">
        <v>436.1</v>
      </c>
      <c r="G33" s="338">
        <v>436.1</v>
      </c>
      <c r="H33" s="339">
        <v>436.1</v>
      </c>
      <c r="I33" s="338">
        <v>514.9</v>
      </c>
      <c r="J33" s="339">
        <v>514.9</v>
      </c>
      <c r="K33" s="338">
        <v>424.9</v>
      </c>
      <c r="L33" s="342">
        <v>424.9</v>
      </c>
      <c r="M33" s="342">
        <f t="shared" si="6"/>
        <v>-11.200000000000045</v>
      </c>
      <c r="N33" s="342">
        <f t="shared" si="7"/>
        <v>-11.200000000000045</v>
      </c>
      <c r="O33" s="431">
        <f t="shared" si="13"/>
        <v>-90</v>
      </c>
      <c r="P33" s="430">
        <f t="shared" si="11"/>
        <v>-11.200000000000045</v>
      </c>
      <c r="Q33" s="559" t="s">
        <v>709</v>
      </c>
      <c r="S33" s="221">
        <f t="shared" si="1"/>
        <v>0</v>
      </c>
    </row>
    <row r="34" spans="1:19" s="102" customFormat="1" ht="25.5" customHeight="1" x14ac:dyDescent="0.2">
      <c r="A34" s="1603"/>
      <c r="B34" s="1603"/>
      <c r="C34" s="554">
        <v>11010109</v>
      </c>
      <c r="D34" s="372" t="s">
        <v>297</v>
      </c>
      <c r="E34" s="338">
        <v>28</v>
      </c>
      <c r="F34" s="339"/>
      <c r="G34" s="340">
        <v>28</v>
      </c>
      <c r="H34" s="341"/>
      <c r="I34" s="338">
        <v>31</v>
      </c>
      <c r="J34" s="339"/>
      <c r="K34" s="338">
        <v>31</v>
      </c>
      <c r="L34" s="342"/>
      <c r="M34" s="342">
        <f t="shared" si="6"/>
        <v>3</v>
      </c>
      <c r="N34" s="342">
        <f t="shared" si="7"/>
        <v>3</v>
      </c>
      <c r="O34" s="431">
        <f t="shared" si="13"/>
        <v>0</v>
      </c>
      <c r="P34" s="430">
        <f t="shared" si="11"/>
        <v>3</v>
      </c>
      <c r="Q34" s="559" t="s">
        <v>473</v>
      </c>
      <c r="S34" s="221">
        <f t="shared" si="1"/>
        <v>0</v>
      </c>
    </row>
    <row r="35" spans="1:19" s="102" customFormat="1" ht="36" x14ac:dyDescent="0.2">
      <c r="A35" s="1603">
        <v>11</v>
      </c>
      <c r="B35" s="1603" t="s">
        <v>293</v>
      </c>
      <c r="C35" s="554">
        <v>11010115</v>
      </c>
      <c r="D35" s="372" t="s">
        <v>304</v>
      </c>
      <c r="E35" s="338">
        <v>35</v>
      </c>
      <c r="F35" s="339"/>
      <c r="G35" s="340">
        <v>35</v>
      </c>
      <c r="H35" s="341"/>
      <c r="I35" s="338">
        <v>50</v>
      </c>
      <c r="J35" s="339"/>
      <c r="K35" s="338">
        <v>50</v>
      </c>
      <c r="L35" s="342"/>
      <c r="M35" s="342">
        <f t="shared" si="6"/>
        <v>15</v>
      </c>
      <c r="N35" s="342">
        <f t="shared" si="7"/>
        <v>15</v>
      </c>
      <c r="O35" s="431">
        <f t="shared" si="13"/>
        <v>0</v>
      </c>
      <c r="P35" s="430">
        <f t="shared" si="11"/>
        <v>15</v>
      </c>
      <c r="Q35" s="198" t="s">
        <v>474</v>
      </c>
      <c r="S35" s="221">
        <f t="shared" si="1"/>
        <v>0</v>
      </c>
    </row>
    <row r="36" spans="1:19" s="102" customFormat="1" ht="36" x14ac:dyDescent="0.2">
      <c r="A36" s="1603"/>
      <c r="B36" s="1603"/>
      <c r="C36" s="554">
        <v>11010116</v>
      </c>
      <c r="D36" s="372" t="s">
        <v>302</v>
      </c>
      <c r="E36" s="338">
        <v>100</v>
      </c>
      <c r="F36" s="339"/>
      <c r="G36" s="340">
        <v>130</v>
      </c>
      <c r="H36" s="341"/>
      <c r="I36" s="338">
        <v>143</v>
      </c>
      <c r="J36" s="339"/>
      <c r="K36" s="338">
        <v>143</v>
      </c>
      <c r="L36" s="342"/>
      <c r="M36" s="342">
        <f t="shared" si="6"/>
        <v>43</v>
      </c>
      <c r="N36" s="342">
        <f t="shared" si="7"/>
        <v>13</v>
      </c>
      <c r="O36" s="431">
        <f t="shared" si="13"/>
        <v>0</v>
      </c>
      <c r="P36" s="430">
        <f t="shared" si="11"/>
        <v>43</v>
      </c>
      <c r="Q36" s="199" t="s">
        <v>475</v>
      </c>
      <c r="S36" s="221">
        <f t="shared" si="1"/>
        <v>0</v>
      </c>
    </row>
    <row r="37" spans="1:19" s="102" customFormat="1" ht="24" x14ac:dyDescent="0.2">
      <c r="A37" s="1603"/>
      <c r="B37" s="1603"/>
      <c r="C37" s="554">
        <v>11010121</v>
      </c>
      <c r="D37" s="372" t="s">
        <v>295</v>
      </c>
      <c r="E37" s="338">
        <v>14</v>
      </c>
      <c r="F37" s="339"/>
      <c r="G37" s="352">
        <v>14</v>
      </c>
      <c r="H37" s="353"/>
      <c r="I37" s="354">
        <v>19</v>
      </c>
      <c r="J37" s="355"/>
      <c r="K37" s="354">
        <v>19</v>
      </c>
      <c r="L37" s="356"/>
      <c r="M37" s="342">
        <f t="shared" si="6"/>
        <v>5</v>
      </c>
      <c r="N37" s="342">
        <f t="shared" si="7"/>
        <v>5</v>
      </c>
      <c r="O37" s="431">
        <f t="shared" si="13"/>
        <v>0</v>
      </c>
      <c r="P37" s="430">
        <f t="shared" si="11"/>
        <v>5</v>
      </c>
      <c r="Q37" s="559" t="s">
        <v>476</v>
      </c>
      <c r="S37" s="221">
        <f t="shared" si="1"/>
        <v>0</v>
      </c>
    </row>
    <row r="38" spans="1:19" s="102" customFormat="1" ht="60" x14ac:dyDescent="0.2">
      <c r="A38" s="1603"/>
      <c r="B38" s="1603"/>
      <c r="C38" s="554">
        <v>11010124</v>
      </c>
      <c r="D38" s="372" t="s">
        <v>308</v>
      </c>
      <c r="E38" s="338">
        <v>24</v>
      </c>
      <c r="F38" s="339"/>
      <c r="G38" s="340">
        <v>24</v>
      </c>
      <c r="H38" s="341"/>
      <c r="I38" s="338">
        <v>26</v>
      </c>
      <c r="J38" s="339"/>
      <c r="K38" s="338">
        <v>26</v>
      </c>
      <c r="L38" s="342"/>
      <c r="M38" s="342">
        <f t="shared" si="6"/>
        <v>2</v>
      </c>
      <c r="N38" s="342">
        <f t="shared" si="7"/>
        <v>2</v>
      </c>
      <c r="O38" s="431">
        <f t="shared" si="13"/>
        <v>0</v>
      </c>
      <c r="P38" s="430">
        <f t="shared" si="11"/>
        <v>2</v>
      </c>
      <c r="Q38" s="566" t="s">
        <v>477</v>
      </c>
      <c r="S38" s="221">
        <f t="shared" si="1"/>
        <v>0</v>
      </c>
    </row>
    <row r="39" spans="1:19" s="102" customFormat="1" ht="36" x14ac:dyDescent="0.2">
      <c r="A39" s="1603"/>
      <c r="B39" s="1603"/>
      <c r="C39" s="554">
        <v>11010126</v>
      </c>
      <c r="D39" s="372" t="s">
        <v>299</v>
      </c>
      <c r="E39" s="338">
        <v>105</v>
      </c>
      <c r="F39" s="339"/>
      <c r="G39" s="340">
        <v>155</v>
      </c>
      <c r="H39" s="341"/>
      <c r="I39" s="338">
        <v>115</v>
      </c>
      <c r="J39" s="339"/>
      <c r="K39" s="338">
        <v>115</v>
      </c>
      <c r="L39" s="342"/>
      <c r="M39" s="342">
        <f t="shared" si="6"/>
        <v>10</v>
      </c>
      <c r="N39" s="342">
        <f t="shared" si="7"/>
        <v>-40</v>
      </c>
      <c r="O39" s="431">
        <f t="shared" si="13"/>
        <v>0</v>
      </c>
      <c r="P39" s="430">
        <f t="shared" si="11"/>
        <v>10</v>
      </c>
      <c r="Q39" s="181" t="s">
        <v>478</v>
      </c>
      <c r="S39" s="221">
        <f t="shared" si="1"/>
        <v>0</v>
      </c>
    </row>
    <row r="40" spans="1:19" s="102" customFormat="1" ht="21" customHeight="1" x14ac:dyDescent="0.2">
      <c r="A40" s="1603"/>
      <c r="B40" s="1603"/>
      <c r="C40" s="554">
        <v>11010128</v>
      </c>
      <c r="D40" s="372" t="s">
        <v>301</v>
      </c>
      <c r="E40" s="338">
        <v>64</v>
      </c>
      <c r="F40" s="339"/>
      <c r="G40" s="340">
        <v>164</v>
      </c>
      <c r="H40" s="341"/>
      <c r="I40" s="338">
        <v>79</v>
      </c>
      <c r="J40" s="339"/>
      <c r="K40" s="338">
        <v>79</v>
      </c>
      <c r="L40" s="342"/>
      <c r="M40" s="342">
        <f t="shared" si="6"/>
        <v>15</v>
      </c>
      <c r="N40" s="342">
        <f t="shared" si="7"/>
        <v>-85</v>
      </c>
      <c r="O40" s="431">
        <f t="shared" si="13"/>
        <v>0</v>
      </c>
      <c r="P40" s="430">
        <f t="shared" si="11"/>
        <v>15</v>
      </c>
      <c r="Q40" s="559" t="s">
        <v>479</v>
      </c>
      <c r="S40" s="221">
        <f t="shared" si="1"/>
        <v>0</v>
      </c>
    </row>
    <row r="41" spans="1:19" s="102" customFormat="1" ht="33.75" customHeight="1" x14ac:dyDescent="0.2">
      <c r="A41" s="1603"/>
      <c r="B41" s="1603"/>
      <c r="C41" s="554">
        <v>11010133</v>
      </c>
      <c r="D41" s="372" t="s">
        <v>780</v>
      </c>
      <c r="E41" s="338">
        <v>724.9</v>
      </c>
      <c r="F41" s="339">
        <v>724.9</v>
      </c>
      <c r="G41" s="352">
        <v>724.9</v>
      </c>
      <c r="H41" s="353">
        <v>724.9</v>
      </c>
      <c r="I41" s="354">
        <v>594</v>
      </c>
      <c r="J41" s="355">
        <v>594</v>
      </c>
      <c r="K41" s="354">
        <v>593.5</v>
      </c>
      <c r="L41" s="356"/>
      <c r="M41" s="342">
        <f t="shared" si="6"/>
        <v>-131.39999999999998</v>
      </c>
      <c r="N41" s="342">
        <f t="shared" si="7"/>
        <v>-131.39999999999998</v>
      </c>
      <c r="O41" s="431">
        <f t="shared" si="13"/>
        <v>-0.5</v>
      </c>
      <c r="P41" s="430">
        <f t="shared" si="11"/>
        <v>-131.39999999999998</v>
      </c>
      <c r="Q41" s="559" t="s">
        <v>480</v>
      </c>
      <c r="S41" s="221">
        <f t="shared" si="1"/>
        <v>0</v>
      </c>
    </row>
    <row r="42" spans="1:19" s="102" customFormat="1" ht="36" x14ac:dyDescent="0.2">
      <c r="A42" s="1603"/>
      <c r="B42" s="1603"/>
      <c r="C42" s="554">
        <v>11010134</v>
      </c>
      <c r="D42" s="372" t="s">
        <v>305</v>
      </c>
      <c r="E42" s="338">
        <v>30</v>
      </c>
      <c r="F42" s="339"/>
      <c r="G42" s="340">
        <v>30</v>
      </c>
      <c r="H42" s="341"/>
      <c r="I42" s="338">
        <v>20</v>
      </c>
      <c r="J42" s="339"/>
      <c r="K42" s="338">
        <v>20</v>
      </c>
      <c r="L42" s="342"/>
      <c r="M42" s="342">
        <f t="shared" si="6"/>
        <v>-10</v>
      </c>
      <c r="N42" s="342">
        <f t="shared" si="7"/>
        <v>-10</v>
      </c>
      <c r="O42" s="431">
        <f t="shared" si="13"/>
        <v>0</v>
      </c>
      <c r="P42" s="430">
        <f t="shared" si="11"/>
        <v>-10</v>
      </c>
      <c r="Q42" s="566" t="s">
        <v>481</v>
      </c>
      <c r="S42" s="221">
        <f t="shared" si="1"/>
        <v>0</v>
      </c>
    </row>
    <row r="43" spans="1:19" s="102" customFormat="1" ht="23.25" customHeight="1" x14ac:dyDescent="0.2">
      <c r="A43" s="1603"/>
      <c r="B43" s="1603"/>
      <c r="C43" s="554">
        <v>11010135</v>
      </c>
      <c r="D43" s="372" t="s">
        <v>300</v>
      </c>
      <c r="E43" s="338">
        <v>220</v>
      </c>
      <c r="F43" s="339"/>
      <c r="G43" s="340">
        <v>220</v>
      </c>
      <c r="H43" s="341"/>
      <c r="I43" s="338">
        <v>115</v>
      </c>
      <c r="J43" s="339"/>
      <c r="K43" s="338">
        <v>115</v>
      </c>
      <c r="L43" s="342"/>
      <c r="M43" s="342">
        <f t="shared" si="6"/>
        <v>-105</v>
      </c>
      <c r="N43" s="342">
        <f t="shared" si="7"/>
        <v>-105</v>
      </c>
      <c r="O43" s="431">
        <f t="shared" si="13"/>
        <v>0</v>
      </c>
      <c r="P43" s="430">
        <f t="shared" si="11"/>
        <v>-105</v>
      </c>
      <c r="Q43" s="566" t="s">
        <v>482</v>
      </c>
      <c r="S43" s="221">
        <f t="shared" si="1"/>
        <v>0</v>
      </c>
    </row>
    <row r="44" spans="1:19" s="102" customFormat="1" ht="48" x14ac:dyDescent="0.2">
      <c r="A44" s="1603"/>
      <c r="B44" s="1603"/>
      <c r="C44" s="554">
        <v>11010201</v>
      </c>
      <c r="D44" s="372" t="s">
        <v>309</v>
      </c>
      <c r="E44" s="338">
        <v>95</v>
      </c>
      <c r="F44" s="339"/>
      <c r="G44" s="340">
        <v>95</v>
      </c>
      <c r="H44" s="341"/>
      <c r="I44" s="338">
        <v>80</v>
      </c>
      <c r="J44" s="357"/>
      <c r="K44" s="338">
        <v>80</v>
      </c>
      <c r="L44" s="342"/>
      <c r="M44" s="342">
        <f t="shared" si="6"/>
        <v>-15</v>
      </c>
      <c r="N44" s="342">
        <f t="shared" si="7"/>
        <v>-15</v>
      </c>
      <c r="O44" s="431">
        <f t="shared" si="13"/>
        <v>0</v>
      </c>
      <c r="P44" s="430">
        <f t="shared" si="11"/>
        <v>-15</v>
      </c>
      <c r="Q44" s="197" t="s">
        <v>483</v>
      </c>
      <c r="S44" s="221">
        <f t="shared" si="1"/>
        <v>0</v>
      </c>
    </row>
    <row r="45" spans="1:19" s="102" customFormat="1" ht="60.75" customHeight="1" x14ac:dyDescent="0.2">
      <c r="A45" s="1603"/>
      <c r="B45" s="1603"/>
      <c r="C45" s="554">
        <v>11010227</v>
      </c>
      <c r="D45" s="372" t="s">
        <v>311</v>
      </c>
      <c r="E45" s="338">
        <v>401.7</v>
      </c>
      <c r="F45" s="339"/>
      <c r="G45" s="340">
        <v>541.70000000000005</v>
      </c>
      <c r="H45" s="341"/>
      <c r="I45" s="338">
        <v>400</v>
      </c>
      <c r="J45" s="339"/>
      <c r="K45" s="338">
        <v>356</v>
      </c>
      <c r="L45" s="342"/>
      <c r="M45" s="342">
        <f t="shared" si="6"/>
        <v>-45.699999999999989</v>
      </c>
      <c r="N45" s="342">
        <f t="shared" si="7"/>
        <v>-185.70000000000005</v>
      </c>
      <c r="O45" s="431">
        <f t="shared" si="13"/>
        <v>-44</v>
      </c>
      <c r="P45" s="430">
        <f t="shared" si="11"/>
        <v>-45.699999999999989</v>
      </c>
      <c r="Q45" s="200" t="s">
        <v>1271</v>
      </c>
      <c r="S45" s="221">
        <f t="shared" si="1"/>
        <v>0</v>
      </c>
    </row>
    <row r="46" spans="1:19" s="102" customFormat="1" ht="25.5" x14ac:dyDescent="0.2">
      <c r="A46" s="1603"/>
      <c r="B46" s="1603"/>
      <c r="C46" s="554">
        <v>11010229</v>
      </c>
      <c r="D46" s="372" t="s">
        <v>298</v>
      </c>
      <c r="E46" s="338">
        <v>0.8</v>
      </c>
      <c r="F46" s="339"/>
      <c r="G46" s="340">
        <v>0.8</v>
      </c>
      <c r="H46" s="341"/>
      <c r="I46" s="338">
        <v>1</v>
      </c>
      <c r="J46" s="339"/>
      <c r="K46" s="338">
        <v>1</v>
      </c>
      <c r="L46" s="342"/>
      <c r="M46" s="342">
        <f t="shared" si="6"/>
        <v>0.19999999999999996</v>
      </c>
      <c r="N46" s="342">
        <f t="shared" si="7"/>
        <v>0.19999999999999996</v>
      </c>
      <c r="O46" s="431">
        <f t="shared" si="13"/>
        <v>0</v>
      </c>
      <c r="P46" s="430">
        <f t="shared" si="11"/>
        <v>0.19999999999999996</v>
      </c>
      <c r="Q46" s="559" t="s">
        <v>484</v>
      </c>
      <c r="S46" s="221">
        <f t="shared" si="1"/>
        <v>0</v>
      </c>
    </row>
    <row r="47" spans="1:19" s="102" customFormat="1" ht="38.25" customHeight="1" x14ac:dyDescent="0.2">
      <c r="A47" s="1603"/>
      <c r="B47" s="1603"/>
      <c r="C47" s="554">
        <v>11010301</v>
      </c>
      <c r="D47" s="372" t="s">
        <v>296</v>
      </c>
      <c r="E47" s="338">
        <v>41</v>
      </c>
      <c r="F47" s="339"/>
      <c r="G47" s="340">
        <v>41</v>
      </c>
      <c r="H47" s="341"/>
      <c r="I47" s="338">
        <v>41</v>
      </c>
      <c r="J47" s="339"/>
      <c r="K47" s="338">
        <v>41</v>
      </c>
      <c r="L47" s="342"/>
      <c r="M47" s="342">
        <f t="shared" si="6"/>
        <v>0</v>
      </c>
      <c r="N47" s="342">
        <f t="shared" si="7"/>
        <v>0</v>
      </c>
      <c r="O47" s="431">
        <f t="shared" si="13"/>
        <v>0</v>
      </c>
      <c r="P47" s="430">
        <f t="shared" si="11"/>
        <v>0</v>
      </c>
      <c r="Q47" s="566" t="s">
        <v>485</v>
      </c>
      <c r="S47" s="221">
        <f t="shared" si="1"/>
        <v>0</v>
      </c>
    </row>
    <row r="48" spans="1:19" s="102" customFormat="1" ht="35.25" customHeight="1" x14ac:dyDescent="0.2">
      <c r="A48" s="1603"/>
      <c r="B48" s="1603"/>
      <c r="C48" s="554">
        <v>11010302</v>
      </c>
      <c r="D48" s="372" t="s">
        <v>303</v>
      </c>
      <c r="E48" s="338">
        <v>21</v>
      </c>
      <c r="F48" s="339"/>
      <c r="G48" s="340">
        <v>21</v>
      </c>
      <c r="H48" s="341"/>
      <c r="I48" s="338">
        <v>16</v>
      </c>
      <c r="J48" s="339"/>
      <c r="K48" s="338">
        <v>16</v>
      </c>
      <c r="L48" s="342"/>
      <c r="M48" s="342">
        <f t="shared" si="6"/>
        <v>-5</v>
      </c>
      <c r="N48" s="342">
        <f t="shared" si="7"/>
        <v>-5</v>
      </c>
      <c r="O48" s="431">
        <f t="shared" si="13"/>
        <v>0</v>
      </c>
      <c r="P48" s="430">
        <f t="shared" si="11"/>
        <v>-5</v>
      </c>
      <c r="Q48" s="566" t="s">
        <v>485</v>
      </c>
      <c r="S48" s="221">
        <f t="shared" si="1"/>
        <v>0</v>
      </c>
    </row>
    <row r="49" spans="1:25" s="102" customFormat="1" ht="36" x14ac:dyDescent="0.2">
      <c r="A49" s="1603"/>
      <c r="B49" s="1603"/>
      <c r="C49" s="554">
        <v>11020209</v>
      </c>
      <c r="D49" s="372" t="s">
        <v>312</v>
      </c>
      <c r="E49" s="338">
        <v>60</v>
      </c>
      <c r="F49" s="339"/>
      <c r="G49" s="340">
        <v>60</v>
      </c>
      <c r="H49" s="341"/>
      <c r="I49" s="338">
        <v>40</v>
      </c>
      <c r="J49" s="339"/>
      <c r="K49" s="338">
        <v>40</v>
      </c>
      <c r="L49" s="342"/>
      <c r="M49" s="342">
        <f t="shared" si="6"/>
        <v>-20</v>
      </c>
      <c r="N49" s="342">
        <f t="shared" si="7"/>
        <v>-20</v>
      </c>
      <c r="O49" s="431">
        <f t="shared" si="13"/>
        <v>0</v>
      </c>
      <c r="P49" s="430">
        <f t="shared" si="11"/>
        <v>-20</v>
      </c>
      <c r="Q49" s="566" t="s">
        <v>486</v>
      </c>
      <c r="S49" s="221">
        <f t="shared" si="1"/>
        <v>0</v>
      </c>
    </row>
    <row r="50" spans="1:25" s="102" customFormat="1" ht="12.75" x14ac:dyDescent="0.2">
      <c r="A50" s="1603"/>
      <c r="B50" s="1603"/>
      <c r="C50" s="554"/>
      <c r="D50" s="510" t="s">
        <v>185</v>
      </c>
      <c r="E50" s="338">
        <v>724.9</v>
      </c>
      <c r="F50" s="339">
        <v>724.9</v>
      </c>
      <c r="G50" s="340"/>
      <c r="H50" s="341"/>
      <c r="I50" s="338">
        <v>594</v>
      </c>
      <c r="J50" s="339">
        <v>594</v>
      </c>
      <c r="K50" s="338"/>
      <c r="L50" s="342"/>
      <c r="M50" s="342">
        <f t="shared" si="6"/>
        <v>-724.9</v>
      </c>
      <c r="N50" s="342">
        <f t="shared" si="7"/>
        <v>0</v>
      </c>
      <c r="O50" s="431">
        <f t="shared" si="13"/>
        <v>-594</v>
      </c>
      <c r="P50" s="430">
        <f t="shared" si="11"/>
        <v>-724.9</v>
      </c>
      <c r="Q50" s="561"/>
      <c r="S50" s="221">
        <f t="shared" si="1"/>
        <v>0</v>
      </c>
    </row>
    <row r="51" spans="1:25" s="102" customFormat="1" ht="12.75" x14ac:dyDescent="0.2">
      <c r="A51" s="1603"/>
      <c r="B51" s="1603"/>
      <c r="C51" s="1556" t="s">
        <v>194</v>
      </c>
      <c r="D51" s="1556"/>
      <c r="E51" s="343">
        <f>SUM(E30:E49)</f>
        <v>8793.1</v>
      </c>
      <c r="F51" s="343">
        <f t="shared" ref="F51:H51" si="15">SUM(F30:F49)</f>
        <v>2951.1</v>
      </c>
      <c r="G51" s="343">
        <f t="shared" si="15"/>
        <v>5203.2</v>
      </c>
      <c r="H51" s="343">
        <f t="shared" si="15"/>
        <v>3541.2</v>
      </c>
      <c r="I51" s="343">
        <f>SUM(I30:I49)</f>
        <v>20046</v>
      </c>
      <c r="J51" s="343">
        <f t="shared" ref="J51:N51" si="16">SUM(J30:J49)</f>
        <v>9804</v>
      </c>
      <c r="K51" s="343">
        <f t="shared" si="16"/>
        <v>15131.5</v>
      </c>
      <c r="L51" s="343">
        <f t="shared" si="16"/>
        <v>4340</v>
      </c>
      <c r="M51" s="343">
        <f t="shared" si="16"/>
        <v>6338.4000000000005</v>
      </c>
      <c r="N51" s="343">
        <f t="shared" si="16"/>
        <v>9928.2999999999993</v>
      </c>
      <c r="O51" s="343">
        <f t="shared" si="13"/>
        <v>-4914.5</v>
      </c>
      <c r="P51" s="365">
        <f t="shared" si="11"/>
        <v>6338.4</v>
      </c>
      <c r="Q51" s="59"/>
      <c r="S51" s="221">
        <f t="shared" si="1"/>
        <v>0</v>
      </c>
    </row>
    <row r="52" spans="1:25" s="102" customFormat="1" ht="10.5" customHeight="1" x14ac:dyDescent="0.2">
      <c r="A52" s="1603"/>
      <c r="B52" s="1603"/>
      <c r="C52" s="1604" t="s">
        <v>185</v>
      </c>
      <c r="D52" s="1604"/>
      <c r="E52" s="580">
        <f>E50</f>
        <v>724.9</v>
      </c>
      <c r="F52" s="580">
        <f>F50</f>
        <v>724.9</v>
      </c>
      <c r="G52" s="580">
        <v>745.1</v>
      </c>
      <c r="H52" s="580">
        <v>724.9</v>
      </c>
      <c r="I52" s="580">
        <f t="shared" ref="I52:O52" si="17">I50</f>
        <v>594</v>
      </c>
      <c r="J52" s="580">
        <f t="shared" si="17"/>
        <v>594</v>
      </c>
      <c r="K52" s="580">
        <f>+K41</f>
        <v>593.5</v>
      </c>
      <c r="L52" s="580">
        <f t="shared" si="17"/>
        <v>0</v>
      </c>
      <c r="M52" s="580">
        <f t="shared" si="17"/>
        <v>-724.9</v>
      </c>
      <c r="N52" s="580">
        <f t="shared" si="17"/>
        <v>0</v>
      </c>
      <c r="O52" s="580">
        <f t="shared" si="17"/>
        <v>-594</v>
      </c>
      <c r="P52" s="365">
        <f t="shared" si="11"/>
        <v>-131.39999999999998</v>
      </c>
      <c r="Q52" s="59"/>
      <c r="S52" s="221"/>
    </row>
    <row r="53" spans="1:25" ht="36.75" customHeight="1" x14ac:dyDescent="0.2">
      <c r="A53" s="1594">
        <v>14</v>
      </c>
      <c r="B53" s="1594" t="s">
        <v>313</v>
      </c>
      <c r="C53" s="1595">
        <v>14010102</v>
      </c>
      <c r="D53" s="371" t="s">
        <v>856</v>
      </c>
      <c r="E53" s="329">
        <v>12500</v>
      </c>
      <c r="F53" s="334">
        <v>10500</v>
      </c>
      <c r="G53" s="331">
        <v>15020</v>
      </c>
      <c r="H53" s="335">
        <v>12020</v>
      </c>
      <c r="I53" s="329">
        <v>36100</v>
      </c>
      <c r="J53" s="334">
        <v>31100</v>
      </c>
      <c r="K53" s="329">
        <v>19541.900000000001</v>
      </c>
      <c r="L53" s="334">
        <v>14541.9</v>
      </c>
      <c r="M53" s="330">
        <f t="shared" ref="M53:M145" si="18">K53-E53</f>
        <v>7041.9000000000015</v>
      </c>
      <c r="N53" s="330">
        <f t="shared" ref="N53:N145" si="19">K53-G53</f>
        <v>4521.9000000000015</v>
      </c>
      <c r="O53" s="430">
        <f t="shared" ref="O53:O94" si="20">K53-I53</f>
        <v>-16558.099999999999</v>
      </c>
      <c r="P53" s="430">
        <f t="shared" si="11"/>
        <v>7041.9000000000015</v>
      </c>
      <c r="Q53" s="1598" t="s">
        <v>1270</v>
      </c>
      <c r="S53" s="221"/>
    </row>
    <row r="54" spans="1:25" ht="12.75" customHeight="1" x14ac:dyDescent="0.2">
      <c r="A54" s="1594"/>
      <c r="B54" s="1594"/>
      <c r="C54" s="1599"/>
      <c r="D54" s="511" t="s">
        <v>857</v>
      </c>
      <c r="E54" s="519">
        <v>2600</v>
      </c>
      <c r="F54" s="334">
        <v>2600</v>
      </c>
      <c r="G54" s="331">
        <v>3100</v>
      </c>
      <c r="H54" s="334">
        <v>2500</v>
      </c>
      <c r="I54" s="519">
        <v>6400</v>
      </c>
      <c r="J54" s="334">
        <v>5400</v>
      </c>
      <c r="K54" s="519">
        <v>3500</v>
      </c>
      <c r="L54" s="334">
        <v>2500</v>
      </c>
      <c r="M54" s="330"/>
      <c r="N54" s="330"/>
      <c r="O54" s="430">
        <f t="shared" si="20"/>
        <v>-2900</v>
      </c>
      <c r="P54" s="430">
        <f t="shared" si="11"/>
        <v>900</v>
      </c>
      <c r="Q54" s="1602"/>
      <c r="S54" s="221"/>
      <c r="U54" s="505"/>
      <c r="V54" s="505"/>
    </row>
    <row r="55" spans="1:25" ht="12.75" customHeight="1" x14ac:dyDescent="0.2">
      <c r="A55" s="1594"/>
      <c r="B55" s="1594"/>
      <c r="C55" s="1599"/>
      <c r="D55" s="511" t="s">
        <v>858</v>
      </c>
      <c r="E55" s="519">
        <v>2500</v>
      </c>
      <c r="F55" s="334">
        <v>2500</v>
      </c>
      <c r="G55" s="331">
        <v>3100</v>
      </c>
      <c r="H55" s="334">
        <v>2300</v>
      </c>
      <c r="I55" s="519">
        <v>9200</v>
      </c>
      <c r="J55" s="334">
        <v>8200</v>
      </c>
      <c r="K55" s="519">
        <v>4816.8999999999996</v>
      </c>
      <c r="L55" s="334">
        <v>3816.9</v>
      </c>
      <c r="M55" s="330"/>
      <c r="N55" s="330"/>
      <c r="O55" s="430">
        <v>50</v>
      </c>
      <c r="P55" s="430">
        <f t="shared" si="11"/>
        <v>2316.8999999999996</v>
      </c>
      <c r="Q55" s="1602"/>
      <c r="S55" s="221"/>
      <c r="U55" s="505"/>
      <c r="V55" s="505"/>
    </row>
    <row r="56" spans="1:25" ht="12.75" customHeight="1" x14ac:dyDescent="0.2">
      <c r="A56" s="1594"/>
      <c r="B56" s="1594"/>
      <c r="C56" s="1599"/>
      <c r="D56" s="511" t="s">
        <v>859</v>
      </c>
      <c r="E56" s="519">
        <v>2030</v>
      </c>
      <c r="F56" s="334">
        <v>2030</v>
      </c>
      <c r="G56" s="331">
        <v>2630</v>
      </c>
      <c r="H56" s="334">
        <v>2030</v>
      </c>
      <c r="I56" s="519">
        <v>5010</v>
      </c>
      <c r="J56" s="334">
        <v>4010</v>
      </c>
      <c r="K56" s="519">
        <v>2805</v>
      </c>
      <c r="L56" s="334">
        <v>1805</v>
      </c>
      <c r="M56" s="330"/>
      <c r="N56" s="330"/>
      <c r="O56" s="430">
        <f t="shared" si="20"/>
        <v>-2205</v>
      </c>
      <c r="P56" s="430">
        <f t="shared" si="11"/>
        <v>775</v>
      </c>
      <c r="Q56" s="1602"/>
      <c r="S56" s="221"/>
      <c r="U56" s="505"/>
      <c r="V56" s="505"/>
    </row>
    <row r="57" spans="1:25" ht="12.75" customHeight="1" x14ac:dyDescent="0.2">
      <c r="A57" s="1594"/>
      <c r="B57" s="1594"/>
      <c r="C57" s="1599"/>
      <c r="D57" s="511" t="s">
        <v>860</v>
      </c>
      <c r="E57" s="519">
        <v>2300</v>
      </c>
      <c r="F57" s="334">
        <v>1300</v>
      </c>
      <c r="G57" s="331">
        <v>2720</v>
      </c>
      <c r="H57" s="334">
        <v>2220</v>
      </c>
      <c r="I57" s="519">
        <v>7400</v>
      </c>
      <c r="J57" s="334">
        <v>6400</v>
      </c>
      <c r="K57" s="519">
        <v>3900</v>
      </c>
      <c r="L57" s="334">
        <v>2900</v>
      </c>
      <c r="M57" s="330"/>
      <c r="N57" s="330"/>
      <c r="O57" s="430">
        <f t="shared" si="20"/>
        <v>-3500</v>
      </c>
      <c r="P57" s="430">
        <f t="shared" si="11"/>
        <v>1600</v>
      </c>
      <c r="Q57" s="1602"/>
      <c r="S57" s="221"/>
      <c r="U57" s="505"/>
      <c r="V57" s="505"/>
    </row>
    <row r="58" spans="1:25" ht="12.75" customHeight="1" x14ac:dyDescent="0.2">
      <c r="A58" s="1594"/>
      <c r="B58" s="1594"/>
      <c r="C58" s="1599"/>
      <c r="D58" s="511" t="s">
        <v>861</v>
      </c>
      <c r="E58" s="519">
        <v>2300</v>
      </c>
      <c r="F58" s="334">
        <v>1300</v>
      </c>
      <c r="G58" s="331">
        <v>2700</v>
      </c>
      <c r="H58" s="334">
        <v>2200</v>
      </c>
      <c r="I58" s="519">
        <v>7200</v>
      </c>
      <c r="J58" s="334">
        <v>6200</v>
      </c>
      <c r="K58" s="519">
        <v>3800</v>
      </c>
      <c r="L58" s="334">
        <v>2800</v>
      </c>
      <c r="M58" s="330"/>
      <c r="N58" s="330"/>
      <c r="O58" s="430">
        <f t="shared" si="20"/>
        <v>-3400</v>
      </c>
      <c r="P58" s="430">
        <f t="shared" si="11"/>
        <v>1500</v>
      </c>
      <c r="Q58" s="1602"/>
      <c r="S58" s="221"/>
      <c r="U58" s="505"/>
      <c r="V58" s="505"/>
    </row>
    <row r="59" spans="1:25" ht="12.75" customHeight="1" x14ac:dyDescent="0.2">
      <c r="A59" s="1594"/>
      <c r="B59" s="1594"/>
      <c r="C59" s="1599"/>
      <c r="D59" s="511" t="s">
        <v>862</v>
      </c>
      <c r="E59" s="519">
        <v>90</v>
      </c>
      <c r="F59" s="334">
        <v>90</v>
      </c>
      <c r="G59" s="519">
        <v>90</v>
      </c>
      <c r="H59" s="334">
        <v>90</v>
      </c>
      <c r="I59" s="519">
        <v>90</v>
      </c>
      <c r="J59" s="334">
        <v>90</v>
      </c>
      <c r="K59" s="519">
        <v>80</v>
      </c>
      <c r="L59" s="334">
        <v>80</v>
      </c>
      <c r="M59" s="330"/>
      <c r="N59" s="330"/>
      <c r="O59" s="430">
        <f t="shared" si="20"/>
        <v>-10</v>
      </c>
      <c r="P59" s="430">
        <f t="shared" si="11"/>
        <v>-10</v>
      </c>
      <c r="Q59" s="1602"/>
      <c r="S59" s="221"/>
      <c r="U59" s="505"/>
      <c r="V59" s="505"/>
    </row>
    <row r="60" spans="1:25" ht="12.75" customHeight="1" x14ac:dyDescent="0.2">
      <c r="A60" s="1594"/>
      <c r="B60" s="1594"/>
      <c r="C60" s="1599"/>
      <c r="D60" s="511" t="s">
        <v>863</v>
      </c>
      <c r="E60" s="519">
        <v>140</v>
      </c>
      <c r="F60" s="334">
        <v>140</v>
      </c>
      <c r="G60" s="519">
        <v>140</v>
      </c>
      <c r="H60" s="334">
        <v>140</v>
      </c>
      <c r="I60" s="519">
        <v>200</v>
      </c>
      <c r="J60" s="334">
        <v>200</v>
      </c>
      <c r="K60" s="519">
        <v>90</v>
      </c>
      <c r="L60" s="334">
        <v>90</v>
      </c>
      <c r="M60" s="330"/>
      <c r="N60" s="330"/>
      <c r="O60" s="430">
        <f t="shared" si="20"/>
        <v>-110</v>
      </c>
      <c r="P60" s="430">
        <f t="shared" si="11"/>
        <v>-50</v>
      </c>
      <c r="Q60" s="1602"/>
      <c r="S60" s="221"/>
    </row>
    <row r="61" spans="1:25" ht="25.5" x14ac:dyDescent="0.2">
      <c r="A61" s="1594"/>
      <c r="B61" s="1594"/>
      <c r="C61" s="1599"/>
      <c r="D61" s="511" t="s">
        <v>864</v>
      </c>
      <c r="E61" s="519">
        <v>30</v>
      </c>
      <c r="F61" s="334">
        <v>30</v>
      </c>
      <c r="G61" s="519">
        <v>30</v>
      </c>
      <c r="H61" s="334">
        <v>30</v>
      </c>
      <c r="I61" s="519">
        <v>40</v>
      </c>
      <c r="J61" s="334">
        <v>40</v>
      </c>
      <c r="K61" s="519">
        <v>40</v>
      </c>
      <c r="L61" s="334">
        <v>40</v>
      </c>
      <c r="M61" s="330"/>
      <c r="N61" s="330"/>
      <c r="O61" s="430">
        <f t="shared" si="20"/>
        <v>0</v>
      </c>
      <c r="P61" s="430">
        <f t="shared" si="11"/>
        <v>10</v>
      </c>
      <c r="Q61" s="1602"/>
      <c r="S61" s="221"/>
      <c r="Y61" s="221"/>
    </row>
    <row r="62" spans="1:25" ht="12.75" customHeight="1" x14ac:dyDescent="0.2">
      <c r="A62" s="1594"/>
      <c r="B62" s="1594"/>
      <c r="C62" s="1599"/>
      <c r="D62" s="511" t="s">
        <v>865</v>
      </c>
      <c r="E62" s="519">
        <v>250</v>
      </c>
      <c r="F62" s="334">
        <v>250</v>
      </c>
      <c r="G62" s="519">
        <v>250</v>
      </c>
      <c r="H62" s="334">
        <v>250</v>
      </c>
      <c r="I62" s="519">
        <v>300</v>
      </c>
      <c r="J62" s="334">
        <v>300</v>
      </c>
      <c r="K62" s="519">
        <v>250</v>
      </c>
      <c r="L62" s="334">
        <v>250</v>
      </c>
      <c r="M62" s="330"/>
      <c r="N62" s="330"/>
      <c r="O62" s="430">
        <f t="shared" si="20"/>
        <v>-50</v>
      </c>
      <c r="P62" s="430">
        <f t="shared" si="11"/>
        <v>0</v>
      </c>
      <c r="Q62" s="1602"/>
      <c r="S62" s="221"/>
    </row>
    <row r="63" spans="1:25" ht="12.75" customHeight="1" x14ac:dyDescent="0.2">
      <c r="A63" s="1594"/>
      <c r="B63" s="1594"/>
      <c r="C63" s="1599"/>
      <c r="D63" s="511" t="s">
        <v>866</v>
      </c>
      <c r="E63" s="519">
        <v>20</v>
      </c>
      <c r="F63" s="334">
        <v>20</v>
      </c>
      <c r="G63" s="519">
        <v>20</v>
      </c>
      <c r="H63" s="334">
        <v>20</v>
      </c>
      <c r="I63" s="519">
        <v>20</v>
      </c>
      <c r="J63" s="334">
        <v>20</v>
      </c>
      <c r="K63" s="519">
        <v>20</v>
      </c>
      <c r="L63" s="334">
        <v>20</v>
      </c>
      <c r="M63" s="330"/>
      <c r="N63" s="330"/>
      <c r="O63" s="430">
        <f t="shared" si="20"/>
        <v>0</v>
      </c>
      <c r="P63" s="430">
        <f t="shared" si="11"/>
        <v>0</v>
      </c>
      <c r="Q63" s="1602"/>
      <c r="S63" s="221"/>
    </row>
    <row r="64" spans="1:25" ht="33.75" customHeight="1" x14ac:dyDescent="0.2">
      <c r="A64" s="1594"/>
      <c r="B64" s="1594"/>
      <c r="C64" s="1599"/>
      <c r="D64" s="511" t="s">
        <v>867</v>
      </c>
      <c r="E64" s="519">
        <v>40</v>
      </c>
      <c r="F64" s="334">
        <v>40</v>
      </c>
      <c r="G64" s="519">
        <v>40</v>
      </c>
      <c r="H64" s="334">
        <v>40</v>
      </c>
      <c r="I64" s="519">
        <v>40</v>
      </c>
      <c r="J64" s="334">
        <v>40</v>
      </c>
      <c r="K64" s="519">
        <v>40</v>
      </c>
      <c r="L64" s="334">
        <v>40</v>
      </c>
      <c r="M64" s="330"/>
      <c r="N64" s="330"/>
      <c r="O64" s="430">
        <f t="shared" si="20"/>
        <v>0</v>
      </c>
      <c r="P64" s="430">
        <f t="shared" si="11"/>
        <v>0</v>
      </c>
      <c r="Q64" s="1602"/>
      <c r="S64" s="221"/>
    </row>
    <row r="65" spans="1:19" ht="12.75" customHeight="1" x14ac:dyDescent="0.2">
      <c r="A65" s="1594"/>
      <c r="B65" s="1594"/>
      <c r="C65" s="1599"/>
      <c r="D65" s="511" t="s">
        <v>868</v>
      </c>
      <c r="E65" s="519">
        <v>200</v>
      </c>
      <c r="F65" s="334">
        <v>200</v>
      </c>
      <c r="G65" s="519">
        <v>200</v>
      </c>
      <c r="H65" s="334">
        <v>200</v>
      </c>
      <c r="I65" s="519">
        <v>200</v>
      </c>
      <c r="J65" s="334">
        <v>200</v>
      </c>
      <c r="K65" s="519">
        <v>200</v>
      </c>
      <c r="L65" s="334">
        <v>200</v>
      </c>
      <c r="M65" s="330"/>
      <c r="N65" s="330"/>
      <c r="O65" s="430">
        <f t="shared" si="20"/>
        <v>0</v>
      </c>
      <c r="P65" s="430">
        <f t="shared" si="11"/>
        <v>0</v>
      </c>
      <c r="Q65" s="1602"/>
      <c r="S65" s="221"/>
    </row>
    <row r="66" spans="1:19" ht="10.5" customHeight="1" x14ac:dyDescent="0.2">
      <c r="A66" s="1594"/>
      <c r="B66" s="1594"/>
      <c r="C66" s="62"/>
      <c r="D66" s="358" t="s">
        <v>185</v>
      </c>
      <c r="E66" s="329">
        <v>7404.2</v>
      </c>
      <c r="F66" s="334">
        <v>5404.2</v>
      </c>
      <c r="G66" s="331">
        <v>6087.1</v>
      </c>
      <c r="H66" s="335">
        <v>3087.1</v>
      </c>
      <c r="I66" s="329">
        <v>5000</v>
      </c>
      <c r="J66" s="334"/>
      <c r="K66" s="329">
        <v>5000</v>
      </c>
      <c r="L66" s="334"/>
      <c r="M66" s="334"/>
      <c r="N66" s="334"/>
      <c r="O66" s="430">
        <f t="shared" si="20"/>
        <v>0</v>
      </c>
      <c r="P66" s="430">
        <f t="shared" si="11"/>
        <v>-2404.1999999999998</v>
      </c>
      <c r="Q66" s="611"/>
      <c r="S66" s="221"/>
    </row>
    <row r="67" spans="1:19" ht="23.25" customHeight="1" x14ac:dyDescent="0.2">
      <c r="A67" s="1594"/>
      <c r="B67" s="1594"/>
      <c r="C67" s="1595">
        <v>14010104</v>
      </c>
      <c r="D67" s="371" t="s">
        <v>869</v>
      </c>
      <c r="E67" s="329">
        <v>740</v>
      </c>
      <c r="F67" s="334">
        <v>740</v>
      </c>
      <c r="G67" s="331">
        <v>1532</v>
      </c>
      <c r="H67" s="335">
        <v>1032</v>
      </c>
      <c r="I67" s="329">
        <v>1195</v>
      </c>
      <c r="J67" s="334">
        <v>1195</v>
      </c>
      <c r="K67" s="329">
        <v>800</v>
      </c>
      <c r="L67" s="334">
        <v>800</v>
      </c>
      <c r="M67" s="330">
        <f t="shared" si="18"/>
        <v>60</v>
      </c>
      <c r="N67" s="330">
        <f t="shared" si="19"/>
        <v>-732</v>
      </c>
      <c r="O67" s="430">
        <f t="shared" si="20"/>
        <v>-395</v>
      </c>
      <c r="P67" s="430">
        <f t="shared" si="11"/>
        <v>60</v>
      </c>
      <c r="Q67" s="1600" t="s">
        <v>314</v>
      </c>
      <c r="S67" s="221"/>
    </row>
    <row r="68" spans="1:19" ht="12.75" customHeight="1" x14ac:dyDescent="0.2">
      <c r="A68" s="1594"/>
      <c r="B68" s="1594"/>
      <c r="C68" s="1599"/>
      <c r="D68" s="512" t="s">
        <v>870</v>
      </c>
      <c r="E68" s="329">
        <v>50</v>
      </c>
      <c r="F68" s="334">
        <v>50</v>
      </c>
      <c r="G68" s="331">
        <v>90</v>
      </c>
      <c r="H68" s="335">
        <v>90</v>
      </c>
      <c r="I68" s="519">
        <v>140</v>
      </c>
      <c r="J68" s="334">
        <v>140</v>
      </c>
      <c r="K68" s="519">
        <v>100</v>
      </c>
      <c r="L68" s="334">
        <v>100</v>
      </c>
      <c r="M68" s="330"/>
      <c r="N68" s="330"/>
      <c r="O68" s="430">
        <f t="shared" si="20"/>
        <v>-40</v>
      </c>
      <c r="P68" s="430">
        <f t="shared" si="11"/>
        <v>50</v>
      </c>
      <c r="Q68" s="1601"/>
      <c r="S68" s="221"/>
    </row>
    <row r="69" spans="1:19" ht="30.75" customHeight="1" x14ac:dyDescent="0.2">
      <c r="A69" s="1594"/>
      <c r="B69" s="1594"/>
      <c r="C69" s="1599"/>
      <c r="D69" s="512" t="s">
        <v>871</v>
      </c>
      <c r="E69" s="329">
        <v>690</v>
      </c>
      <c r="F69" s="334">
        <v>690</v>
      </c>
      <c r="G69" s="331">
        <v>1442</v>
      </c>
      <c r="H69" s="335">
        <v>942</v>
      </c>
      <c r="I69" s="519">
        <v>1055</v>
      </c>
      <c r="J69" s="334">
        <v>1055</v>
      </c>
      <c r="K69" s="519">
        <v>700</v>
      </c>
      <c r="L69" s="334">
        <v>700</v>
      </c>
      <c r="M69" s="330"/>
      <c r="N69" s="330"/>
      <c r="O69" s="430">
        <f t="shared" si="20"/>
        <v>-355</v>
      </c>
      <c r="P69" s="430">
        <f t="shared" si="11"/>
        <v>10</v>
      </c>
      <c r="Q69" s="1601"/>
      <c r="S69" s="221"/>
    </row>
    <row r="70" spans="1:19" ht="10.5" customHeight="1" x14ac:dyDescent="0.2">
      <c r="A70" s="1594"/>
      <c r="B70" s="1594"/>
      <c r="C70" s="62"/>
      <c r="D70" s="358" t="s">
        <v>185</v>
      </c>
      <c r="E70" s="329">
        <v>500</v>
      </c>
      <c r="F70" s="334">
        <v>500</v>
      </c>
      <c r="G70" s="331">
        <v>833.4</v>
      </c>
      <c r="H70" s="335">
        <v>333.4</v>
      </c>
      <c r="I70" s="329">
        <v>300</v>
      </c>
      <c r="J70" s="334">
        <v>300</v>
      </c>
      <c r="K70" s="329">
        <v>300</v>
      </c>
      <c r="L70" s="334">
        <v>300</v>
      </c>
      <c r="M70" s="334"/>
      <c r="N70" s="334"/>
      <c r="O70" s="430">
        <f t="shared" si="20"/>
        <v>0</v>
      </c>
      <c r="P70" s="430">
        <f t="shared" si="11"/>
        <v>-200</v>
      </c>
      <c r="Q70" s="610"/>
      <c r="S70" s="221">
        <f t="shared" si="1"/>
        <v>0</v>
      </c>
    </row>
    <row r="71" spans="1:19" ht="33.75" customHeight="1" x14ac:dyDescent="0.2">
      <c r="A71" s="1594"/>
      <c r="B71" s="1594"/>
      <c r="C71" s="1595">
        <v>14010106</v>
      </c>
      <c r="D71" s="371" t="s">
        <v>872</v>
      </c>
      <c r="E71" s="329">
        <v>310</v>
      </c>
      <c r="F71" s="334">
        <v>310</v>
      </c>
      <c r="G71" s="331">
        <v>675.4</v>
      </c>
      <c r="H71" s="335">
        <v>675.4</v>
      </c>
      <c r="I71" s="329">
        <v>645</v>
      </c>
      <c r="J71" s="334">
        <v>645</v>
      </c>
      <c r="K71" s="329">
        <v>500</v>
      </c>
      <c r="L71" s="334">
        <v>500</v>
      </c>
      <c r="M71" s="330">
        <f t="shared" ref="M71:M97" si="21">K71-E71</f>
        <v>190</v>
      </c>
      <c r="N71" s="330">
        <f t="shared" ref="N71:N97" si="22">K71-G71</f>
        <v>-175.39999999999998</v>
      </c>
      <c r="O71" s="430">
        <f t="shared" si="20"/>
        <v>-145</v>
      </c>
      <c r="P71" s="430">
        <f t="shared" si="11"/>
        <v>190</v>
      </c>
      <c r="Q71" s="1600" t="s">
        <v>315</v>
      </c>
      <c r="S71" s="221">
        <f t="shared" si="1"/>
        <v>0</v>
      </c>
    </row>
    <row r="72" spans="1:19" ht="34.5" customHeight="1" x14ac:dyDescent="0.2">
      <c r="A72" s="1594"/>
      <c r="B72" s="1594"/>
      <c r="C72" s="1599"/>
      <c r="D72" s="513" t="s">
        <v>873</v>
      </c>
      <c r="E72" s="329">
        <v>280</v>
      </c>
      <c r="F72" s="334">
        <v>280</v>
      </c>
      <c r="G72" s="331">
        <v>645.4</v>
      </c>
      <c r="H72" s="335">
        <v>645.4</v>
      </c>
      <c r="I72" s="329">
        <v>615</v>
      </c>
      <c r="J72" s="334">
        <v>615</v>
      </c>
      <c r="K72" s="329">
        <v>470</v>
      </c>
      <c r="L72" s="334">
        <v>470</v>
      </c>
      <c r="M72" s="330"/>
      <c r="N72" s="330"/>
      <c r="O72" s="430">
        <f t="shared" si="20"/>
        <v>-145</v>
      </c>
      <c r="P72" s="430">
        <f t="shared" si="11"/>
        <v>190</v>
      </c>
      <c r="Q72" s="1601"/>
      <c r="S72" s="221"/>
    </row>
    <row r="73" spans="1:19" ht="38.25" customHeight="1" x14ac:dyDescent="0.2">
      <c r="A73" s="1594"/>
      <c r="B73" s="1594"/>
      <c r="C73" s="1599"/>
      <c r="D73" s="513" t="s">
        <v>874</v>
      </c>
      <c r="E73" s="329">
        <v>30</v>
      </c>
      <c r="F73" s="334">
        <v>30</v>
      </c>
      <c r="G73" s="519">
        <v>30</v>
      </c>
      <c r="H73" s="334">
        <v>30</v>
      </c>
      <c r="I73" s="519">
        <v>30</v>
      </c>
      <c r="J73" s="334">
        <v>30</v>
      </c>
      <c r="K73" s="519">
        <v>30</v>
      </c>
      <c r="L73" s="334">
        <v>30</v>
      </c>
      <c r="M73" s="330"/>
      <c r="N73" s="330"/>
      <c r="O73" s="430"/>
      <c r="P73" s="430"/>
      <c r="Q73" s="1601"/>
      <c r="S73" s="221"/>
    </row>
    <row r="74" spans="1:19" ht="12.75" x14ac:dyDescent="0.2">
      <c r="A74" s="1594"/>
      <c r="B74" s="1594"/>
      <c r="C74" s="62"/>
      <c r="D74" s="358" t="s">
        <v>185</v>
      </c>
      <c r="E74" s="329">
        <v>97</v>
      </c>
      <c r="F74" s="334">
        <v>97</v>
      </c>
      <c r="G74" s="331">
        <v>97</v>
      </c>
      <c r="H74" s="335">
        <v>97</v>
      </c>
      <c r="I74" s="329">
        <v>170</v>
      </c>
      <c r="J74" s="334">
        <v>170</v>
      </c>
      <c r="K74" s="329">
        <v>170</v>
      </c>
      <c r="L74" s="334">
        <v>170</v>
      </c>
      <c r="M74" s="334"/>
      <c r="N74" s="334"/>
      <c r="O74" s="430">
        <f t="shared" si="20"/>
        <v>0</v>
      </c>
      <c r="P74" s="430">
        <f t="shared" si="11"/>
        <v>73</v>
      </c>
      <c r="Q74" s="610"/>
      <c r="S74" s="221">
        <f t="shared" si="1"/>
        <v>0</v>
      </c>
    </row>
    <row r="75" spans="1:19" ht="31.5" customHeight="1" x14ac:dyDescent="0.2">
      <c r="A75" s="1594"/>
      <c r="B75" s="1594"/>
      <c r="C75" s="1595">
        <v>14010108</v>
      </c>
      <c r="D75" s="371" t="s">
        <v>875</v>
      </c>
      <c r="E75" s="329">
        <v>1600</v>
      </c>
      <c r="F75" s="334">
        <v>1600</v>
      </c>
      <c r="G75" s="331">
        <v>1450</v>
      </c>
      <c r="H75" s="335">
        <v>1450</v>
      </c>
      <c r="I75" s="329">
        <v>2174</v>
      </c>
      <c r="J75" s="334">
        <v>2174</v>
      </c>
      <c r="K75" s="329">
        <v>1500</v>
      </c>
      <c r="L75" s="334">
        <v>1500</v>
      </c>
      <c r="M75" s="330">
        <f t="shared" si="21"/>
        <v>-100</v>
      </c>
      <c r="N75" s="330">
        <f t="shared" si="22"/>
        <v>50</v>
      </c>
      <c r="O75" s="430">
        <f t="shared" si="20"/>
        <v>-674</v>
      </c>
      <c r="P75" s="430">
        <f t="shared" si="11"/>
        <v>-100</v>
      </c>
      <c r="Q75" s="1598" t="s">
        <v>316</v>
      </c>
      <c r="S75" s="221">
        <f t="shared" si="1"/>
        <v>0</v>
      </c>
    </row>
    <row r="76" spans="1:19" ht="25.5" x14ac:dyDescent="0.2">
      <c r="A76" s="1594"/>
      <c r="B76" s="1594"/>
      <c r="C76" s="1599"/>
      <c r="D76" s="513" t="s">
        <v>876</v>
      </c>
      <c r="E76" s="519">
        <v>190</v>
      </c>
      <c r="F76" s="334">
        <v>190</v>
      </c>
      <c r="G76" s="519">
        <v>190</v>
      </c>
      <c r="H76" s="334">
        <v>190</v>
      </c>
      <c r="I76" s="519">
        <v>160</v>
      </c>
      <c r="J76" s="334">
        <v>160</v>
      </c>
      <c r="K76" s="519">
        <v>120</v>
      </c>
      <c r="L76" s="334">
        <v>120</v>
      </c>
      <c r="M76" s="330"/>
      <c r="N76" s="330"/>
      <c r="O76" s="430">
        <f t="shared" si="20"/>
        <v>-40</v>
      </c>
      <c r="P76" s="430">
        <f t="shared" si="11"/>
        <v>-70</v>
      </c>
      <c r="Q76" s="1602"/>
      <c r="S76" s="221"/>
    </row>
    <row r="77" spans="1:19" ht="12.75" x14ac:dyDescent="0.2">
      <c r="A77" s="1594"/>
      <c r="B77" s="1594"/>
      <c r="C77" s="1599"/>
      <c r="D77" s="513" t="s">
        <v>877</v>
      </c>
      <c r="E77" s="519">
        <v>370</v>
      </c>
      <c r="F77" s="334">
        <v>370</v>
      </c>
      <c r="G77" s="519">
        <v>370</v>
      </c>
      <c r="H77" s="334">
        <v>370</v>
      </c>
      <c r="I77" s="519">
        <v>800</v>
      </c>
      <c r="J77" s="334">
        <v>800</v>
      </c>
      <c r="K77" s="519">
        <v>420</v>
      </c>
      <c r="L77" s="334">
        <v>420</v>
      </c>
      <c r="M77" s="330"/>
      <c r="N77" s="330"/>
      <c r="O77" s="430">
        <f t="shared" si="20"/>
        <v>-380</v>
      </c>
      <c r="P77" s="430">
        <f t="shared" si="11"/>
        <v>50</v>
      </c>
      <c r="Q77" s="1602"/>
      <c r="S77" s="221"/>
    </row>
    <row r="78" spans="1:19" ht="22.5" customHeight="1" x14ac:dyDescent="0.2">
      <c r="A78" s="1594"/>
      <c r="B78" s="1594"/>
      <c r="C78" s="1599"/>
      <c r="D78" s="513" t="s">
        <v>878</v>
      </c>
      <c r="E78" s="519">
        <v>30</v>
      </c>
      <c r="F78" s="334">
        <v>30</v>
      </c>
      <c r="G78" s="519">
        <v>70</v>
      </c>
      <c r="H78" s="334">
        <v>70</v>
      </c>
      <c r="I78" s="519">
        <v>70</v>
      </c>
      <c r="J78" s="334">
        <v>70</v>
      </c>
      <c r="K78" s="519">
        <v>70</v>
      </c>
      <c r="L78" s="334">
        <v>70</v>
      </c>
      <c r="M78" s="330"/>
      <c r="N78" s="330"/>
      <c r="O78" s="430">
        <f t="shared" si="20"/>
        <v>0</v>
      </c>
      <c r="P78" s="430">
        <f t="shared" si="11"/>
        <v>40</v>
      </c>
      <c r="Q78" s="1602"/>
      <c r="S78" s="221"/>
    </row>
    <row r="79" spans="1:19" ht="26.25" customHeight="1" x14ac:dyDescent="0.2">
      <c r="A79" s="1594"/>
      <c r="B79" s="1594"/>
      <c r="C79" s="1599"/>
      <c r="D79" s="513" t="s">
        <v>879</v>
      </c>
      <c r="E79" s="519">
        <v>370</v>
      </c>
      <c r="F79" s="334">
        <v>370</v>
      </c>
      <c r="G79" s="519">
        <v>370</v>
      </c>
      <c r="H79" s="334">
        <v>370</v>
      </c>
      <c r="I79" s="519">
        <v>464</v>
      </c>
      <c r="J79" s="334">
        <v>464</v>
      </c>
      <c r="K79" s="519">
        <v>440</v>
      </c>
      <c r="L79" s="334">
        <v>440</v>
      </c>
      <c r="M79" s="330"/>
      <c r="N79" s="330"/>
      <c r="O79" s="430">
        <f t="shared" si="20"/>
        <v>-24</v>
      </c>
      <c r="P79" s="430">
        <f t="shared" si="11"/>
        <v>70</v>
      </c>
      <c r="Q79" s="1602"/>
      <c r="S79" s="221"/>
    </row>
    <row r="80" spans="1:19" ht="12.75" customHeight="1" x14ac:dyDescent="0.2">
      <c r="A80" s="1594"/>
      <c r="B80" s="1594"/>
      <c r="C80" s="1599"/>
      <c r="D80" s="513" t="s">
        <v>880</v>
      </c>
      <c r="E80" s="519">
        <v>640</v>
      </c>
      <c r="F80" s="334">
        <v>640</v>
      </c>
      <c r="G80" s="519">
        <v>450</v>
      </c>
      <c r="H80" s="334">
        <v>450</v>
      </c>
      <c r="I80" s="519">
        <v>680</v>
      </c>
      <c r="J80" s="334">
        <v>680</v>
      </c>
      <c r="K80" s="519">
        <v>450</v>
      </c>
      <c r="L80" s="334">
        <v>450</v>
      </c>
      <c r="M80" s="330"/>
      <c r="N80" s="330"/>
      <c r="O80" s="430">
        <f t="shared" si="20"/>
        <v>-230</v>
      </c>
      <c r="P80" s="430">
        <f t="shared" si="11"/>
        <v>-190</v>
      </c>
      <c r="Q80" s="1602"/>
      <c r="S80" s="221"/>
    </row>
    <row r="81" spans="1:19" ht="10.5" customHeight="1" x14ac:dyDescent="0.2">
      <c r="A81" s="1594"/>
      <c r="B81" s="1594"/>
      <c r="C81" s="62"/>
      <c r="D81" s="358" t="s">
        <v>185</v>
      </c>
      <c r="E81" s="329">
        <v>640.6</v>
      </c>
      <c r="F81" s="334">
        <v>640.6</v>
      </c>
      <c r="G81" s="331">
        <v>640.70000000000005</v>
      </c>
      <c r="H81" s="335">
        <v>640.70000000000005</v>
      </c>
      <c r="I81" s="329"/>
      <c r="J81" s="334"/>
      <c r="K81" s="329"/>
      <c r="L81" s="334"/>
      <c r="M81" s="334"/>
      <c r="N81" s="334"/>
      <c r="O81" s="430">
        <f t="shared" si="20"/>
        <v>0</v>
      </c>
      <c r="P81" s="430">
        <f t="shared" si="11"/>
        <v>-640.6</v>
      </c>
      <c r="Q81" s="611"/>
      <c r="S81" s="221">
        <f t="shared" si="1"/>
        <v>0</v>
      </c>
    </row>
    <row r="82" spans="1:19" ht="16.5" customHeight="1" x14ac:dyDescent="0.2">
      <c r="A82" s="1594"/>
      <c r="B82" s="1594"/>
      <c r="C82" s="1595">
        <v>14010109</v>
      </c>
      <c r="D82" s="371" t="s">
        <v>881</v>
      </c>
      <c r="E82" s="329">
        <v>900</v>
      </c>
      <c r="F82" s="334">
        <v>900</v>
      </c>
      <c r="G82" s="331">
        <v>1313</v>
      </c>
      <c r="H82" s="335">
        <v>1313</v>
      </c>
      <c r="I82" s="329">
        <v>1735</v>
      </c>
      <c r="J82" s="334">
        <v>1735</v>
      </c>
      <c r="K82" s="329">
        <v>2000</v>
      </c>
      <c r="L82" s="334">
        <v>2000</v>
      </c>
      <c r="M82" s="334">
        <f t="shared" si="21"/>
        <v>1100</v>
      </c>
      <c r="N82" s="334">
        <f t="shared" si="22"/>
        <v>687</v>
      </c>
      <c r="O82" s="430">
        <f t="shared" si="20"/>
        <v>265</v>
      </c>
      <c r="P82" s="430">
        <f t="shared" si="11"/>
        <v>1100</v>
      </c>
      <c r="Q82" s="1600" t="s">
        <v>695</v>
      </c>
      <c r="S82" s="221">
        <f t="shared" si="1"/>
        <v>0</v>
      </c>
    </row>
    <row r="83" spans="1:19" ht="21.75" customHeight="1" x14ac:dyDescent="0.2">
      <c r="A83" s="1594"/>
      <c r="B83" s="1594"/>
      <c r="C83" s="1599"/>
      <c r="D83" s="513" t="s">
        <v>882</v>
      </c>
      <c r="E83" s="519">
        <v>20</v>
      </c>
      <c r="F83" s="334">
        <v>20</v>
      </c>
      <c r="G83" s="519">
        <v>20</v>
      </c>
      <c r="H83" s="334">
        <v>20</v>
      </c>
      <c r="I83" s="519">
        <v>30</v>
      </c>
      <c r="J83" s="334">
        <v>30</v>
      </c>
      <c r="K83" s="519">
        <v>30</v>
      </c>
      <c r="L83" s="334">
        <v>30</v>
      </c>
      <c r="M83" s="334"/>
      <c r="N83" s="334"/>
      <c r="O83" s="430">
        <f t="shared" si="20"/>
        <v>0</v>
      </c>
      <c r="P83" s="430">
        <f t="shared" si="11"/>
        <v>10</v>
      </c>
      <c r="Q83" s="1601"/>
      <c r="S83" s="221"/>
    </row>
    <row r="84" spans="1:19" ht="11.25" customHeight="1" x14ac:dyDescent="0.2">
      <c r="A84" s="1594"/>
      <c r="B84" s="1594"/>
      <c r="C84" s="1599"/>
      <c r="D84" s="513" t="s">
        <v>883</v>
      </c>
      <c r="E84" s="519">
        <v>120</v>
      </c>
      <c r="F84" s="334">
        <v>120</v>
      </c>
      <c r="G84" s="519">
        <v>180</v>
      </c>
      <c r="H84" s="334">
        <v>180</v>
      </c>
      <c r="I84" s="519">
        <v>190</v>
      </c>
      <c r="J84" s="334">
        <v>190</v>
      </c>
      <c r="K84" s="519">
        <v>190</v>
      </c>
      <c r="L84" s="334">
        <v>190</v>
      </c>
      <c r="M84" s="334"/>
      <c r="N84" s="334"/>
      <c r="O84" s="430">
        <f t="shared" si="20"/>
        <v>0</v>
      </c>
      <c r="P84" s="430">
        <f t="shared" si="11"/>
        <v>70</v>
      </c>
      <c r="Q84" s="1601"/>
      <c r="S84" s="221"/>
    </row>
    <row r="85" spans="1:19" ht="12.75" x14ac:dyDescent="0.2">
      <c r="A85" s="1594"/>
      <c r="B85" s="1594"/>
      <c r="C85" s="1599"/>
      <c r="D85" s="513" t="s">
        <v>884</v>
      </c>
      <c r="E85" s="519">
        <v>105.2</v>
      </c>
      <c r="F85" s="334">
        <v>105.2</v>
      </c>
      <c r="G85" s="519">
        <v>195.2</v>
      </c>
      <c r="H85" s="334">
        <v>195.2</v>
      </c>
      <c r="I85" s="519">
        <v>225.2</v>
      </c>
      <c r="J85" s="334">
        <v>225.2</v>
      </c>
      <c r="K85" s="519">
        <v>225.2</v>
      </c>
      <c r="L85" s="334">
        <v>225.2</v>
      </c>
      <c r="M85" s="334"/>
      <c r="N85" s="334"/>
      <c r="O85" s="430">
        <f t="shared" si="20"/>
        <v>0</v>
      </c>
      <c r="P85" s="430">
        <f t="shared" si="11"/>
        <v>119.99999999999999</v>
      </c>
      <c r="Q85" s="1601"/>
      <c r="S85" s="221"/>
    </row>
    <row r="86" spans="1:19" ht="12.75" x14ac:dyDescent="0.2">
      <c r="A86" s="1594"/>
      <c r="B86" s="1594"/>
      <c r="C86" s="1599"/>
      <c r="D86" s="513" t="s">
        <v>885</v>
      </c>
      <c r="E86" s="519">
        <v>220</v>
      </c>
      <c r="F86" s="334">
        <v>220</v>
      </c>
      <c r="G86" s="519">
        <v>300</v>
      </c>
      <c r="H86" s="334">
        <v>300</v>
      </c>
      <c r="I86" s="519">
        <v>210</v>
      </c>
      <c r="J86" s="334">
        <v>210</v>
      </c>
      <c r="K86" s="519">
        <v>210</v>
      </c>
      <c r="L86" s="334">
        <v>210</v>
      </c>
      <c r="M86" s="334"/>
      <c r="N86" s="334"/>
      <c r="O86" s="430">
        <f t="shared" si="20"/>
        <v>0</v>
      </c>
      <c r="P86" s="430">
        <f t="shared" si="11"/>
        <v>-10</v>
      </c>
      <c r="Q86" s="1601"/>
      <c r="S86" s="221"/>
    </row>
    <row r="87" spans="1:19" ht="9.75" customHeight="1" x14ac:dyDescent="0.2">
      <c r="A87" s="1594"/>
      <c r="B87" s="1594"/>
      <c r="C87" s="1599"/>
      <c r="D87" s="513" t="s">
        <v>886</v>
      </c>
      <c r="E87" s="519">
        <v>71</v>
      </c>
      <c r="F87" s="334">
        <v>71</v>
      </c>
      <c r="G87" s="519">
        <v>111</v>
      </c>
      <c r="H87" s="334">
        <v>111</v>
      </c>
      <c r="I87" s="519">
        <v>91</v>
      </c>
      <c r="J87" s="334">
        <v>91</v>
      </c>
      <c r="K87" s="519">
        <v>91</v>
      </c>
      <c r="L87" s="334">
        <v>91</v>
      </c>
      <c r="M87" s="334"/>
      <c r="N87" s="334"/>
      <c r="O87" s="430">
        <f t="shared" si="20"/>
        <v>0</v>
      </c>
      <c r="P87" s="430">
        <f t="shared" si="11"/>
        <v>20</v>
      </c>
      <c r="Q87" s="1601"/>
      <c r="S87" s="221"/>
    </row>
    <row r="88" spans="1:19" ht="11.25" customHeight="1" x14ac:dyDescent="0.2">
      <c r="A88" s="1594"/>
      <c r="B88" s="1594"/>
      <c r="C88" s="1599"/>
      <c r="D88" s="513" t="s">
        <v>887</v>
      </c>
      <c r="E88" s="519">
        <v>93</v>
      </c>
      <c r="F88" s="334">
        <v>93</v>
      </c>
      <c r="G88" s="519">
        <v>93</v>
      </c>
      <c r="H88" s="334">
        <v>93</v>
      </c>
      <c r="I88" s="519">
        <v>53</v>
      </c>
      <c r="J88" s="334">
        <v>53</v>
      </c>
      <c r="K88" s="519">
        <v>53</v>
      </c>
      <c r="L88" s="334">
        <v>53</v>
      </c>
      <c r="M88" s="334"/>
      <c r="N88" s="334"/>
      <c r="O88" s="430">
        <f t="shared" si="20"/>
        <v>0</v>
      </c>
      <c r="P88" s="430">
        <f t="shared" si="11"/>
        <v>-40</v>
      </c>
      <c r="Q88" s="1601"/>
      <c r="S88" s="221"/>
    </row>
    <row r="89" spans="1:19" ht="12.75" x14ac:dyDescent="0.2">
      <c r="A89" s="1594"/>
      <c r="B89" s="1594"/>
      <c r="C89" s="1599"/>
      <c r="D89" s="513" t="s">
        <v>888</v>
      </c>
      <c r="E89" s="519">
        <v>197</v>
      </c>
      <c r="F89" s="334">
        <v>197</v>
      </c>
      <c r="G89" s="519">
        <v>257</v>
      </c>
      <c r="H89" s="334">
        <v>257</v>
      </c>
      <c r="I89" s="519">
        <v>250</v>
      </c>
      <c r="J89" s="334">
        <v>250</v>
      </c>
      <c r="K89" s="519">
        <v>250</v>
      </c>
      <c r="L89" s="334">
        <v>250</v>
      </c>
      <c r="M89" s="334"/>
      <c r="N89" s="334"/>
      <c r="O89" s="430">
        <f t="shared" si="20"/>
        <v>0</v>
      </c>
      <c r="P89" s="430">
        <f t="shared" si="11"/>
        <v>53</v>
      </c>
      <c r="Q89" s="1601"/>
      <c r="S89" s="221"/>
    </row>
    <row r="90" spans="1:19" ht="12.75" x14ac:dyDescent="0.2">
      <c r="A90" s="1594"/>
      <c r="B90" s="1594"/>
      <c r="C90" s="1599"/>
      <c r="D90" s="513" t="s">
        <v>889</v>
      </c>
      <c r="E90" s="519">
        <v>30.5</v>
      </c>
      <c r="F90" s="334">
        <v>30.5</v>
      </c>
      <c r="G90" s="519">
        <v>35.5</v>
      </c>
      <c r="H90" s="334">
        <v>35.5</v>
      </c>
      <c r="I90" s="519">
        <v>40.5</v>
      </c>
      <c r="J90" s="334">
        <v>40.5</v>
      </c>
      <c r="K90" s="519">
        <v>40.5</v>
      </c>
      <c r="L90" s="334">
        <v>40.5</v>
      </c>
      <c r="M90" s="334"/>
      <c r="N90" s="334"/>
      <c r="O90" s="430">
        <f t="shared" si="20"/>
        <v>0</v>
      </c>
      <c r="P90" s="430">
        <f t="shared" si="11"/>
        <v>10</v>
      </c>
      <c r="Q90" s="1601"/>
      <c r="S90" s="221"/>
    </row>
    <row r="91" spans="1:19" ht="12.75" x14ac:dyDescent="0.2">
      <c r="A91" s="1594"/>
      <c r="B91" s="1594"/>
      <c r="C91" s="1599"/>
      <c r="D91" s="514" t="s">
        <v>890</v>
      </c>
      <c r="E91" s="519">
        <v>25</v>
      </c>
      <c r="F91" s="334">
        <v>25</v>
      </c>
      <c r="G91" s="519">
        <v>25</v>
      </c>
      <c r="H91" s="334">
        <v>25</v>
      </c>
      <c r="I91" s="519">
        <v>30</v>
      </c>
      <c r="J91" s="334">
        <v>30</v>
      </c>
      <c r="K91" s="519">
        <v>30</v>
      </c>
      <c r="L91" s="334">
        <v>30</v>
      </c>
      <c r="M91" s="334"/>
      <c r="N91" s="334"/>
      <c r="O91" s="430">
        <f t="shared" si="20"/>
        <v>0</v>
      </c>
      <c r="P91" s="430">
        <f t="shared" si="11"/>
        <v>5</v>
      </c>
      <c r="Q91" s="1601"/>
      <c r="S91" s="221"/>
    </row>
    <row r="92" spans="1:19" ht="24" customHeight="1" x14ac:dyDescent="0.2">
      <c r="A92" s="1594"/>
      <c r="B92" s="1594"/>
      <c r="C92" s="1599"/>
      <c r="D92" s="513" t="s">
        <v>891</v>
      </c>
      <c r="E92" s="519">
        <v>18.3</v>
      </c>
      <c r="F92" s="334">
        <v>18.3</v>
      </c>
      <c r="G92" s="519">
        <v>18.3</v>
      </c>
      <c r="H92" s="334">
        <v>18.3</v>
      </c>
      <c r="I92" s="519">
        <v>100</v>
      </c>
      <c r="J92" s="334">
        <v>100</v>
      </c>
      <c r="K92" s="519">
        <v>100</v>
      </c>
      <c r="L92" s="334">
        <v>100</v>
      </c>
      <c r="M92" s="334"/>
      <c r="N92" s="334"/>
      <c r="O92" s="430">
        <f t="shared" si="20"/>
        <v>0</v>
      </c>
      <c r="P92" s="430">
        <f t="shared" si="11"/>
        <v>81.7</v>
      </c>
      <c r="Q92" s="1601"/>
      <c r="S92" s="221"/>
    </row>
    <row r="93" spans="1:19" ht="12.75" x14ac:dyDescent="0.2">
      <c r="A93" s="1594"/>
      <c r="B93" s="1594"/>
      <c r="C93" s="1599"/>
      <c r="D93" s="514" t="s">
        <v>892</v>
      </c>
      <c r="E93" s="329"/>
      <c r="F93" s="334"/>
      <c r="G93" s="520">
        <v>78</v>
      </c>
      <c r="H93" s="335">
        <v>78</v>
      </c>
      <c r="I93" s="520">
        <v>515.29999999999995</v>
      </c>
      <c r="J93" s="335">
        <v>515.29999999999995</v>
      </c>
      <c r="K93" s="520">
        <v>780.3</v>
      </c>
      <c r="L93" s="335">
        <v>780.3</v>
      </c>
      <c r="M93" s="334"/>
      <c r="N93" s="334"/>
      <c r="O93" s="430">
        <f t="shared" si="20"/>
        <v>265</v>
      </c>
      <c r="P93" s="430">
        <f t="shared" si="11"/>
        <v>780.3</v>
      </c>
      <c r="Q93" s="1601"/>
      <c r="S93" s="221"/>
    </row>
    <row r="94" spans="1:19" ht="11.25" customHeight="1" x14ac:dyDescent="0.2">
      <c r="A94" s="1594"/>
      <c r="B94" s="1594"/>
      <c r="C94" s="62"/>
      <c r="D94" s="358" t="s">
        <v>185</v>
      </c>
      <c r="E94" s="329">
        <v>196</v>
      </c>
      <c r="F94" s="334">
        <v>196</v>
      </c>
      <c r="G94" s="331">
        <v>196</v>
      </c>
      <c r="H94" s="335">
        <v>196</v>
      </c>
      <c r="I94" s="329">
        <v>490</v>
      </c>
      <c r="J94" s="334">
        <v>490</v>
      </c>
      <c r="K94" s="329">
        <v>490</v>
      </c>
      <c r="L94" s="334">
        <v>490</v>
      </c>
      <c r="M94" s="334"/>
      <c r="N94" s="334"/>
      <c r="O94" s="430">
        <f t="shared" si="20"/>
        <v>0</v>
      </c>
      <c r="P94" s="430">
        <f t="shared" si="11"/>
        <v>294</v>
      </c>
      <c r="Q94" s="610"/>
      <c r="S94" s="221">
        <f t="shared" si="1"/>
        <v>0</v>
      </c>
    </row>
    <row r="95" spans="1:19" ht="72" customHeight="1" x14ac:dyDescent="0.2">
      <c r="A95" s="1594">
        <v>14</v>
      </c>
      <c r="B95" s="1596" t="s">
        <v>313</v>
      </c>
      <c r="C95" s="62">
        <v>14010111</v>
      </c>
      <c r="D95" s="371" t="s">
        <v>317</v>
      </c>
      <c r="E95" s="329">
        <v>37</v>
      </c>
      <c r="F95" s="334">
        <v>37</v>
      </c>
      <c r="G95" s="331">
        <v>37</v>
      </c>
      <c r="H95" s="335">
        <v>37</v>
      </c>
      <c r="I95" s="329"/>
      <c r="J95" s="334"/>
      <c r="K95" s="329"/>
      <c r="L95" s="334"/>
      <c r="M95" s="330">
        <f t="shared" si="21"/>
        <v>-37</v>
      </c>
      <c r="N95" s="330">
        <f t="shared" si="22"/>
        <v>-37</v>
      </c>
      <c r="O95" s="430"/>
      <c r="P95" s="430">
        <f t="shared" si="11"/>
        <v>-37</v>
      </c>
      <c r="Q95" s="610" t="s">
        <v>708</v>
      </c>
      <c r="S95" s="221">
        <f t="shared" si="1"/>
        <v>0</v>
      </c>
    </row>
    <row r="96" spans="1:19" ht="12.75" x14ac:dyDescent="0.2">
      <c r="A96" s="1594"/>
      <c r="B96" s="1596"/>
      <c r="C96" s="62"/>
      <c r="D96" s="358" t="s">
        <v>185</v>
      </c>
      <c r="E96" s="329">
        <v>3.5</v>
      </c>
      <c r="F96" s="334">
        <v>3.5</v>
      </c>
      <c r="G96" s="331">
        <v>3.5</v>
      </c>
      <c r="H96" s="335">
        <v>3.5</v>
      </c>
      <c r="I96" s="329"/>
      <c r="J96" s="334"/>
      <c r="K96" s="329"/>
      <c r="L96" s="334"/>
      <c r="M96" s="334"/>
      <c r="N96" s="334"/>
      <c r="O96" s="430"/>
      <c r="P96" s="430">
        <f t="shared" si="11"/>
        <v>-3.5</v>
      </c>
      <c r="Q96" s="610"/>
      <c r="S96" s="221">
        <f t="shared" si="1"/>
        <v>0</v>
      </c>
    </row>
    <row r="97" spans="1:19" ht="105.75" customHeight="1" x14ac:dyDescent="0.2">
      <c r="A97" s="1594"/>
      <c r="B97" s="1596"/>
      <c r="C97" s="1595">
        <v>14010112</v>
      </c>
      <c r="D97" s="371" t="s">
        <v>893</v>
      </c>
      <c r="E97" s="329">
        <v>6300</v>
      </c>
      <c r="F97" s="334">
        <v>5800</v>
      </c>
      <c r="G97" s="331">
        <v>9420</v>
      </c>
      <c r="H97" s="335">
        <v>8920</v>
      </c>
      <c r="I97" s="329">
        <v>7723.2</v>
      </c>
      <c r="J97" s="334">
        <v>7723.2</v>
      </c>
      <c r="K97" s="329">
        <v>7000</v>
      </c>
      <c r="L97" s="334">
        <v>7000</v>
      </c>
      <c r="M97" s="330">
        <f t="shared" si="21"/>
        <v>700</v>
      </c>
      <c r="N97" s="330">
        <f t="shared" si="22"/>
        <v>-2420</v>
      </c>
      <c r="O97" s="430">
        <f t="shared" ref="O97:O149" si="23">K97-I97</f>
        <v>-723.19999999999982</v>
      </c>
      <c r="P97" s="430">
        <f t="shared" si="11"/>
        <v>700</v>
      </c>
      <c r="Q97" s="1598" t="s">
        <v>720</v>
      </c>
      <c r="S97" s="221">
        <f t="shared" si="1"/>
        <v>0</v>
      </c>
    </row>
    <row r="98" spans="1:19" ht="39" customHeight="1" x14ac:dyDescent="0.2">
      <c r="A98" s="1594"/>
      <c r="B98" s="1596"/>
      <c r="C98" s="1599"/>
      <c r="D98" s="511" t="s">
        <v>894</v>
      </c>
      <c r="E98" s="329">
        <v>3400</v>
      </c>
      <c r="F98" s="334">
        <v>2900</v>
      </c>
      <c r="G98" s="331">
        <v>5700</v>
      </c>
      <c r="H98" s="335">
        <v>5200</v>
      </c>
      <c r="I98" s="519">
        <v>3300</v>
      </c>
      <c r="J98" s="334">
        <v>3300</v>
      </c>
      <c r="K98" s="519">
        <v>3300</v>
      </c>
      <c r="L98" s="334">
        <v>3300</v>
      </c>
      <c r="M98" s="330"/>
      <c r="N98" s="330"/>
      <c r="O98" s="430">
        <f t="shared" si="23"/>
        <v>0</v>
      </c>
      <c r="P98" s="430">
        <f t="shared" si="11"/>
        <v>-100</v>
      </c>
      <c r="Q98" s="1602"/>
      <c r="S98" s="221"/>
    </row>
    <row r="99" spans="1:19" ht="35.25" customHeight="1" x14ac:dyDescent="0.2">
      <c r="A99" s="1594"/>
      <c r="B99" s="1596"/>
      <c r="C99" s="1599"/>
      <c r="D99" s="511" t="s">
        <v>895</v>
      </c>
      <c r="E99" s="329">
        <v>2900</v>
      </c>
      <c r="F99" s="334">
        <v>2900</v>
      </c>
      <c r="G99" s="331">
        <v>3720</v>
      </c>
      <c r="H99" s="335">
        <v>3720</v>
      </c>
      <c r="I99" s="519">
        <v>4423.2</v>
      </c>
      <c r="J99" s="334">
        <v>4423.2</v>
      </c>
      <c r="K99" s="519">
        <v>3700</v>
      </c>
      <c r="L99" s="334">
        <v>3700</v>
      </c>
      <c r="M99" s="330"/>
      <c r="N99" s="330"/>
      <c r="O99" s="430">
        <f t="shared" si="23"/>
        <v>-723.19999999999982</v>
      </c>
      <c r="P99" s="430">
        <f t="shared" si="11"/>
        <v>800</v>
      </c>
      <c r="Q99" s="1602"/>
      <c r="S99" s="221"/>
    </row>
    <row r="100" spans="1:19" ht="12.75" x14ac:dyDescent="0.2">
      <c r="A100" s="1594"/>
      <c r="B100" s="1596"/>
      <c r="C100" s="62"/>
      <c r="D100" s="358" t="s">
        <v>185</v>
      </c>
      <c r="E100" s="329">
        <v>4295.2</v>
      </c>
      <c r="F100" s="334">
        <v>3795.2</v>
      </c>
      <c r="G100" s="331">
        <v>4295.3999999999996</v>
      </c>
      <c r="H100" s="335">
        <v>3795.4</v>
      </c>
      <c r="I100" s="329">
        <v>400</v>
      </c>
      <c r="J100" s="334">
        <v>400</v>
      </c>
      <c r="K100" s="329">
        <v>400</v>
      </c>
      <c r="L100" s="334">
        <v>400</v>
      </c>
      <c r="M100" s="334"/>
      <c r="N100" s="334"/>
      <c r="O100" s="430">
        <f t="shared" si="23"/>
        <v>0</v>
      </c>
      <c r="P100" s="430">
        <f t="shared" si="11"/>
        <v>-3895.2</v>
      </c>
      <c r="Q100" s="611"/>
      <c r="S100" s="221">
        <f t="shared" si="1"/>
        <v>0</v>
      </c>
    </row>
    <row r="101" spans="1:19" ht="96" x14ac:dyDescent="0.2">
      <c r="A101" s="1594"/>
      <c r="B101" s="1596"/>
      <c r="C101" s="608">
        <v>14010114</v>
      </c>
      <c r="D101" s="371" t="s">
        <v>318</v>
      </c>
      <c r="E101" s="329">
        <v>230</v>
      </c>
      <c r="F101" s="334">
        <v>230</v>
      </c>
      <c r="G101" s="331">
        <v>380</v>
      </c>
      <c r="H101" s="335">
        <v>380</v>
      </c>
      <c r="I101" s="329">
        <v>310</v>
      </c>
      <c r="J101" s="334">
        <v>310</v>
      </c>
      <c r="K101" s="329">
        <v>220</v>
      </c>
      <c r="L101" s="334">
        <v>220</v>
      </c>
      <c r="M101" s="330">
        <f t="shared" si="18"/>
        <v>-10</v>
      </c>
      <c r="N101" s="330">
        <f t="shared" si="19"/>
        <v>-160</v>
      </c>
      <c r="O101" s="430">
        <f t="shared" si="23"/>
        <v>-90</v>
      </c>
      <c r="P101" s="430">
        <f t="shared" si="11"/>
        <v>-10</v>
      </c>
      <c r="Q101" s="611" t="s">
        <v>689</v>
      </c>
      <c r="S101" s="221">
        <f t="shared" si="1"/>
        <v>0</v>
      </c>
    </row>
    <row r="102" spans="1:19" ht="12.75" x14ac:dyDescent="0.2">
      <c r="A102" s="1594"/>
      <c r="B102" s="1596"/>
      <c r="C102" s="62"/>
      <c r="D102" s="358" t="s">
        <v>185</v>
      </c>
      <c r="E102" s="329">
        <v>230</v>
      </c>
      <c r="F102" s="334">
        <v>230</v>
      </c>
      <c r="G102" s="331">
        <v>239.7</v>
      </c>
      <c r="H102" s="335">
        <v>239.7</v>
      </c>
      <c r="I102" s="329">
        <v>50</v>
      </c>
      <c r="J102" s="334">
        <v>50</v>
      </c>
      <c r="K102" s="329">
        <v>50</v>
      </c>
      <c r="L102" s="334">
        <v>50</v>
      </c>
      <c r="M102" s="334"/>
      <c r="N102" s="334"/>
      <c r="O102" s="430"/>
      <c r="P102" s="430">
        <f t="shared" si="11"/>
        <v>-180</v>
      </c>
      <c r="Q102" s="611"/>
      <c r="S102" s="221">
        <f t="shared" si="1"/>
        <v>0</v>
      </c>
    </row>
    <row r="103" spans="1:19" ht="48" x14ac:dyDescent="0.2">
      <c r="A103" s="1594"/>
      <c r="B103" s="1596"/>
      <c r="C103" s="608">
        <v>14010121</v>
      </c>
      <c r="D103" s="371" t="s">
        <v>319</v>
      </c>
      <c r="E103" s="329">
        <v>400</v>
      </c>
      <c r="F103" s="334">
        <v>400</v>
      </c>
      <c r="G103" s="331">
        <v>412</v>
      </c>
      <c r="H103" s="335">
        <v>412</v>
      </c>
      <c r="I103" s="329">
        <v>650</v>
      </c>
      <c r="J103" s="334">
        <v>650</v>
      </c>
      <c r="K103" s="329">
        <v>1440</v>
      </c>
      <c r="L103" s="334">
        <v>1440</v>
      </c>
      <c r="M103" s="334">
        <f t="shared" si="18"/>
        <v>1040</v>
      </c>
      <c r="N103" s="334">
        <f t="shared" si="19"/>
        <v>1028</v>
      </c>
      <c r="O103" s="430">
        <f t="shared" si="23"/>
        <v>790</v>
      </c>
      <c r="P103" s="430">
        <f t="shared" si="11"/>
        <v>1040</v>
      </c>
      <c r="Q103" s="610" t="s">
        <v>665</v>
      </c>
      <c r="S103" s="221">
        <f t="shared" si="1"/>
        <v>0</v>
      </c>
    </row>
    <row r="104" spans="1:19" ht="12.75" x14ac:dyDescent="0.2">
      <c r="A104" s="1594"/>
      <c r="B104" s="1596"/>
      <c r="C104" s="62"/>
      <c r="D104" s="358" t="s">
        <v>185</v>
      </c>
      <c r="E104" s="329">
        <v>186.7</v>
      </c>
      <c r="F104" s="334">
        <v>186.7</v>
      </c>
      <c r="G104" s="331">
        <v>186.7</v>
      </c>
      <c r="H104" s="335">
        <v>186.7</v>
      </c>
      <c r="I104" s="329">
        <v>150</v>
      </c>
      <c r="J104" s="334">
        <v>150</v>
      </c>
      <c r="K104" s="329">
        <v>150</v>
      </c>
      <c r="L104" s="334">
        <v>150</v>
      </c>
      <c r="M104" s="334"/>
      <c r="N104" s="334"/>
      <c r="O104" s="430"/>
      <c r="P104" s="430">
        <f t="shared" si="11"/>
        <v>-36.699999999999989</v>
      </c>
      <c r="Q104" s="610"/>
      <c r="S104" s="221">
        <f t="shared" si="1"/>
        <v>0</v>
      </c>
    </row>
    <row r="105" spans="1:19" ht="28.5" customHeight="1" x14ac:dyDescent="0.2">
      <c r="A105" s="1594"/>
      <c r="B105" s="1596"/>
      <c r="C105" s="1595">
        <v>14010124</v>
      </c>
      <c r="D105" s="371" t="s">
        <v>896</v>
      </c>
      <c r="E105" s="329">
        <v>420</v>
      </c>
      <c r="F105" s="334">
        <v>420</v>
      </c>
      <c r="G105" s="331">
        <v>312.3</v>
      </c>
      <c r="H105" s="335">
        <v>312.3</v>
      </c>
      <c r="I105" s="329">
        <v>540</v>
      </c>
      <c r="J105" s="334">
        <v>540</v>
      </c>
      <c r="K105" s="329">
        <v>440</v>
      </c>
      <c r="L105" s="334">
        <v>440</v>
      </c>
      <c r="M105" s="330">
        <f t="shared" si="18"/>
        <v>20</v>
      </c>
      <c r="N105" s="330">
        <f t="shared" si="19"/>
        <v>127.69999999999999</v>
      </c>
      <c r="O105" s="430">
        <f t="shared" si="23"/>
        <v>-100</v>
      </c>
      <c r="P105" s="430">
        <f t="shared" si="11"/>
        <v>20</v>
      </c>
      <c r="Q105" s="1598" t="s">
        <v>320</v>
      </c>
      <c r="S105" s="221">
        <f t="shared" si="1"/>
        <v>0</v>
      </c>
    </row>
    <row r="106" spans="1:19" ht="18" customHeight="1" x14ac:dyDescent="0.2">
      <c r="A106" s="1594"/>
      <c r="B106" s="1596"/>
      <c r="C106" s="1599"/>
      <c r="D106" s="511" t="s">
        <v>897</v>
      </c>
      <c r="E106" s="519">
        <v>420</v>
      </c>
      <c r="F106" s="334">
        <v>420</v>
      </c>
      <c r="G106" s="520">
        <v>312.3</v>
      </c>
      <c r="H106" s="335">
        <v>312.3</v>
      </c>
      <c r="I106" s="519">
        <v>500</v>
      </c>
      <c r="J106" s="334">
        <v>500</v>
      </c>
      <c r="K106" s="329">
        <v>400</v>
      </c>
      <c r="L106" s="334">
        <v>400</v>
      </c>
      <c r="M106" s="330"/>
      <c r="N106" s="330"/>
      <c r="O106" s="430">
        <f t="shared" si="23"/>
        <v>-100</v>
      </c>
      <c r="P106" s="430">
        <f t="shared" si="11"/>
        <v>-20</v>
      </c>
      <c r="Q106" s="1602"/>
      <c r="S106" s="221"/>
    </row>
    <row r="107" spans="1:19" ht="25.5" customHeight="1" x14ac:dyDescent="0.2">
      <c r="A107" s="1594"/>
      <c r="B107" s="1596"/>
      <c r="C107" s="1599"/>
      <c r="D107" s="511" t="s">
        <v>898</v>
      </c>
      <c r="E107" s="329"/>
      <c r="F107" s="334"/>
      <c r="G107" s="331"/>
      <c r="H107" s="335"/>
      <c r="I107" s="519">
        <v>40</v>
      </c>
      <c r="J107" s="334">
        <v>40</v>
      </c>
      <c r="K107" s="329">
        <v>40</v>
      </c>
      <c r="L107" s="334">
        <v>40</v>
      </c>
      <c r="M107" s="330"/>
      <c r="N107" s="330"/>
      <c r="O107" s="430">
        <f t="shared" si="23"/>
        <v>0</v>
      </c>
      <c r="P107" s="430"/>
      <c r="Q107" s="1602"/>
      <c r="S107" s="221"/>
    </row>
    <row r="108" spans="1:19" ht="12.75" customHeight="1" x14ac:dyDescent="0.2">
      <c r="A108" s="1594"/>
      <c r="B108" s="1596"/>
      <c r="C108" s="62"/>
      <c r="D108" s="358" t="s">
        <v>185</v>
      </c>
      <c r="E108" s="329">
        <v>106.9</v>
      </c>
      <c r="F108" s="334">
        <v>106.9</v>
      </c>
      <c r="G108" s="331">
        <v>28.1</v>
      </c>
      <c r="H108" s="335">
        <v>28.1</v>
      </c>
      <c r="I108" s="329">
        <v>60</v>
      </c>
      <c r="J108" s="334">
        <v>60</v>
      </c>
      <c r="K108" s="329">
        <v>60</v>
      </c>
      <c r="L108" s="334">
        <v>60</v>
      </c>
      <c r="M108" s="334"/>
      <c r="N108" s="334"/>
      <c r="O108" s="430">
        <f t="shared" si="23"/>
        <v>0</v>
      </c>
      <c r="P108" s="430">
        <f t="shared" si="11"/>
        <v>-46.900000000000006</v>
      </c>
      <c r="Q108" s="611"/>
      <c r="S108" s="221">
        <f t="shared" si="1"/>
        <v>0</v>
      </c>
    </row>
    <row r="109" spans="1:19" ht="36" x14ac:dyDescent="0.2">
      <c r="A109" s="1594"/>
      <c r="B109" s="1596"/>
      <c r="C109" s="608">
        <v>14010126</v>
      </c>
      <c r="D109" s="371" t="s">
        <v>321</v>
      </c>
      <c r="E109" s="329">
        <v>140</v>
      </c>
      <c r="F109" s="334">
        <v>140</v>
      </c>
      <c r="G109" s="331">
        <v>140</v>
      </c>
      <c r="H109" s="335">
        <v>140</v>
      </c>
      <c r="I109" s="329">
        <v>200</v>
      </c>
      <c r="J109" s="334">
        <v>200</v>
      </c>
      <c r="K109" s="329">
        <v>150</v>
      </c>
      <c r="L109" s="334">
        <v>150</v>
      </c>
      <c r="M109" s="330">
        <f t="shared" ref="M109:M137" si="24">K109-E109</f>
        <v>10</v>
      </c>
      <c r="N109" s="330">
        <f t="shared" ref="N109:N137" si="25">K109-G109</f>
        <v>10</v>
      </c>
      <c r="O109" s="430">
        <f t="shared" si="23"/>
        <v>-50</v>
      </c>
      <c r="P109" s="430">
        <f t="shared" si="11"/>
        <v>10</v>
      </c>
      <c r="Q109" s="610" t="s">
        <v>322</v>
      </c>
      <c r="S109" s="221">
        <f t="shared" ref="S109:S192" si="26">+K109-I109-O109</f>
        <v>0</v>
      </c>
    </row>
    <row r="110" spans="1:19" ht="12.75" x14ac:dyDescent="0.2">
      <c r="A110" s="1594"/>
      <c r="B110" s="1596"/>
      <c r="C110" s="62"/>
      <c r="D110" s="358" t="s">
        <v>185</v>
      </c>
      <c r="E110" s="329">
        <v>23.3</v>
      </c>
      <c r="F110" s="334">
        <v>23.3</v>
      </c>
      <c r="G110" s="331">
        <v>23.3</v>
      </c>
      <c r="H110" s="335">
        <v>23.3</v>
      </c>
      <c r="I110" s="329">
        <v>0</v>
      </c>
      <c r="J110" s="334">
        <v>0</v>
      </c>
      <c r="K110" s="329">
        <v>0</v>
      </c>
      <c r="L110" s="334">
        <v>0</v>
      </c>
      <c r="M110" s="334"/>
      <c r="N110" s="334"/>
      <c r="O110" s="430">
        <f t="shared" si="23"/>
        <v>0</v>
      </c>
      <c r="P110" s="430">
        <f t="shared" si="11"/>
        <v>-23.3</v>
      </c>
      <c r="Q110" s="610"/>
      <c r="S110" s="221">
        <f t="shared" si="26"/>
        <v>0</v>
      </c>
    </row>
    <row r="111" spans="1:19" ht="36" x14ac:dyDescent="0.2">
      <c r="A111" s="1594"/>
      <c r="B111" s="1596"/>
      <c r="C111" s="608">
        <v>14010137</v>
      </c>
      <c r="D111" s="371" t="s">
        <v>323</v>
      </c>
      <c r="E111" s="329">
        <v>730</v>
      </c>
      <c r="F111" s="334">
        <v>730</v>
      </c>
      <c r="G111" s="331">
        <v>990</v>
      </c>
      <c r="H111" s="335">
        <v>990</v>
      </c>
      <c r="I111" s="329">
        <v>100</v>
      </c>
      <c r="J111" s="334">
        <v>100</v>
      </c>
      <c r="K111" s="329">
        <v>100</v>
      </c>
      <c r="L111" s="334">
        <v>100</v>
      </c>
      <c r="M111" s="330">
        <f t="shared" si="24"/>
        <v>-630</v>
      </c>
      <c r="N111" s="330">
        <f t="shared" si="25"/>
        <v>-890</v>
      </c>
      <c r="O111" s="430">
        <f t="shared" si="23"/>
        <v>0</v>
      </c>
      <c r="P111" s="430">
        <f t="shared" si="11"/>
        <v>-630</v>
      </c>
      <c r="Q111" s="610" t="s">
        <v>324</v>
      </c>
      <c r="S111" s="221">
        <f t="shared" si="26"/>
        <v>0</v>
      </c>
    </row>
    <row r="112" spans="1:19" ht="12.75" x14ac:dyDescent="0.2">
      <c r="A112" s="1594"/>
      <c r="B112" s="1596"/>
      <c r="C112" s="62"/>
      <c r="D112" s="358" t="s">
        <v>185</v>
      </c>
      <c r="E112" s="329">
        <v>339.1</v>
      </c>
      <c r="F112" s="334">
        <v>339.1</v>
      </c>
      <c r="G112" s="331">
        <v>339</v>
      </c>
      <c r="H112" s="335">
        <v>339</v>
      </c>
      <c r="I112" s="329"/>
      <c r="J112" s="334"/>
      <c r="K112" s="329"/>
      <c r="L112" s="334"/>
      <c r="M112" s="334"/>
      <c r="N112" s="334"/>
      <c r="O112" s="430">
        <f t="shared" si="23"/>
        <v>0</v>
      </c>
      <c r="P112" s="430">
        <f t="shared" si="11"/>
        <v>-339.1</v>
      </c>
      <c r="Q112" s="610"/>
      <c r="S112" s="221">
        <f t="shared" si="26"/>
        <v>0</v>
      </c>
    </row>
    <row r="113" spans="1:22" ht="36" x14ac:dyDescent="0.2">
      <c r="A113" s="1594"/>
      <c r="B113" s="1596"/>
      <c r="C113" s="608">
        <v>14010141</v>
      </c>
      <c r="D113" s="371" t="s">
        <v>325</v>
      </c>
      <c r="E113" s="329">
        <v>30</v>
      </c>
      <c r="F113" s="334">
        <v>30</v>
      </c>
      <c r="G113" s="331">
        <v>30</v>
      </c>
      <c r="H113" s="335">
        <v>30</v>
      </c>
      <c r="I113" s="329">
        <v>40</v>
      </c>
      <c r="J113" s="334">
        <v>40</v>
      </c>
      <c r="K113" s="329">
        <v>30</v>
      </c>
      <c r="L113" s="334">
        <v>30</v>
      </c>
      <c r="M113" s="330">
        <f t="shared" si="24"/>
        <v>0</v>
      </c>
      <c r="N113" s="330">
        <f t="shared" si="25"/>
        <v>0</v>
      </c>
      <c r="O113" s="430">
        <f t="shared" si="23"/>
        <v>-10</v>
      </c>
      <c r="P113" s="430">
        <f t="shared" si="11"/>
        <v>0</v>
      </c>
      <c r="Q113" s="610" t="s">
        <v>326</v>
      </c>
      <c r="S113" s="221">
        <f t="shared" si="26"/>
        <v>0</v>
      </c>
    </row>
    <row r="114" spans="1:22" ht="12.75" x14ac:dyDescent="0.2">
      <c r="A114" s="1594"/>
      <c r="B114" s="1596"/>
      <c r="C114" s="62"/>
      <c r="D114" s="358" t="s">
        <v>185</v>
      </c>
      <c r="E114" s="329"/>
      <c r="F114" s="334"/>
      <c r="G114" s="331"/>
      <c r="H114" s="335"/>
      <c r="I114" s="329">
        <v>10</v>
      </c>
      <c r="J114" s="334">
        <v>10</v>
      </c>
      <c r="K114" s="329">
        <v>10</v>
      </c>
      <c r="L114" s="334">
        <v>10</v>
      </c>
      <c r="M114" s="334"/>
      <c r="N114" s="334"/>
      <c r="O114" s="430">
        <f t="shared" si="23"/>
        <v>0</v>
      </c>
      <c r="P114" s="430">
        <f t="shared" si="11"/>
        <v>10</v>
      </c>
      <c r="Q114" s="610"/>
      <c r="S114" s="221">
        <f t="shared" si="26"/>
        <v>0</v>
      </c>
    </row>
    <row r="115" spans="1:22" ht="29.25" customHeight="1" x14ac:dyDescent="0.2">
      <c r="A115" s="1594"/>
      <c r="B115" s="1596"/>
      <c r="C115" s="1595">
        <v>14010143</v>
      </c>
      <c r="D115" s="371" t="s">
        <v>899</v>
      </c>
      <c r="E115" s="329">
        <v>14527.4</v>
      </c>
      <c r="F115" s="334">
        <v>10201.4</v>
      </c>
      <c r="G115" s="331">
        <v>18532.400000000001</v>
      </c>
      <c r="H115" s="335">
        <v>15706.4</v>
      </c>
      <c r="I115" s="329">
        <v>21454</v>
      </c>
      <c r="J115" s="334">
        <v>16747.7</v>
      </c>
      <c r="K115" s="329">
        <v>15414.4</v>
      </c>
      <c r="L115" s="334">
        <v>10708.1</v>
      </c>
      <c r="M115" s="330">
        <f t="shared" si="24"/>
        <v>887</v>
      </c>
      <c r="N115" s="330">
        <f t="shared" si="25"/>
        <v>-3118.0000000000018</v>
      </c>
      <c r="O115" s="430">
        <f t="shared" si="23"/>
        <v>-6039.6</v>
      </c>
      <c r="P115" s="430">
        <f t="shared" si="11"/>
        <v>887</v>
      </c>
      <c r="Q115" s="1598" t="s">
        <v>929</v>
      </c>
      <c r="S115" s="221">
        <f t="shared" si="26"/>
        <v>0</v>
      </c>
    </row>
    <row r="116" spans="1:22" ht="27.75" customHeight="1" x14ac:dyDescent="0.2">
      <c r="A116" s="1594"/>
      <c r="B116" s="1596"/>
      <c r="C116" s="1595"/>
      <c r="D116" s="511" t="s">
        <v>900</v>
      </c>
      <c r="E116" s="519">
        <v>70</v>
      </c>
      <c r="F116" s="334">
        <v>70</v>
      </c>
      <c r="G116" s="519">
        <v>80</v>
      </c>
      <c r="H116" s="334">
        <v>80</v>
      </c>
      <c r="I116" s="519">
        <v>70</v>
      </c>
      <c r="J116" s="334">
        <v>70</v>
      </c>
      <c r="K116" s="519">
        <v>70</v>
      </c>
      <c r="L116" s="334">
        <v>70</v>
      </c>
      <c r="M116" s="330"/>
      <c r="N116" s="330"/>
      <c r="O116" s="430">
        <f t="shared" si="23"/>
        <v>0</v>
      </c>
      <c r="P116" s="430">
        <f t="shared" si="11"/>
        <v>0</v>
      </c>
      <c r="Q116" s="1598"/>
      <c r="S116" s="221"/>
    </row>
    <row r="117" spans="1:22" ht="15.75" customHeight="1" x14ac:dyDescent="0.2">
      <c r="A117" s="1594"/>
      <c r="B117" s="1596"/>
      <c r="C117" s="1595"/>
      <c r="D117" s="511" t="s">
        <v>901</v>
      </c>
      <c r="E117" s="519">
        <v>340.4</v>
      </c>
      <c r="F117" s="334">
        <v>340.4</v>
      </c>
      <c r="G117" s="519">
        <v>340.4</v>
      </c>
      <c r="H117" s="334">
        <v>340.4</v>
      </c>
      <c r="I117" s="519">
        <v>350</v>
      </c>
      <c r="J117" s="334">
        <v>350</v>
      </c>
      <c r="K117" s="519">
        <v>300</v>
      </c>
      <c r="L117" s="334">
        <v>300</v>
      </c>
      <c r="M117" s="330"/>
      <c r="N117" s="330"/>
      <c r="O117" s="430">
        <f t="shared" si="23"/>
        <v>-50</v>
      </c>
      <c r="P117" s="430">
        <f t="shared" si="11"/>
        <v>-40.399999999999977</v>
      </c>
      <c r="Q117" s="1598"/>
      <c r="S117" s="221"/>
    </row>
    <row r="118" spans="1:22" ht="15.75" customHeight="1" x14ac:dyDescent="0.2">
      <c r="A118" s="1594">
        <v>14</v>
      </c>
      <c r="B118" s="1595" t="s">
        <v>313</v>
      </c>
      <c r="C118" s="1599">
        <v>14010143</v>
      </c>
      <c r="D118" s="511" t="s">
        <v>902</v>
      </c>
      <c r="E118" s="519">
        <v>1600</v>
      </c>
      <c r="F118" s="334">
        <v>1600</v>
      </c>
      <c r="G118" s="519">
        <v>1800</v>
      </c>
      <c r="H118" s="334">
        <v>1800</v>
      </c>
      <c r="I118" s="519">
        <v>2000</v>
      </c>
      <c r="J118" s="334">
        <v>1400</v>
      </c>
      <c r="K118" s="519">
        <v>1700</v>
      </c>
      <c r="L118" s="334">
        <v>1100</v>
      </c>
      <c r="M118" s="330"/>
      <c r="N118" s="330"/>
      <c r="O118" s="430">
        <f t="shared" si="23"/>
        <v>-300</v>
      </c>
      <c r="P118" s="430">
        <f t="shared" si="11"/>
        <v>100</v>
      </c>
      <c r="Q118" s="1598"/>
      <c r="S118" s="221"/>
    </row>
    <row r="119" spans="1:22" ht="14.25" customHeight="1" x14ac:dyDescent="0.2">
      <c r="A119" s="1594"/>
      <c r="B119" s="1595"/>
      <c r="C119" s="1599"/>
      <c r="D119" s="511" t="s">
        <v>903</v>
      </c>
      <c r="E119" s="519">
        <v>1100</v>
      </c>
      <c r="F119" s="334">
        <v>300</v>
      </c>
      <c r="G119" s="519">
        <v>2100</v>
      </c>
      <c r="H119" s="334">
        <v>1600</v>
      </c>
      <c r="I119" s="519">
        <v>2100</v>
      </c>
      <c r="J119" s="334">
        <v>1500</v>
      </c>
      <c r="K119" s="519">
        <v>1050</v>
      </c>
      <c r="L119" s="334">
        <v>450</v>
      </c>
      <c r="M119" s="330"/>
      <c r="N119" s="330"/>
      <c r="O119" s="430">
        <f t="shared" si="23"/>
        <v>-1050</v>
      </c>
      <c r="P119" s="430">
        <f t="shared" si="11"/>
        <v>-50</v>
      </c>
      <c r="Q119" s="1598"/>
      <c r="S119" s="221"/>
    </row>
    <row r="120" spans="1:22" ht="15" customHeight="1" x14ac:dyDescent="0.2">
      <c r="A120" s="1594"/>
      <c r="B120" s="1595"/>
      <c r="C120" s="1599"/>
      <c r="D120" s="511" t="s">
        <v>904</v>
      </c>
      <c r="E120" s="519">
        <v>1200</v>
      </c>
      <c r="F120" s="334">
        <v>300</v>
      </c>
      <c r="G120" s="519">
        <v>1800</v>
      </c>
      <c r="H120" s="334">
        <v>1300</v>
      </c>
      <c r="I120" s="519">
        <v>2100</v>
      </c>
      <c r="J120" s="334">
        <v>1500</v>
      </c>
      <c r="K120" s="519">
        <v>1050</v>
      </c>
      <c r="L120" s="334">
        <v>450</v>
      </c>
      <c r="M120" s="330"/>
      <c r="N120" s="330"/>
      <c r="O120" s="430">
        <f t="shared" si="23"/>
        <v>-1050</v>
      </c>
      <c r="P120" s="430">
        <f t="shared" si="11"/>
        <v>-150</v>
      </c>
      <c r="Q120" s="1598"/>
      <c r="S120" s="221"/>
    </row>
    <row r="121" spans="1:22" ht="13.5" customHeight="1" x14ac:dyDescent="0.2">
      <c r="A121" s="1594"/>
      <c r="B121" s="1595"/>
      <c r="C121" s="1599"/>
      <c r="D121" s="511" t="s">
        <v>905</v>
      </c>
      <c r="E121" s="519">
        <v>1200</v>
      </c>
      <c r="F121" s="334">
        <v>300</v>
      </c>
      <c r="G121" s="519">
        <v>1900</v>
      </c>
      <c r="H121" s="334">
        <v>1350</v>
      </c>
      <c r="I121" s="519">
        <v>2100</v>
      </c>
      <c r="J121" s="334">
        <v>1500</v>
      </c>
      <c r="K121" s="519">
        <v>1050</v>
      </c>
      <c r="L121" s="334">
        <v>450</v>
      </c>
      <c r="M121" s="330"/>
      <c r="N121" s="330"/>
      <c r="O121" s="430">
        <f t="shared" si="23"/>
        <v>-1050</v>
      </c>
      <c r="P121" s="430">
        <f t="shared" si="11"/>
        <v>-150</v>
      </c>
      <c r="Q121" s="1598"/>
      <c r="S121" s="221"/>
    </row>
    <row r="122" spans="1:22" ht="14.25" customHeight="1" x14ac:dyDescent="0.2">
      <c r="A122" s="1594"/>
      <c r="B122" s="1595"/>
      <c r="C122" s="1599"/>
      <c r="D122" s="511" t="s">
        <v>906</v>
      </c>
      <c r="E122" s="519">
        <v>1100</v>
      </c>
      <c r="F122" s="334">
        <v>300</v>
      </c>
      <c r="G122" s="519">
        <v>1850</v>
      </c>
      <c r="H122" s="334">
        <v>1250</v>
      </c>
      <c r="I122" s="519">
        <v>1550</v>
      </c>
      <c r="J122" s="334">
        <v>1550</v>
      </c>
      <c r="K122" s="519">
        <v>550</v>
      </c>
      <c r="L122" s="334">
        <v>550</v>
      </c>
      <c r="M122" s="330"/>
      <c r="N122" s="330"/>
      <c r="O122" s="430">
        <f t="shared" si="23"/>
        <v>-1000</v>
      </c>
      <c r="P122" s="430">
        <f t="shared" si="11"/>
        <v>-550</v>
      </c>
      <c r="Q122" s="1598"/>
      <c r="S122" s="221"/>
      <c r="U122" s="221"/>
    </row>
    <row r="123" spans="1:22" ht="12.75" customHeight="1" x14ac:dyDescent="0.2">
      <c r="A123" s="1594"/>
      <c r="B123" s="1595"/>
      <c r="C123" s="1599"/>
      <c r="D123" s="511" t="s">
        <v>907</v>
      </c>
      <c r="E123" s="519">
        <v>1541</v>
      </c>
      <c r="F123" s="334">
        <v>675</v>
      </c>
      <c r="G123" s="519">
        <v>2185</v>
      </c>
      <c r="H123" s="334">
        <v>1585</v>
      </c>
      <c r="I123" s="519">
        <v>2681.3</v>
      </c>
      <c r="J123" s="334">
        <v>1375</v>
      </c>
      <c r="K123" s="519">
        <v>1774.4</v>
      </c>
      <c r="L123" s="334">
        <v>468.1</v>
      </c>
      <c r="M123" s="330"/>
      <c r="N123" s="330"/>
      <c r="O123" s="430">
        <f t="shared" si="23"/>
        <v>-906.90000000000009</v>
      </c>
      <c r="P123" s="430">
        <f t="shared" si="11"/>
        <v>233.40000000000009</v>
      </c>
      <c r="Q123" s="1598"/>
      <c r="S123" s="221"/>
    </row>
    <row r="124" spans="1:22" ht="14.25" customHeight="1" x14ac:dyDescent="0.2">
      <c r="A124" s="1594"/>
      <c r="B124" s="1595"/>
      <c r="C124" s="1599"/>
      <c r="D124" s="511" t="s">
        <v>908</v>
      </c>
      <c r="E124" s="519">
        <v>510</v>
      </c>
      <c r="F124" s="334">
        <v>450</v>
      </c>
      <c r="G124" s="519">
        <v>580</v>
      </c>
      <c r="H124" s="334">
        <v>510</v>
      </c>
      <c r="I124" s="519">
        <v>400</v>
      </c>
      <c r="J124" s="334">
        <v>400</v>
      </c>
      <c r="K124" s="519">
        <v>400</v>
      </c>
      <c r="L124" s="334">
        <v>400</v>
      </c>
      <c r="M124" s="330"/>
      <c r="N124" s="330"/>
      <c r="O124" s="430">
        <f t="shared" si="23"/>
        <v>0</v>
      </c>
      <c r="P124" s="430">
        <f t="shared" si="11"/>
        <v>-110</v>
      </c>
      <c r="Q124" s="1598"/>
      <c r="S124" s="221"/>
      <c r="U124" s="221"/>
      <c r="V124" s="221"/>
    </row>
    <row r="125" spans="1:22" ht="15.75" customHeight="1" x14ac:dyDescent="0.2">
      <c r="A125" s="1594"/>
      <c r="B125" s="1595"/>
      <c r="C125" s="1599"/>
      <c r="D125" s="511" t="s">
        <v>909</v>
      </c>
      <c r="E125" s="519">
        <v>16</v>
      </c>
      <c r="F125" s="334">
        <v>16</v>
      </c>
      <c r="G125" s="519">
        <v>22</v>
      </c>
      <c r="H125" s="334">
        <v>16</v>
      </c>
      <c r="I125" s="519">
        <v>50</v>
      </c>
      <c r="J125" s="334">
        <v>50</v>
      </c>
      <c r="K125" s="519">
        <v>40</v>
      </c>
      <c r="L125" s="334">
        <v>40</v>
      </c>
      <c r="M125" s="330"/>
      <c r="N125" s="330"/>
      <c r="O125" s="430">
        <f t="shared" si="23"/>
        <v>-10</v>
      </c>
      <c r="P125" s="430">
        <f t="shared" si="11"/>
        <v>24</v>
      </c>
      <c r="Q125" s="1598"/>
      <c r="S125" s="221"/>
    </row>
    <row r="126" spans="1:22" ht="25.5" x14ac:dyDescent="0.2">
      <c r="A126" s="1594"/>
      <c r="B126" s="1595"/>
      <c r="C126" s="1599"/>
      <c r="D126" s="511" t="s">
        <v>910</v>
      </c>
      <c r="E126" s="519">
        <v>300</v>
      </c>
      <c r="F126" s="334">
        <v>300</v>
      </c>
      <c r="G126" s="519">
        <v>325</v>
      </c>
      <c r="H126" s="334">
        <v>325</v>
      </c>
      <c r="I126" s="519">
        <v>118.7</v>
      </c>
      <c r="J126" s="334">
        <v>118.7</v>
      </c>
      <c r="K126" s="519">
        <v>50</v>
      </c>
      <c r="L126" s="334">
        <v>50</v>
      </c>
      <c r="M126" s="330"/>
      <c r="N126" s="330"/>
      <c r="O126" s="430">
        <f t="shared" si="23"/>
        <v>-68.7</v>
      </c>
      <c r="P126" s="430">
        <f t="shared" si="11"/>
        <v>-250</v>
      </c>
      <c r="Q126" s="1598"/>
      <c r="S126" s="221"/>
      <c r="U126" s="221"/>
    </row>
    <row r="127" spans="1:22" ht="25.5" x14ac:dyDescent="0.2">
      <c r="A127" s="1594"/>
      <c r="B127" s="1595"/>
      <c r="C127" s="1599"/>
      <c r="D127" s="511" t="s">
        <v>911</v>
      </c>
      <c r="E127" s="519">
        <v>650</v>
      </c>
      <c r="F127" s="334">
        <v>650</v>
      </c>
      <c r="G127" s="519">
        <v>650</v>
      </c>
      <c r="H127" s="334">
        <v>650</v>
      </c>
      <c r="I127" s="519">
        <v>1234</v>
      </c>
      <c r="J127" s="334">
        <v>734</v>
      </c>
      <c r="K127" s="519">
        <v>1180</v>
      </c>
      <c r="L127" s="334">
        <v>680</v>
      </c>
      <c r="M127" s="330"/>
      <c r="N127" s="330"/>
      <c r="O127" s="430">
        <f t="shared" si="23"/>
        <v>-54</v>
      </c>
      <c r="P127" s="430">
        <f t="shared" si="11"/>
        <v>530</v>
      </c>
      <c r="Q127" s="1598"/>
      <c r="S127" s="221"/>
    </row>
    <row r="128" spans="1:22" ht="12.75" customHeight="1" x14ac:dyDescent="0.2">
      <c r="A128" s="1594"/>
      <c r="B128" s="1595"/>
      <c r="C128" s="1599"/>
      <c r="D128" s="511" t="s">
        <v>912</v>
      </c>
      <c r="E128" s="519">
        <v>300</v>
      </c>
      <c r="F128" s="334">
        <v>300</v>
      </c>
      <c r="G128" s="519">
        <v>300</v>
      </c>
      <c r="H128" s="334">
        <v>300</v>
      </c>
      <c r="I128" s="519">
        <v>1500</v>
      </c>
      <c r="J128" s="334">
        <v>1500</v>
      </c>
      <c r="K128" s="519">
        <v>1000</v>
      </c>
      <c r="L128" s="334">
        <v>1000</v>
      </c>
      <c r="M128" s="330"/>
      <c r="N128" s="330"/>
      <c r="O128" s="430">
        <f t="shared" si="23"/>
        <v>-500</v>
      </c>
      <c r="P128" s="430">
        <f t="shared" si="11"/>
        <v>700</v>
      </c>
      <c r="Q128" s="1598"/>
      <c r="S128" s="221"/>
      <c r="U128" s="221"/>
    </row>
    <row r="129" spans="1:22" ht="12.75" customHeight="1" x14ac:dyDescent="0.2">
      <c r="A129" s="1594"/>
      <c r="B129" s="1595"/>
      <c r="C129" s="1599"/>
      <c r="D129" s="515" t="s">
        <v>913</v>
      </c>
      <c r="E129" s="519">
        <v>2500</v>
      </c>
      <c r="F129" s="334">
        <v>2500</v>
      </c>
      <c r="G129" s="519">
        <v>2500</v>
      </c>
      <c r="H129" s="334">
        <v>2500</v>
      </c>
      <c r="I129" s="519">
        <v>2500</v>
      </c>
      <c r="J129" s="334">
        <v>2000</v>
      </c>
      <c r="K129" s="519">
        <v>2500</v>
      </c>
      <c r="L129" s="334">
        <v>2000</v>
      </c>
      <c r="M129" s="330"/>
      <c r="N129" s="330"/>
      <c r="O129" s="430">
        <f t="shared" si="23"/>
        <v>0</v>
      </c>
      <c r="P129" s="430">
        <f t="shared" si="11"/>
        <v>0</v>
      </c>
      <c r="Q129" s="1598"/>
      <c r="S129" s="221"/>
    </row>
    <row r="130" spans="1:22" ht="12.75" customHeight="1" x14ac:dyDescent="0.2">
      <c r="A130" s="1594"/>
      <c r="B130" s="1595"/>
      <c r="C130" s="1599"/>
      <c r="D130" s="515" t="s">
        <v>914</v>
      </c>
      <c r="E130" s="519">
        <v>100</v>
      </c>
      <c r="F130" s="334">
        <v>100</v>
      </c>
      <c r="G130" s="519">
        <v>100</v>
      </c>
      <c r="H130" s="334">
        <v>100</v>
      </c>
      <c r="I130" s="519">
        <v>100</v>
      </c>
      <c r="J130" s="334">
        <v>100</v>
      </c>
      <c r="K130" s="519">
        <v>100</v>
      </c>
      <c r="L130" s="334">
        <v>100</v>
      </c>
      <c r="M130" s="330"/>
      <c r="N130" s="330"/>
      <c r="O130" s="430">
        <f t="shared" si="23"/>
        <v>0</v>
      </c>
      <c r="P130" s="430">
        <f t="shared" si="11"/>
        <v>0</v>
      </c>
      <c r="Q130" s="1598"/>
      <c r="S130" s="221"/>
    </row>
    <row r="131" spans="1:22" ht="12.75" customHeight="1" x14ac:dyDescent="0.2">
      <c r="A131" s="1594"/>
      <c r="B131" s="1595"/>
      <c r="C131" s="1599"/>
      <c r="D131" s="515" t="s">
        <v>915</v>
      </c>
      <c r="E131" s="519">
        <v>500</v>
      </c>
      <c r="F131" s="334">
        <v>500</v>
      </c>
      <c r="G131" s="519">
        <v>500</v>
      </c>
      <c r="H131" s="334">
        <v>500</v>
      </c>
      <c r="I131" s="519">
        <v>500</v>
      </c>
      <c r="J131" s="334">
        <v>500</v>
      </c>
      <c r="K131" s="519">
        <v>500</v>
      </c>
      <c r="L131" s="334">
        <v>500</v>
      </c>
      <c r="M131" s="330"/>
      <c r="N131" s="330"/>
      <c r="O131" s="430">
        <f t="shared" si="23"/>
        <v>0</v>
      </c>
      <c r="P131" s="430">
        <f t="shared" si="11"/>
        <v>0</v>
      </c>
      <c r="Q131" s="1598"/>
      <c r="S131" s="221"/>
    </row>
    <row r="132" spans="1:22" ht="14.25" customHeight="1" x14ac:dyDescent="0.2">
      <c r="A132" s="1594"/>
      <c r="B132" s="1595"/>
      <c r="C132" s="1599"/>
      <c r="D132" s="515" t="s">
        <v>916</v>
      </c>
      <c r="E132" s="519">
        <v>1000</v>
      </c>
      <c r="F132" s="334">
        <v>1000</v>
      </c>
      <c r="G132" s="519">
        <v>1000</v>
      </c>
      <c r="H132" s="334">
        <v>1000</v>
      </c>
      <c r="I132" s="519">
        <v>1000</v>
      </c>
      <c r="J132" s="334">
        <v>1000</v>
      </c>
      <c r="K132" s="519">
        <v>1000</v>
      </c>
      <c r="L132" s="334">
        <v>1000</v>
      </c>
      <c r="M132" s="330"/>
      <c r="N132" s="330"/>
      <c r="O132" s="430">
        <f t="shared" si="23"/>
        <v>0</v>
      </c>
      <c r="P132" s="430">
        <f t="shared" si="11"/>
        <v>0</v>
      </c>
      <c r="Q132" s="1598"/>
      <c r="S132" s="221"/>
      <c r="U132" s="221"/>
    </row>
    <row r="133" spans="1:22" ht="17.25" customHeight="1" x14ac:dyDescent="0.2">
      <c r="A133" s="1594"/>
      <c r="B133" s="1595"/>
      <c r="C133" s="1599"/>
      <c r="D133" s="515" t="s">
        <v>917</v>
      </c>
      <c r="E133" s="519">
        <v>500</v>
      </c>
      <c r="F133" s="334">
        <v>500</v>
      </c>
      <c r="G133" s="519">
        <v>500</v>
      </c>
      <c r="H133" s="334">
        <v>500</v>
      </c>
      <c r="I133" s="519">
        <v>500</v>
      </c>
      <c r="J133" s="334">
        <v>500</v>
      </c>
      <c r="K133" s="519">
        <v>500</v>
      </c>
      <c r="L133" s="334">
        <v>500</v>
      </c>
      <c r="M133" s="330"/>
      <c r="N133" s="330"/>
      <c r="O133" s="430">
        <f t="shared" si="23"/>
        <v>0</v>
      </c>
      <c r="P133" s="430">
        <f t="shared" si="11"/>
        <v>0</v>
      </c>
      <c r="Q133" s="1598"/>
      <c r="S133" s="221"/>
    </row>
    <row r="134" spans="1:22" ht="18" customHeight="1" x14ac:dyDescent="0.2">
      <c r="A134" s="1594"/>
      <c r="B134" s="1595"/>
      <c r="C134" s="1599"/>
      <c r="D134" s="516" t="s">
        <v>918</v>
      </c>
      <c r="E134" s="519">
        <v>0</v>
      </c>
      <c r="F134" s="334"/>
      <c r="G134" s="519"/>
      <c r="H134" s="334"/>
      <c r="I134" s="519">
        <v>600</v>
      </c>
      <c r="J134" s="334">
        <v>600</v>
      </c>
      <c r="K134" s="519">
        <v>600</v>
      </c>
      <c r="L134" s="334">
        <v>600</v>
      </c>
      <c r="M134" s="330"/>
      <c r="N134" s="330"/>
      <c r="O134" s="430">
        <f t="shared" si="23"/>
        <v>0</v>
      </c>
      <c r="P134" s="430">
        <f t="shared" si="11"/>
        <v>600</v>
      </c>
      <c r="Q134" s="1598"/>
      <c r="S134" s="221"/>
      <c r="U134" s="221"/>
      <c r="V134" s="221"/>
    </row>
    <row r="135" spans="1:22" ht="12.75" x14ac:dyDescent="0.2">
      <c r="A135" s="1594"/>
      <c r="B135" s="1595"/>
      <c r="C135" s="62"/>
      <c r="D135" s="358" t="s">
        <v>185</v>
      </c>
      <c r="E135" s="329">
        <v>5967.8</v>
      </c>
      <c r="F135" s="334">
        <v>3267.8</v>
      </c>
      <c r="G135" s="331">
        <v>3173.1</v>
      </c>
      <c r="H135" s="335">
        <v>1684.3</v>
      </c>
      <c r="I135" s="329">
        <v>5870</v>
      </c>
      <c r="J135" s="334">
        <v>1870</v>
      </c>
      <c r="K135" s="329">
        <v>5870</v>
      </c>
      <c r="L135" s="334">
        <v>1870</v>
      </c>
      <c r="M135" s="334"/>
      <c r="N135" s="334"/>
      <c r="O135" s="430">
        <f t="shared" si="23"/>
        <v>0</v>
      </c>
      <c r="P135" s="430">
        <f t="shared" si="11"/>
        <v>-97.800000000000182</v>
      </c>
      <c r="Q135" s="610"/>
      <c r="S135" s="221">
        <f t="shared" si="26"/>
        <v>0</v>
      </c>
    </row>
    <row r="136" spans="1:22" ht="84" x14ac:dyDescent="0.2">
      <c r="A136" s="1594"/>
      <c r="B136" s="1595"/>
      <c r="C136" s="608">
        <v>14010144</v>
      </c>
      <c r="D136" s="371" t="s">
        <v>327</v>
      </c>
      <c r="E136" s="329">
        <v>10</v>
      </c>
      <c r="F136" s="334">
        <v>10</v>
      </c>
      <c r="G136" s="331">
        <v>10</v>
      </c>
      <c r="H136" s="335">
        <v>10</v>
      </c>
      <c r="I136" s="329">
        <v>10</v>
      </c>
      <c r="J136" s="334">
        <v>10</v>
      </c>
      <c r="K136" s="329">
        <v>10</v>
      </c>
      <c r="L136" s="334">
        <v>10</v>
      </c>
      <c r="M136" s="330">
        <f t="shared" si="24"/>
        <v>0</v>
      </c>
      <c r="N136" s="330">
        <f t="shared" si="25"/>
        <v>0</v>
      </c>
      <c r="O136" s="430">
        <f t="shared" si="23"/>
        <v>0</v>
      </c>
      <c r="P136" s="430">
        <f t="shared" si="11"/>
        <v>0</v>
      </c>
      <c r="Q136" s="610" t="s">
        <v>328</v>
      </c>
      <c r="S136" s="221">
        <f t="shared" si="26"/>
        <v>0</v>
      </c>
    </row>
    <row r="137" spans="1:22" ht="96" x14ac:dyDescent="0.2">
      <c r="A137" s="1594"/>
      <c r="B137" s="1595"/>
      <c r="C137" s="608">
        <v>14010145</v>
      </c>
      <c r="D137" s="371" t="s">
        <v>329</v>
      </c>
      <c r="E137" s="329">
        <v>10</v>
      </c>
      <c r="F137" s="334">
        <v>10</v>
      </c>
      <c r="G137" s="331">
        <v>18</v>
      </c>
      <c r="H137" s="335">
        <v>18</v>
      </c>
      <c r="I137" s="329">
        <v>10</v>
      </c>
      <c r="J137" s="334">
        <v>10</v>
      </c>
      <c r="K137" s="329">
        <v>10</v>
      </c>
      <c r="L137" s="334">
        <v>10</v>
      </c>
      <c r="M137" s="330">
        <f t="shared" si="24"/>
        <v>0</v>
      </c>
      <c r="N137" s="330">
        <f t="shared" si="25"/>
        <v>-8</v>
      </c>
      <c r="O137" s="430">
        <f t="shared" si="23"/>
        <v>0</v>
      </c>
      <c r="P137" s="430">
        <f t="shared" si="11"/>
        <v>0</v>
      </c>
      <c r="Q137" s="610" t="s">
        <v>721</v>
      </c>
      <c r="S137" s="221">
        <f t="shared" si="26"/>
        <v>0</v>
      </c>
    </row>
    <row r="138" spans="1:22" ht="12.75" customHeight="1" x14ac:dyDescent="0.2">
      <c r="A138" s="1594"/>
      <c r="B138" s="1595"/>
      <c r="C138" s="62"/>
      <c r="D138" s="358" t="s">
        <v>185</v>
      </c>
      <c r="E138" s="329"/>
      <c r="F138" s="334"/>
      <c r="G138" s="331">
        <v>17.899999999999999</v>
      </c>
      <c r="H138" s="335">
        <v>17.899999999999999</v>
      </c>
      <c r="I138" s="329"/>
      <c r="J138" s="334"/>
      <c r="K138" s="329"/>
      <c r="L138" s="334"/>
      <c r="M138" s="334"/>
      <c r="N138" s="334"/>
      <c r="O138" s="430"/>
      <c r="P138" s="430">
        <f t="shared" si="11"/>
        <v>0</v>
      </c>
      <c r="Q138" s="610"/>
      <c r="S138" s="221">
        <f t="shared" si="26"/>
        <v>0</v>
      </c>
    </row>
    <row r="139" spans="1:22" ht="108" x14ac:dyDescent="0.2">
      <c r="A139" s="1594"/>
      <c r="B139" s="1595"/>
      <c r="C139" s="608">
        <v>14010146</v>
      </c>
      <c r="D139" s="371" t="s">
        <v>330</v>
      </c>
      <c r="E139" s="329">
        <v>2000</v>
      </c>
      <c r="F139" s="334">
        <v>2000</v>
      </c>
      <c r="G139" s="331">
        <v>5208.3999999999996</v>
      </c>
      <c r="H139" s="335">
        <v>5208.3999999999996</v>
      </c>
      <c r="I139" s="329">
        <v>3350</v>
      </c>
      <c r="J139" s="334">
        <v>3350</v>
      </c>
      <c r="K139" s="329">
        <v>2500</v>
      </c>
      <c r="L139" s="334">
        <v>2500</v>
      </c>
      <c r="M139" s="334">
        <f t="shared" si="18"/>
        <v>500</v>
      </c>
      <c r="N139" s="334">
        <f t="shared" si="19"/>
        <v>-2708.3999999999996</v>
      </c>
      <c r="O139" s="430">
        <f t="shared" si="23"/>
        <v>-850</v>
      </c>
      <c r="P139" s="430">
        <f t="shared" si="11"/>
        <v>500</v>
      </c>
      <c r="Q139" s="611" t="s">
        <v>331</v>
      </c>
      <c r="S139" s="221">
        <f t="shared" si="26"/>
        <v>0</v>
      </c>
    </row>
    <row r="140" spans="1:22" ht="12.75" x14ac:dyDescent="0.2">
      <c r="A140" s="1594"/>
      <c r="B140" s="1595"/>
      <c r="C140" s="62"/>
      <c r="D140" s="358" t="s">
        <v>185</v>
      </c>
      <c r="E140" s="329">
        <v>1000</v>
      </c>
      <c r="F140" s="334">
        <v>1000</v>
      </c>
      <c r="G140" s="331">
        <v>2107.6</v>
      </c>
      <c r="H140" s="335">
        <v>2107.6</v>
      </c>
      <c r="I140" s="329">
        <v>500</v>
      </c>
      <c r="J140" s="334">
        <v>500</v>
      </c>
      <c r="K140" s="329">
        <v>500</v>
      </c>
      <c r="L140" s="334">
        <v>500</v>
      </c>
      <c r="M140" s="334"/>
      <c r="N140" s="334"/>
      <c r="O140" s="430">
        <f t="shared" si="23"/>
        <v>0</v>
      </c>
      <c r="P140" s="430">
        <f t="shared" ref="P140:P206" si="27">+K140-E140</f>
        <v>-500</v>
      </c>
      <c r="Q140" s="611"/>
      <c r="S140" s="221">
        <f t="shared" si="26"/>
        <v>0</v>
      </c>
    </row>
    <row r="141" spans="1:22" ht="48" x14ac:dyDescent="0.2">
      <c r="A141" s="1594"/>
      <c r="B141" s="1595"/>
      <c r="C141" s="608">
        <v>14010147</v>
      </c>
      <c r="D141" s="371" t="s">
        <v>332</v>
      </c>
      <c r="E141" s="329"/>
      <c r="F141" s="334"/>
      <c r="G141" s="331"/>
      <c r="H141" s="335"/>
      <c r="I141" s="329">
        <v>2000</v>
      </c>
      <c r="J141" s="334">
        <v>2000</v>
      </c>
      <c r="K141" s="329">
        <f>2000-159</f>
        <v>1841</v>
      </c>
      <c r="L141" s="334">
        <f>2000-159</f>
        <v>1841</v>
      </c>
      <c r="M141" s="334"/>
      <c r="N141" s="334"/>
      <c r="O141" s="430">
        <f t="shared" si="23"/>
        <v>-159</v>
      </c>
      <c r="P141" s="430">
        <f t="shared" si="27"/>
        <v>1841</v>
      </c>
      <c r="Q141" s="611" t="s">
        <v>333</v>
      </c>
      <c r="S141" s="221">
        <f t="shared" si="26"/>
        <v>0</v>
      </c>
    </row>
    <row r="142" spans="1:22" ht="132" x14ac:dyDescent="0.2">
      <c r="A142" s="1594">
        <v>14</v>
      </c>
      <c r="B142" s="1595" t="s">
        <v>313</v>
      </c>
      <c r="C142" s="608">
        <v>14020106</v>
      </c>
      <c r="D142" s="371" t="s">
        <v>334</v>
      </c>
      <c r="E142" s="329">
        <v>25</v>
      </c>
      <c r="F142" s="334">
        <v>25</v>
      </c>
      <c r="G142" s="331">
        <v>25</v>
      </c>
      <c r="H142" s="335">
        <v>25</v>
      </c>
      <c r="I142" s="329">
        <v>50</v>
      </c>
      <c r="J142" s="334">
        <v>50</v>
      </c>
      <c r="K142" s="329">
        <v>50</v>
      </c>
      <c r="L142" s="334">
        <v>50</v>
      </c>
      <c r="M142" s="330">
        <f t="shared" si="18"/>
        <v>25</v>
      </c>
      <c r="N142" s="330">
        <f t="shared" si="19"/>
        <v>25</v>
      </c>
      <c r="O142" s="430">
        <f t="shared" si="23"/>
        <v>0</v>
      </c>
      <c r="P142" s="430">
        <f t="shared" si="27"/>
        <v>25</v>
      </c>
      <c r="Q142" s="611" t="s">
        <v>335</v>
      </c>
      <c r="S142" s="221">
        <f t="shared" si="26"/>
        <v>0</v>
      </c>
      <c r="V142" s="64"/>
    </row>
    <row r="143" spans="1:22" ht="12.75" x14ac:dyDescent="0.2">
      <c r="A143" s="1594"/>
      <c r="B143" s="1595"/>
      <c r="C143" s="62"/>
      <c r="D143" s="364" t="s">
        <v>185</v>
      </c>
      <c r="E143" s="359">
        <v>1.3</v>
      </c>
      <c r="F143" s="360">
        <v>1.3</v>
      </c>
      <c r="G143" s="361">
        <v>1.3</v>
      </c>
      <c r="H143" s="362">
        <v>1.3</v>
      </c>
      <c r="I143" s="359"/>
      <c r="J143" s="360"/>
      <c r="K143" s="359"/>
      <c r="L143" s="360"/>
      <c r="M143" s="360">
        <f t="shared" si="18"/>
        <v>-1.3</v>
      </c>
      <c r="N143" s="360">
        <f t="shared" si="19"/>
        <v>-1.3</v>
      </c>
      <c r="O143" s="434">
        <f t="shared" si="23"/>
        <v>0</v>
      </c>
      <c r="P143" s="430">
        <f t="shared" si="27"/>
        <v>-1.3</v>
      </c>
      <c r="Q143" s="609"/>
      <c r="S143" s="221">
        <f t="shared" si="26"/>
        <v>0</v>
      </c>
    </row>
    <row r="144" spans="1:22" ht="12.75" x14ac:dyDescent="0.2">
      <c r="A144" s="1594"/>
      <c r="B144" s="1595"/>
      <c r="C144" s="1556" t="s">
        <v>336</v>
      </c>
      <c r="D144" s="1556"/>
      <c r="E144" s="365">
        <f t="shared" ref="E144:L144" si="28">SUM(E53,E67,E71,E75,E82,E95,E97,E101,E103,E105,E109,E111,E113,E115,E136,E137,E139,E141,E142)</f>
        <v>40909.4</v>
      </c>
      <c r="F144" s="365">
        <f t="shared" si="28"/>
        <v>34083.4</v>
      </c>
      <c r="G144" s="365">
        <f t="shared" si="28"/>
        <v>55505.500000000007</v>
      </c>
      <c r="H144" s="365">
        <f t="shared" si="28"/>
        <v>48679.5</v>
      </c>
      <c r="I144" s="365">
        <f t="shared" si="28"/>
        <v>78286.2</v>
      </c>
      <c r="J144" s="365">
        <f t="shared" si="28"/>
        <v>68579.899999999994</v>
      </c>
      <c r="K144" s="365">
        <f t="shared" si="28"/>
        <v>53547.3</v>
      </c>
      <c r="L144" s="365">
        <f t="shared" si="28"/>
        <v>43841</v>
      </c>
      <c r="M144" s="365">
        <f t="shared" si="18"/>
        <v>12637.900000000001</v>
      </c>
      <c r="N144" s="365">
        <f t="shared" si="19"/>
        <v>-1958.2000000000044</v>
      </c>
      <c r="O144" s="365">
        <f t="shared" si="23"/>
        <v>-24738.899999999994</v>
      </c>
      <c r="P144" s="365">
        <f t="shared" si="27"/>
        <v>12637.900000000001</v>
      </c>
      <c r="Q144" s="59"/>
      <c r="S144" s="221">
        <f t="shared" si="26"/>
        <v>0</v>
      </c>
    </row>
    <row r="145" spans="1:19" ht="12.75" x14ac:dyDescent="0.2">
      <c r="A145" s="1594"/>
      <c r="B145" s="1595"/>
      <c r="C145" s="1551" t="s">
        <v>185</v>
      </c>
      <c r="D145" s="1551"/>
      <c r="E145" s="365">
        <f t="shared" ref="E145:L145" si="29">SUM(E66,E70,E74,E81,E94,E96,E100,E102,E104,E108,E110,E112,E114,E135,E138,E140,E143)</f>
        <v>20991.599999999999</v>
      </c>
      <c r="F145" s="365">
        <f t="shared" si="29"/>
        <v>15791.599999999999</v>
      </c>
      <c r="G145" s="365">
        <f t="shared" si="29"/>
        <v>18269.8</v>
      </c>
      <c r="H145" s="365">
        <f t="shared" si="29"/>
        <v>12781</v>
      </c>
      <c r="I145" s="365">
        <f t="shared" si="29"/>
        <v>13000</v>
      </c>
      <c r="J145" s="365">
        <f t="shared" si="29"/>
        <v>4000</v>
      </c>
      <c r="K145" s="365">
        <f t="shared" si="29"/>
        <v>13000</v>
      </c>
      <c r="L145" s="365">
        <f t="shared" si="29"/>
        <v>4000</v>
      </c>
      <c r="M145" s="365">
        <f t="shared" si="18"/>
        <v>-7991.5999999999985</v>
      </c>
      <c r="N145" s="365">
        <f t="shared" si="19"/>
        <v>-5269.7999999999993</v>
      </c>
      <c r="O145" s="365">
        <f t="shared" si="23"/>
        <v>0</v>
      </c>
      <c r="P145" s="365">
        <f t="shared" si="27"/>
        <v>-7991.5999999999985</v>
      </c>
      <c r="Q145" s="59"/>
      <c r="S145" s="221">
        <f t="shared" si="26"/>
        <v>0</v>
      </c>
    </row>
    <row r="146" spans="1:19" ht="60" x14ac:dyDescent="0.2">
      <c r="A146" s="1594">
        <v>15</v>
      </c>
      <c r="B146" s="1594" t="s">
        <v>410</v>
      </c>
      <c r="C146" s="608">
        <v>15010112002</v>
      </c>
      <c r="D146" s="373" t="s">
        <v>337</v>
      </c>
      <c r="E146" s="359">
        <v>50</v>
      </c>
      <c r="F146" s="360">
        <v>50</v>
      </c>
      <c r="G146" s="361">
        <v>50</v>
      </c>
      <c r="H146" s="362">
        <v>50</v>
      </c>
      <c r="I146" s="359">
        <v>100</v>
      </c>
      <c r="J146" s="360">
        <v>100</v>
      </c>
      <c r="K146" s="359">
        <v>50</v>
      </c>
      <c r="L146" s="363">
        <v>50</v>
      </c>
      <c r="M146" s="363"/>
      <c r="N146" s="363"/>
      <c r="O146" s="434">
        <f t="shared" si="23"/>
        <v>-50</v>
      </c>
      <c r="P146" s="430">
        <f t="shared" si="27"/>
        <v>0</v>
      </c>
      <c r="Q146" s="611" t="s">
        <v>766</v>
      </c>
      <c r="S146" s="221">
        <f t="shared" si="26"/>
        <v>0</v>
      </c>
    </row>
    <row r="147" spans="1:19" ht="12.75" x14ac:dyDescent="0.2">
      <c r="A147" s="1594"/>
      <c r="B147" s="1594"/>
      <c r="C147" s="546"/>
      <c r="D147" s="364" t="s">
        <v>185</v>
      </c>
      <c r="E147" s="359"/>
      <c r="F147" s="360"/>
      <c r="G147" s="361"/>
      <c r="H147" s="362"/>
      <c r="I147" s="359">
        <v>3.7</v>
      </c>
      <c r="J147" s="360">
        <v>3.7</v>
      </c>
      <c r="K147" s="359">
        <v>3.7</v>
      </c>
      <c r="L147" s="360">
        <v>3.7</v>
      </c>
      <c r="M147" s="363"/>
      <c r="N147" s="363"/>
      <c r="O147" s="434"/>
      <c r="P147" s="430"/>
      <c r="Q147" s="611"/>
      <c r="S147" s="221"/>
    </row>
    <row r="148" spans="1:19" ht="96" x14ac:dyDescent="0.2">
      <c r="A148" s="1594"/>
      <c r="B148" s="1594"/>
      <c r="C148" s="608">
        <v>15010113</v>
      </c>
      <c r="D148" s="373" t="s">
        <v>338</v>
      </c>
      <c r="E148" s="359"/>
      <c r="F148" s="360"/>
      <c r="G148" s="361"/>
      <c r="H148" s="362"/>
      <c r="I148" s="359">
        <v>1000</v>
      </c>
      <c r="J148" s="360">
        <v>1000</v>
      </c>
      <c r="K148" s="359">
        <v>1000</v>
      </c>
      <c r="L148" s="363">
        <v>1000</v>
      </c>
      <c r="M148" s="363"/>
      <c r="N148" s="363"/>
      <c r="O148" s="434">
        <f t="shared" si="23"/>
        <v>0</v>
      </c>
      <c r="P148" s="430">
        <f t="shared" si="27"/>
        <v>1000</v>
      </c>
      <c r="Q148" s="611" t="s">
        <v>339</v>
      </c>
      <c r="S148" s="221">
        <f t="shared" si="26"/>
        <v>0</v>
      </c>
    </row>
    <row r="149" spans="1:19" ht="38.25" x14ac:dyDescent="0.2">
      <c r="A149" s="1594"/>
      <c r="B149" s="1594"/>
      <c r="C149" s="608">
        <v>15010116002</v>
      </c>
      <c r="D149" s="373" t="s">
        <v>559</v>
      </c>
      <c r="E149" s="359">
        <v>8469.2999999999993</v>
      </c>
      <c r="F149" s="360"/>
      <c r="G149" s="361">
        <v>7969.3</v>
      </c>
      <c r="H149" s="362"/>
      <c r="I149" s="359"/>
      <c r="J149" s="360"/>
      <c r="K149" s="359"/>
      <c r="L149" s="363"/>
      <c r="M149" s="363"/>
      <c r="N149" s="363"/>
      <c r="O149" s="434">
        <f t="shared" si="23"/>
        <v>0</v>
      </c>
      <c r="P149" s="430">
        <f t="shared" si="27"/>
        <v>-8469.2999999999993</v>
      </c>
      <c r="Q149" s="611"/>
      <c r="S149" s="221">
        <f t="shared" si="26"/>
        <v>0</v>
      </c>
    </row>
    <row r="150" spans="1:19" ht="12.75" x14ac:dyDescent="0.2">
      <c r="A150" s="1594"/>
      <c r="B150" s="1594"/>
      <c r="C150" s="1597" t="s">
        <v>185</v>
      </c>
      <c r="D150" s="1597"/>
      <c r="E150" s="54"/>
      <c r="F150" s="65"/>
      <c r="G150" s="361">
        <v>1979.5</v>
      </c>
      <c r="H150" s="66"/>
      <c r="I150" s="54"/>
      <c r="J150" s="65"/>
      <c r="K150" s="54"/>
      <c r="L150" s="61"/>
      <c r="M150" s="61"/>
      <c r="N150" s="61"/>
      <c r="O150" s="433"/>
      <c r="P150" s="430">
        <f t="shared" si="27"/>
        <v>0</v>
      </c>
      <c r="Q150" s="611"/>
      <c r="S150" s="221">
        <f t="shared" si="26"/>
        <v>0</v>
      </c>
    </row>
    <row r="151" spans="1:19" ht="36" customHeight="1" x14ac:dyDescent="0.2">
      <c r="A151" s="1594"/>
      <c r="B151" s="1594"/>
      <c r="C151" s="608">
        <v>15010203001</v>
      </c>
      <c r="D151" s="373" t="s">
        <v>340</v>
      </c>
      <c r="E151" s="359">
        <v>6270.2</v>
      </c>
      <c r="F151" s="360">
        <v>6270.2</v>
      </c>
      <c r="G151" s="361">
        <v>5880.2</v>
      </c>
      <c r="H151" s="362">
        <v>5880.2</v>
      </c>
      <c r="I151" s="359">
        <v>6270.2</v>
      </c>
      <c r="J151" s="360">
        <v>6270.2</v>
      </c>
      <c r="K151" s="359">
        <v>6270.2</v>
      </c>
      <c r="L151" s="363">
        <v>6270.2</v>
      </c>
      <c r="M151" s="363">
        <f t="shared" ref="M151" si="30">K151-E151</f>
        <v>0</v>
      </c>
      <c r="N151" s="363">
        <f t="shared" ref="N151" si="31">K151-G151</f>
        <v>390</v>
      </c>
      <c r="O151" s="434">
        <f t="shared" ref="O151:O155" si="32">K151-I151</f>
        <v>0</v>
      </c>
      <c r="P151" s="430">
        <f t="shared" si="27"/>
        <v>0</v>
      </c>
      <c r="Q151" s="611" t="s">
        <v>341</v>
      </c>
      <c r="S151" s="221">
        <f t="shared" si="26"/>
        <v>0</v>
      </c>
    </row>
    <row r="152" spans="1:19" ht="12.75" customHeight="1" x14ac:dyDescent="0.2">
      <c r="A152" s="1594"/>
      <c r="B152" s="1594"/>
      <c r="C152" s="62"/>
      <c r="D152" s="364" t="s">
        <v>185</v>
      </c>
      <c r="E152" s="359"/>
      <c r="F152" s="360"/>
      <c r="G152" s="361">
        <v>224.7</v>
      </c>
      <c r="H152" s="362">
        <v>224.7</v>
      </c>
      <c r="I152" s="359">
        <v>831</v>
      </c>
      <c r="J152" s="360">
        <v>831</v>
      </c>
      <c r="K152" s="359">
        <v>831</v>
      </c>
      <c r="L152" s="360">
        <v>831</v>
      </c>
      <c r="M152" s="360"/>
      <c r="N152" s="360"/>
      <c r="O152" s="434">
        <f t="shared" si="32"/>
        <v>0</v>
      </c>
      <c r="P152" s="430">
        <f t="shared" si="27"/>
        <v>831</v>
      </c>
      <c r="Q152" s="611"/>
      <c r="S152" s="221">
        <f t="shared" si="26"/>
        <v>0</v>
      </c>
    </row>
    <row r="153" spans="1:19" ht="48" x14ac:dyDescent="0.2">
      <c r="A153" s="1594"/>
      <c r="B153" s="1594"/>
      <c r="C153" s="608">
        <v>15010325001</v>
      </c>
      <c r="D153" s="373" t="s">
        <v>342</v>
      </c>
      <c r="E153" s="359">
        <v>450</v>
      </c>
      <c r="F153" s="360">
        <v>450</v>
      </c>
      <c r="G153" s="361">
        <v>450</v>
      </c>
      <c r="H153" s="362">
        <v>450</v>
      </c>
      <c r="I153" s="359">
        <v>4487</v>
      </c>
      <c r="J153" s="360">
        <v>4100</v>
      </c>
      <c r="K153" s="359">
        <v>4333.2</v>
      </c>
      <c r="L153" s="360">
        <v>4044.2</v>
      </c>
      <c r="M153" s="363">
        <f t="shared" ref="M153" si="33">K153-E153</f>
        <v>3883.2</v>
      </c>
      <c r="N153" s="363">
        <f t="shared" ref="N153" si="34">K153-G153</f>
        <v>3883.2</v>
      </c>
      <c r="O153" s="434">
        <f t="shared" si="32"/>
        <v>-153.80000000000018</v>
      </c>
      <c r="P153" s="430">
        <f t="shared" si="27"/>
        <v>3883.2</v>
      </c>
      <c r="Q153" s="611" t="s">
        <v>767</v>
      </c>
      <c r="S153" s="221">
        <f t="shared" si="26"/>
        <v>0</v>
      </c>
    </row>
    <row r="154" spans="1:19" ht="12.75" x14ac:dyDescent="0.2">
      <c r="A154" s="1594"/>
      <c r="B154" s="1594"/>
      <c r="C154" s="62"/>
      <c r="D154" s="364" t="s">
        <v>185</v>
      </c>
      <c r="E154" s="359"/>
      <c r="F154" s="360"/>
      <c r="G154" s="361">
        <v>214.7</v>
      </c>
      <c r="H154" s="362">
        <v>214.7</v>
      </c>
      <c r="I154" s="359">
        <v>1300</v>
      </c>
      <c r="J154" s="360">
        <v>1300</v>
      </c>
      <c r="K154" s="359">
        <v>1300</v>
      </c>
      <c r="L154" s="360">
        <v>1300</v>
      </c>
      <c r="M154" s="360"/>
      <c r="N154" s="360"/>
      <c r="O154" s="434">
        <f t="shared" si="32"/>
        <v>0</v>
      </c>
      <c r="P154" s="430">
        <f t="shared" si="27"/>
        <v>1300</v>
      </c>
      <c r="Q154" s="611"/>
      <c r="S154" s="221">
        <f t="shared" si="26"/>
        <v>0</v>
      </c>
    </row>
    <row r="155" spans="1:19" ht="25.5" x14ac:dyDescent="0.2">
      <c r="A155" s="1594"/>
      <c r="B155" s="1594"/>
      <c r="C155" s="608">
        <v>15010325007</v>
      </c>
      <c r="D155" s="373" t="s">
        <v>343</v>
      </c>
      <c r="E155" s="359">
        <v>100</v>
      </c>
      <c r="F155" s="360">
        <v>100</v>
      </c>
      <c r="G155" s="361">
        <v>100</v>
      </c>
      <c r="H155" s="362">
        <v>100</v>
      </c>
      <c r="I155" s="359"/>
      <c r="J155" s="360"/>
      <c r="K155" s="359"/>
      <c r="L155" s="360"/>
      <c r="M155" s="363">
        <f t="shared" ref="M155" si="35">K155-E155</f>
        <v>-100</v>
      </c>
      <c r="N155" s="363">
        <f t="shared" ref="N155" si="36">K155-G155</f>
        <v>-100</v>
      </c>
      <c r="O155" s="434">
        <f t="shared" si="32"/>
        <v>0</v>
      </c>
      <c r="P155" s="430">
        <f t="shared" si="27"/>
        <v>-100</v>
      </c>
      <c r="Q155" s="611" t="s">
        <v>152</v>
      </c>
      <c r="S155" s="221">
        <f t="shared" si="26"/>
        <v>0</v>
      </c>
    </row>
    <row r="156" spans="1:19" ht="12.75" x14ac:dyDescent="0.2">
      <c r="A156" s="1594"/>
      <c r="B156" s="1594"/>
      <c r="C156" s="62"/>
      <c r="D156" s="364" t="s">
        <v>185</v>
      </c>
      <c r="E156" s="359"/>
      <c r="F156" s="360"/>
      <c r="G156" s="361">
        <v>12.4</v>
      </c>
      <c r="H156" s="362">
        <v>12.4</v>
      </c>
      <c r="I156" s="359"/>
      <c r="J156" s="360"/>
      <c r="K156" s="359"/>
      <c r="L156" s="360"/>
      <c r="M156" s="360"/>
      <c r="N156" s="360"/>
      <c r="O156" s="434"/>
      <c r="P156" s="430">
        <f t="shared" si="27"/>
        <v>0</v>
      </c>
      <c r="Q156" s="611"/>
      <c r="S156" s="221">
        <f t="shared" si="26"/>
        <v>0</v>
      </c>
    </row>
    <row r="157" spans="1:19" ht="12.75" x14ac:dyDescent="0.2">
      <c r="A157" s="1594"/>
      <c r="B157" s="1594"/>
      <c r="C157" s="608">
        <v>15010325008</v>
      </c>
      <c r="D157" s="373" t="s">
        <v>344</v>
      </c>
      <c r="E157" s="359">
        <v>100</v>
      </c>
      <c r="F157" s="360">
        <v>100</v>
      </c>
      <c r="G157" s="361">
        <v>408</v>
      </c>
      <c r="H157" s="362">
        <v>408</v>
      </c>
      <c r="I157" s="359"/>
      <c r="J157" s="360"/>
      <c r="K157" s="359"/>
      <c r="L157" s="363"/>
      <c r="M157" s="363">
        <f t="shared" ref="M157" si="37">K157-E157</f>
        <v>-100</v>
      </c>
      <c r="N157" s="363">
        <f t="shared" ref="N157" si="38">K157-G157</f>
        <v>-408</v>
      </c>
      <c r="O157" s="434">
        <f t="shared" ref="O157" si="39">K157-I157</f>
        <v>0</v>
      </c>
      <c r="P157" s="430">
        <f t="shared" si="27"/>
        <v>-100</v>
      </c>
      <c r="Q157" s="611" t="s">
        <v>152</v>
      </c>
      <c r="S157" s="221">
        <f t="shared" si="26"/>
        <v>0</v>
      </c>
    </row>
    <row r="158" spans="1:19" ht="12.75" x14ac:dyDescent="0.2">
      <c r="A158" s="1594"/>
      <c r="B158" s="1594"/>
      <c r="C158" s="62"/>
      <c r="D158" s="364" t="s">
        <v>185</v>
      </c>
      <c r="E158" s="359"/>
      <c r="F158" s="360"/>
      <c r="G158" s="361">
        <v>80.099999999999994</v>
      </c>
      <c r="H158" s="362">
        <v>80.099999999999994</v>
      </c>
      <c r="I158" s="359"/>
      <c r="J158" s="360"/>
      <c r="K158" s="359"/>
      <c r="L158" s="360"/>
      <c r="M158" s="360"/>
      <c r="N158" s="360"/>
      <c r="O158" s="434"/>
      <c r="P158" s="430">
        <f t="shared" si="27"/>
        <v>0</v>
      </c>
      <c r="Q158" s="611"/>
      <c r="S158" s="221">
        <f t="shared" si="26"/>
        <v>0</v>
      </c>
    </row>
    <row r="159" spans="1:19" ht="36" x14ac:dyDescent="0.2">
      <c r="A159" s="1594"/>
      <c r="B159" s="1594"/>
      <c r="C159" s="608">
        <v>15010355001</v>
      </c>
      <c r="D159" s="373" t="s">
        <v>345</v>
      </c>
      <c r="E159" s="359">
        <v>700</v>
      </c>
      <c r="F159" s="360">
        <v>700</v>
      </c>
      <c r="G159" s="361">
        <v>786.5</v>
      </c>
      <c r="H159" s="362">
        <v>786.5</v>
      </c>
      <c r="I159" s="359">
        <v>1500</v>
      </c>
      <c r="J159" s="360">
        <v>1500</v>
      </c>
      <c r="K159" s="359">
        <v>1300</v>
      </c>
      <c r="L159" s="360">
        <v>1300</v>
      </c>
      <c r="M159" s="363">
        <f t="shared" ref="M159" si="40">K159-E159</f>
        <v>600</v>
      </c>
      <c r="N159" s="363">
        <f t="shared" ref="N159" si="41">K159-G159</f>
        <v>513.5</v>
      </c>
      <c r="O159" s="434">
        <f t="shared" ref="O159:O173" si="42">K159-I159</f>
        <v>-200</v>
      </c>
      <c r="P159" s="430">
        <f t="shared" si="27"/>
        <v>600</v>
      </c>
      <c r="Q159" s="611" t="s">
        <v>346</v>
      </c>
      <c r="S159" s="221">
        <f t="shared" si="26"/>
        <v>0</v>
      </c>
    </row>
    <row r="160" spans="1:19" ht="12.75" x14ac:dyDescent="0.2">
      <c r="A160" s="1594"/>
      <c r="B160" s="1594"/>
      <c r="C160" s="62"/>
      <c r="D160" s="364" t="s">
        <v>185</v>
      </c>
      <c r="E160" s="359"/>
      <c r="F160" s="360"/>
      <c r="G160" s="361">
        <v>596.20000000000005</v>
      </c>
      <c r="H160" s="362">
        <v>596.20000000000005</v>
      </c>
      <c r="I160" s="359">
        <v>150</v>
      </c>
      <c r="J160" s="360">
        <v>150</v>
      </c>
      <c r="K160" s="359">
        <v>150</v>
      </c>
      <c r="L160" s="360">
        <v>150</v>
      </c>
      <c r="M160" s="360"/>
      <c r="N160" s="360"/>
      <c r="O160" s="434">
        <f t="shared" si="42"/>
        <v>0</v>
      </c>
      <c r="P160" s="430">
        <f t="shared" si="27"/>
        <v>150</v>
      </c>
      <c r="Q160" s="611"/>
      <c r="S160" s="221">
        <f t="shared" si="26"/>
        <v>0</v>
      </c>
    </row>
    <row r="161" spans="1:19" ht="36" x14ac:dyDescent="0.2">
      <c r="A161" s="1594">
        <v>15</v>
      </c>
      <c r="B161" s="1594" t="s">
        <v>410</v>
      </c>
      <c r="C161" s="608">
        <v>15010357001</v>
      </c>
      <c r="D161" s="373" t="s">
        <v>347</v>
      </c>
      <c r="E161" s="359">
        <v>100</v>
      </c>
      <c r="F161" s="360">
        <v>100</v>
      </c>
      <c r="G161" s="361">
        <v>23.8</v>
      </c>
      <c r="H161" s="362">
        <v>23.8</v>
      </c>
      <c r="I161" s="359">
        <v>70</v>
      </c>
      <c r="J161" s="360">
        <v>70</v>
      </c>
      <c r="K161" s="359">
        <v>70</v>
      </c>
      <c r="L161" s="360">
        <v>70</v>
      </c>
      <c r="M161" s="363">
        <f t="shared" ref="M161" si="43">K161-E161</f>
        <v>-30</v>
      </c>
      <c r="N161" s="363">
        <f t="shared" ref="N161" si="44">K161-G161</f>
        <v>46.2</v>
      </c>
      <c r="O161" s="434">
        <f t="shared" si="42"/>
        <v>0</v>
      </c>
      <c r="P161" s="430">
        <f t="shared" si="27"/>
        <v>-30</v>
      </c>
      <c r="Q161" s="611" t="s">
        <v>348</v>
      </c>
      <c r="S161" s="221">
        <f t="shared" si="26"/>
        <v>0</v>
      </c>
    </row>
    <row r="162" spans="1:19" ht="36" x14ac:dyDescent="0.2">
      <c r="A162" s="1594"/>
      <c r="B162" s="1594"/>
      <c r="C162" s="608">
        <v>15010358001</v>
      </c>
      <c r="D162" s="373" t="s">
        <v>349</v>
      </c>
      <c r="E162" s="359">
        <v>199</v>
      </c>
      <c r="F162" s="360">
        <v>199</v>
      </c>
      <c r="G162" s="361"/>
      <c r="H162" s="362"/>
      <c r="I162" s="359">
        <v>600</v>
      </c>
      <c r="J162" s="360">
        <v>600</v>
      </c>
      <c r="K162" s="359">
        <v>600</v>
      </c>
      <c r="L162" s="363">
        <v>600</v>
      </c>
      <c r="M162" s="363">
        <f t="shared" ref="M162:M164" si="45">K162-E162</f>
        <v>401</v>
      </c>
      <c r="N162" s="363">
        <f t="shared" ref="N162:N169" si="46">K162-G162</f>
        <v>600</v>
      </c>
      <c r="O162" s="434">
        <f t="shared" si="42"/>
        <v>0</v>
      </c>
      <c r="P162" s="430">
        <f t="shared" si="27"/>
        <v>401</v>
      </c>
      <c r="Q162" s="611" t="s">
        <v>350</v>
      </c>
      <c r="S162" s="221">
        <f t="shared" si="26"/>
        <v>0</v>
      </c>
    </row>
    <row r="163" spans="1:19" ht="12.75" x14ac:dyDescent="0.2">
      <c r="A163" s="1594"/>
      <c r="B163" s="1594"/>
      <c r="C163" s="608">
        <v>15010359001</v>
      </c>
      <c r="D163" s="373" t="s">
        <v>351</v>
      </c>
      <c r="E163" s="359">
        <v>500</v>
      </c>
      <c r="F163" s="360">
        <v>160.4</v>
      </c>
      <c r="G163" s="361">
        <v>500</v>
      </c>
      <c r="H163" s="362">
        <v>160.4</v>
      </c>
      <c r="I163" s="359"/>
      <c r="J163" s="360"/>
      <c r="K163" s="359"/>
      <c r="L163" s="363"/>
      <c r="M163" s="363">
        <f t="shared" si="45"/>
        <v>-500</v>
      </c>
      <c r="N163" s="363">
        <f t="shared" si="46"/>
        <v>-500</v>
      </c>
      <c r="O163" s="434">
        <f t="shared" si="42"/>
        <v>0</v>
      </c>
      <c r="P163" s="430">
        <f t="shared" si="27"/>
        <v>-500</v>
      </c>
      <c r="Q163" s="611"/>
      <c r="S163" s="221">
        <f t="shared" si="26"/>
        <v>0</v>
      </c>
    </row>
    <row r="164" spans="1:19" ht="38.25" x14ac:dyDescent="0.2">
      <c r="A164" s="1594"/>
      <c r="B164" s="1594"/>
      <c r="C164" s="608">
        <v>15010360001</v>
      </c>
      <c r="D164" s="373" t="s">
        <v>352</v>
      </c>
      <c r="E164" s="359">
        <v>600</v>
      </c>
      <c r="F164" s="360">
        <v>600</v>
      </c>
      <c r="G164" s="361">
        <v>121</v>
      </c>
      <c r="H164" s="362">
        <v>121</v>
      </c>
      <c r="I164" s="359">
        <v>600</v>
      </c>
      <c r="J164" s="360">
        <v>600</v>
      </c>
      <c r="K164" s="359">
        <v>600</v>
      </c>
      <c r="L164" s="360">
        <v>600</v>
      </c>
      <c r="M164" s="363">
        <f t="shared" si="45"/>
        <v>0</v>
      </c>
      <c r="N164" s="363">
        <f t="shared" si="46"/>
        <v>479</v>
      </c>
      <c r="O164" s="434">
        <f t="shared" si="42"/>
        <v>0</v>
      </c>
      <c r="P164" s="430">
        <f t="shared" si="27"/>
        <v>0</v>
      </c>
      <c r="Q164" s="611" t="s">
        <v>353</v>
      </c>
      <c r="S164" s="221">
        <f t="shared" si="26"/>
        <v>0</v>
      </c>
    </row>
    <row r="165" spans="1:19" ht="25.5" x14ac:dyDescent="0.2">
      <c r="A165" s="1594"/>
      <c r="B165" s="1594"/>
      <c r="C165" s="608">
        <v>15010401001</v>
      </c>
      <c r="D165" s="373" t="s">
        <v>354</v>
      </c>
      <c r="E165" s="359"/>
      <c r="F165" s="360"/>
      <c r="G165" s="361">
        <v>200</v>
      </c>
      <c r="H165" s="362">
        <v>200</v>
      </c>
      <c r="I165" s="359">
        <v>400</v>
      </c>
      <c r="J165" s="360">
        <v>400</v>
      </c>
      <c r="K165" s="359">
        <v>400</v>
      </c>
      <c r="L165" s="360">
        <v>400</v>
      </c>
      <c r="M165" s="363"/>
      <c r="N165" s="363">
        <f t="shared" si="46"/>
        <v>200</v>
      </c>
      <c r="O165" s="434">
        <f t="shared" si="42"/>
        <v>0</v>
      </c>
      <c r="P165" s="430">
        <f t="shared" si="27"/>
        <v>400</v>
      </c>
      <c r="Q165" s="611" t="s">
        <v>768</v>
      </c>
      <c r="S165" s="221">
        <f t="shared" si="26"/>
        <v>0</v>
      </c>
    </row>
    <row r="166" spans="1:19" ht="12.75" x14ac:dyDescent="0.2">
      <c r="A166" s="1594"/>
      <c r="B166" s="1594"/>
      <c r="C166" s="608"/>
      <c r="D166" s="364" t="s">
        <v>185</v>
      </c>
      <c r="E166" s="359"/>
      <c r="F166" s="360"/>
      <c r="G166" s="361"/>
      <c r="H166" s="362"/>
      <c r="I166" s="359">
        <v>8.8000000000000007</v>
      </c>
      <c r="J166" s="360">
        <v>8.8000000000000007</v>
      </c>
      <c r="K166" s="359">
        <v>8.8000000000000007</v>
      </c>
      <c r="L166" s="360">
        <v>8.8000000000000007</v>
      </c>
      <c r="M166" s="363"/>
      <c r="N166" s="363"/>
      <c r="O166" s="434">
        <f t="shared" si="42"/>
        <v>0</v>
      </c>
      <c r="P166" s="430">
        <f t="shared" si="27"/>
        <v>8.8000000000000007</v>
      </c>
      <c r="Q166" s="611"/>
      <c r="S166" s="221">
        <f t="shared" si="26"/>
        <v>0</v>
      </c>
    </row>
    <row r="167" spans="1:19" ht="60" x14ac:dyDescent="0.2">
      <c r="A167" s="1594"/>
      <c r="B167" s="1594"/>
      <c r="C167" s="608">
        <v>15010401003</v>
      </c>
      <c r="D167" s="373" t="s">
        <v>355</v>
      </c>
      <c r="E167" s="359"/>
      <c r="F167" s="360"/>
      <c r="G167" s="361">
        <v>49</v>
      </c>
      <c r="H167" s="362">
        <v>49</v>
      </c>
      <c r="I167" s="359">
        <v>370</v>
      </c>
      <c r="J167" s="360">
        <v>370</v>
      </c>
      <c r="K167" s="359">
        <v>370</v>
      </c>
      <c r="L167" s="360">
        <v>370</v>
      </c>
      <c r="M167" s="363"/>
      <c r="N167" s="363">
        <f t="shared" si="46"/>
        <v>321</v>
      </c>
      <c r="O167" s="434">
        <f t="shared" si="42"/>
        <v>0</v>
      </c>
      <c r="P167" s="430">
        <f t="shared" si="27"/>
        <v>370</v>
      </c>
      <c r="Q167" s="611" t="s">
        <v>690</v>
      </c>
      <c r="S167" s="221">
        <f t="shared" si="26"/>
        <v>0</v>
      </c>
    </row>
    <row r="168" spans="1:19" ht="38.25" x14ac:dyDescent="0.2">
      <c r="A168" s="1594"/>
      <c r="B168" s="1594"/>
      <c r="C168" s="608">
        <v>15010415001</v>
      </c>
      <c r="D168" s="373" t="s">
        <v>356</v>
      </c>
      <c r="E168" s="359"/>
      <c r="F168" s="360"/>
      <c r="G168" s="361">
        <v>18</v>
      </c>
      <c r="H168" s="362">
        <v>18</v>
      </c>
      <c r="I168" s="359">
        <v>300</v>
      </c>
      <c r="J168" s="360">
        <v>300</v>
      </c>
      <c r="K168" s="359">
        <v>50</v>
      </c>
      <c r="L168" s="363">
        <v>50</v>
      </c>
      <c r="M168" s="363">
        <f t="shared" ref="M168:M169" si="47">K168-E168</f>
        <v>50</v>
      </c>
      <c r="N168" s="363">
        <f t="shared" si="46"/>
        <v>32</v>
      </c>
      <c r="O168" s="434">
        <f t="shared" si="42"/>
        <v>-250</v>
      </c>
      <c r="P168" s="430">
        <f t="shared" si="27"/>
        <v>50</v>
      </c>
      <c r="Q168" s="611" t="s">
        <v>1272</v>
      </c>
      <c r="S168" s="221">
        <f t="shared" si="26"/>
        <v>0</v>
      </c>
    </row>
    <row r="169" spans="1:19" ht="120" x14ac:dyDescent="0.2">
      <c r="A169" s="1594"/>
      <c r="B169" s="1594"/>
      <c r="C169" s="608">
        <v>15020116004</v>
      </c>
      <c r="D169" s="373" t="s">
        <v>357</v>
      </c>
      <c r="E169" s="359">
        <v>937</v>
      </c>
      <c r="F169" s="360">
        <v>437</v>
      </c>
      <c r="G169" s="361">
        <v>187.4</v>
      </c>
      <c r="H169" s="362">
        <v>187.4</v>
      </c>
      <c r="I169" s="359">
        <v>1187</v>
      </c>
      <c r="J169" s="360">
        <v>1187</v>
      </c>
      <c r="K169" s="359">
        <v>487</v>
      </c>
      <c r="L169" s="363">
        <v>487</v>
      </c>
      <c r="M169" s="363">
        <f t="shared" si="47"/>
        <v>-450</v>
      </c>
      <c r="N169" s="363">
        <f t="shared" si="46"/>
        <v>299.60000000000002</v>
      </c>
      <c r="O169" s="434">
        <f t="shared" si="42"/>
        <v>-700</v>
      </c>
      <c r="P169" s="430">
        <f t="shared" si="27"/>
        <v>-450</v>
      </c>
      <c r="Q169" s="611" t="s">
        <v>560</v>
      </c>
      <c r="S169" s="221">
        <f t="shared" si="26"/>
        <v>0</v>
      </c>
    </row>
    <row r="170" spans="1:19" ht="25.5" x14ac:dyDescent="0.2">
      <c r="A170" s="1594"/>
      <c r="B170" s="1594"/>
      <c r="C170" s="608">
        <v>15020122001</v>
      </c>
      <c r="D170" s="373" t="s">
        <v>358</v>
      </c>
      <c r="E170" s="359">
        <v>1</v>
      </c>
      <c r="F170" s="360">
        <v>1</v>
      </c>
      <c r="G170" s="361">
        <v>1</v>
      </c>
      <c r="H170" s="362">
        <v>1</v>
      </c>
      <c r="I170" s="359"/>
      <c r="J170" s="360"/>
      <c r="K170" s="359"/>
      <c r="L170" s="363"/>
      <c r="M170" s="363"/>
      <c r="N170" s="363"/>
      <c r="O170" s="434">
        <f t="shared" si="42"/>
        <v>0</v>
      </c>
      <c r="P170" s="430">
        <f t="shared" si="27"/>
        <v>-1</v>
      </c>
      <c r="Q170" s="611" t="s">
        <v>359</v>
      </c>
      <c r="S170" s="221">
        <f t="shared" si="26"/>
        <v>0</v>
      </c>
    </row>
    <row r="171" spans="1:19" ht="144" x14ac:dyDescent="0.2">
      <c r="A171" s="1594"/>
      <c r="B171" s="1594"/>
      <c r="C171" s="608">
        <v>15040101001</v>
      </c>
      <c r="D171" s="373" t="s">
        <v>360</v>
      </c>
      <c r="E171" s="359">
        <v>15.7</v>
      </c>
      <c r="F171" s="360">
        <v>15.7</v>
      </c>
      <c r="G171" s="361">
        <v>2</v>
      </c>
      <c r="H171" s="362">
        <v>2</v>
      </c>
      <c r="I171" s="359">
        <v>69.400000000000006</v>
      </c>
      <c r="J171" s="360">
        <v>69.400000000000006</v>
      </c>
      <c r="K171" s="359">
        <v>69.400000000000006</v>
      </c>
      <c r="L171" s="363">
        <v>69.400000000000006</v>
      </c>
      <c r="M171" s="363">
        <f t="shared" ref="M171:M173" si="48">K171-E171</f>
        <v>53.7</v>
      </c>
      <c r="N171" s="363">
        <f t="shared" ref="N171:N180" si="49">K171-G171</f>
        <v>67.400000000000006</v>
      </c>
      <c r="O171" s="434">
        <f t="shared" si="42"/>
        <v>0</v>
      </c>
      <c r="P171" s="430">
        <f t="shared" si="27"/>
        <v>53.7</v>
      </c>
      <c r="Q171" s="611" t="s">
        <v>692</v>
      </c>
      <c r="S171" s="221">
        <f t="shared" si="26"/>
        <v>0</v>
      </c>
    </row>
    <row r="172" spans="1:19" ht="72" x14ac:dyDescent="0.2">
      <c r="A172" s="1594"/>
      <c r="B172" s="1594"/>
      <c r="C172" s="608">
        <v>15040102001</v>
      </c>
      <c r="D172" s="373" t="s">
        <v>361</v>
      </c>
      <c r="E172" s="359">
        <v>63.9</v>
      </c>
      <c r="F172" s="360">
        <v>63.9</v>
      </c>
      <c r="G172" s="361">
        <v>1</v>
      </c>
      <c r="H172" s="362">
        <v>1</v>
      </c>
      <c r="I172" s="359">
        <v>28.9</v>
      </c>
      <c r="J172" s="360">
        <v>28.9</v>
      </c>
      <c r="K172" s="359">
        <v>28.9</v>
      </c>
      <c r="L172" s="363">
        <v>28.9</v>
      </c>
      <c r="M172" s="363">
        <f t="shared" si="48"/>
        <v>-35</v>
      </c>
      <c r="N172" s="363">
        <f t="shared" si="49"/>
        <v>27.9</v>
      </c>
      <c r="O172" s="434">
        <f t="shared" si="42"/>
        <v>0</v>
      </c>
      <c r="P172" s="430">
        <f t="shared" si="27"/>
        <v>-35</v>
      </c>
      <c r="Q172" s="611" t="s">
        <v>670</v>
      </c>
      <c r="S172" s="221">
        <f t="shared" si="26"/>
        <v>0</v>
      </c>
    </row>
    <row r="173" spans="1:19" ht="48" x14ac:dyDescent="0.2">
      <c r="A173" s="1594"/>
      <c r="B173" s="1594"/>
      <c r="C173" s="608">
        <v>15040103001</v>
      </c>
      <c r="D173" s="373" t="s">
        <v>362</v>
      </c>
      <c r="E173" s="359">
        <v>368</v>
      </c>
      <c r="F173" s="360">
        <v>368</v>
      </c>
      <c r="G173" s="361">
        <v>368</v>
      </c>
      <c r="H173" s="362">
        <v>368</v>
      </c>
      <c r="I173" s="359">
        <v>247</v>
      </c>
      <c r="J173" s="360">
        <v>247</v>
      </c>
      <c r="K173" s="359">
        <v>247</v>
      </c>
      <c r="L173" s="363">
        <v>247</v>
      </c>
      <c r="M173" s="363">
        <f t="shared" si="48"/>
        <v>-121</v>
      </c>
      <c r="N173" s="363">
        <f t="shared" si="49"/>
        <v>-121</v>
      </c>
      <c r="O173" s="434">
        <f t="shared" si="42"/>
        <v>0</v>
      </c>
      <c r="P173" s="430">
        <f t="shared" si="27"/>
        <v>-121</v>
      </c>
      <c r="Q173" s="611" t="s">
        <v>671</v>
      </c>
      <c r="S173" s="221">
        <f t="shared" si="26"/>
        <v>0</v>
      </c>
    </row>
    <row r="174" spans="1:19" ht="12.75" x14ac:dyDescent="0.2">
      <c r="A174" s="1594"/>
      <c r="B174" s="1594"/>
      <c r="C174" s="62"/>
      <c r="D174" s="364" t="s">
        <v>185</v>
      </c>
      <c r="E174" s="359"/>
      <c r="F174" s="360"/>
      <c r="G174" s="361">
        <v>10.4</v>
      </c>
      <c r="H174" s="362">
        <v>10.4</v>
      </c>
      <c r="I174" s="359"/>
      <c r="J174" s="360"/>
      <c r="K174" s="359"/>
      <c r="L174" s="360"/>
      <c r="M174" s="360"/>
      <c r="N174" s="360">
        <f t="shared" si="49"/>
        <v>-10.4</v>
      </c>
      <c r="O174" s="434"/>
      <c r="P174" s="430">
        <f t="shared" si="27"/>
        <v>0</v>
      </c>
      <c r="Q174" s="611"/>
      <c r="S174" s="221">
        <f t="shared" si="26"/>
        <v>0</v>
      </c>
    </row>
    <row r="175" spans="1:19" ht="72" x14ac:dyDescent="0.2">
      <c r="A175" s="1594">
        <v>15</v>
      </c>
      <c r="B175" s="1594" t="s">
        <v>410</v>
      </c>
      <c r="C175" s="608">
        <v>15040104001</v>
      </c>
      <c r="D175" s="373" t="s">
        <v>363</v>
      </c>
      <c r="E175" s="359">
        <v>106.4</v>
      </c>
      <c r="F175" s="360">
        <v>106.4</v>
      </c>
      <c r="G175" s="361">
        <v>1</v>
      </c>
      <c r="H175" s="362">
        <v>1</v>
      </c>
      <c r="I175" s="359">
        <v>30.4</v>
      </c>
      <c r="J175" s="360">
        <v>30.4</v>
      </c>
      <c r="K175" s="359">
        <v>30.4</v>
      </c>
      <c r="L175" s="363">
        <v>30.4</v>
      </c>
      <c r="M175" s="363">
        <f t="shared" ref="M175:M180" si="50">K175-E175</f>
        <v>-76</v>
      </c>
      <c r="N175" s="363">
        <f t="shared" si="49"/>
        <v>29.4</v>
      </c>
      <c r="O175" s="434">
        <f t="shared" ref="O175:O180" si="51">K175-I175</f>
        <v>0</v>
      </c>
      <c r="P175" s="430">
        <f t="shared" si="27"/>
        <v>-76</v>
      </c>
      <c r="Q175" s="611" t="s">
        <v>670</v>
      </c>
      <c r="S175" s="221">
        <f t="shared" si="26"/>
        <v>0</v>
      </c>
    </row>
    <row r="176" spans="1:19" ht="60" x14ac:dyDescent="0.2">
      <c r="A176" s="1594"/>
      <c r="B176" s="1594"/>
      <c r="C176" s="608">
        <v>15040105001</v>
      </c>
      <c r="D176" s="373" t="s">
        <v>364</v>
      </c>
      <c r="E176" s="359">
        <v>20</v>
      </c>
      <c r="F176" s="360">
        <v>20</v>
      </c>
      <c r="G176" s="361">
        <v>20</v>
      </c>
      <c r="H176" s="362">
        <v>20</v>
      </c>
      <c r="I176" s="359">
        <v>12.7</v>
      </c>
      <c r="J176" s="360">
        <v>12.7</v>
      </c>
      <c r="K176" s="359">
        <v>12.7</v>
      </c>
      <c r="L176" s="363">
        <v>12.7</v>
      </c>
      <c r="M176" s="363">
        <f t="shared" si="50"/>
        <v>-7.3000000000000007</v>
      </c>
      <c r="N176" s="363">
        <f t="shared" si="49"/>
        <v>-7.3000000000000007</v>
      </c>
      <c r="O176" s="434">
        <f t="shared" si="51"/>
        <v>0</v>
      </c>
      <c r="P176" s="430">
        <f t="shared" si="27"/>
        <v>-7.3000000000000007</v>
      </c>
      <c r="Q176" s="611" t="s">
        <v>365</v>
      </c>
      <c r="S176" s="221">
        <f t="shared" si="26"/>
        <v>0</v>
      </c>
    </row>
    <row r="177" spans="1:19" ht="48" x14ac:dyDescent="0.2">
      <c r="A177" s="1594"/>
      <c r="B177" s="1594"/>
      <c r="C177" s="608">
        <v>15040106001</v>
      </c>
      <c r="D177" s="373" t="s">
        <v>366</v>
      </c>
      <c r="E177" s="359">
        <v>71</v>
      </c>
      <c r="F177" s="360">
        <v>71</v>
      </c>
      <c r="G177" s="361">
        <v>1</v>
      </c>
      <c r="H177" s="362">
        <v>1</v>
      </c>
      <c r="I177" s="359">
        <v>41</v>
      </c>
      <c r="J177" s="360">
        <v>41</v>
      </c>
      <c r="K177" s="359">
        <v>41</v>
      </c>
      <c r="L177" s="363">
        <v>41</v>
      </c>
      <c r="M177" s="363">
        <f t="shared" si="50"/>
        <v>-30</v>
      </c>
      <c r="N177" s="363">
        <f t="shared" si="49"/>
        <v>40</v>
      </c>
      <c r="O177" s="434">
        <f t="shared" si="51"/>
        <v>0</v>
      </c>
      <c r="P177" s="430">
        <f t="shared" si="27"/>
        <v>-30</v>
      </c>
      <c r="Q177" s="611" t="s">
        <v>367</v>
      </c>
      <c r="S177" s="221">
        <f t="shared" si="26"/>
        <v>0</v>
      </c>
    </row>
    <row r="178" spans="1:19" ht="48" x14ac:dyDescent="0.2">
      <c r="A178" s="1594"/>
      <c r="B178" s="1594"/>
      <c r="C178" s="608">
        <v>15040107001</v>
      </c>
      <c r="D178" s="373" t="s">
        <v>368</v>
      </c>
      <c r="E178" s="359">
        <v>20.6</v>
      </c>
      <c r="F178" s="360">
        <v>20.6</v>
      </c>
      <c r="G178" s="361">
        <v>20.6</v>
      </c>
      <c r="H178" s="362">
        <v>20.6</v>
      </c>
      <c r="I178" s="359">
        <v>23.4</v>
      </c>
      <c r="J178" s="360">
        <v>23.4</v>
      </c>
      <c r="K178" s="359">
        <v>23.4</v>
      </c>
      <c r="L178" s="363">
        <v>23.4</v>
      </c>
      <c r="M178" s="363">
        <f t="shared" si="50"/>
        <v>2.7999999999999972</v>
      </c>
      <c r="N178" s="363">
        <f t="shared" si="49"/>
        <v>2.7999999999999972</v>
      </c>
      <c r="O178" s="434">
        <f t="shared" si="51"/>
        <v>0</v>
      </c>
      <c r="P178" s="430">
        <f t="shared" si="27"/>
        <v>2.7999999999999972</v>
      </c>
      <c r="Q178" s="611" t="s">
        <v>369</v>
      </c>
      <c r="S178" s="221">
        <f t="shared" si="26"/>
        <v>0</v>
      </c>
    </row>
    <row r="179" spans="1:19" ht="38.25" x14ac:dyDescent="0.2">
      <c r="A179" s="1594"/>
      <c r="B179" s="1594"/>
      <c r="C179" s="608">
        <v>15040108001</v>
      </c>
      <c r="D179" s="373" t="s">
        <v>370</v>
      </c>
      <c r="E179" s="359">
        <v>1002</v>
      </c>
      <c r="F179" s="360">
        <v>502</v>
      </c>
      <c r="G179" s="361">
        <v>261.5</v>
      </c>
      <c r="H179" s="362">
        <v>261.5</v>
      </c>
      <c r="I179" s="359">
        <v>644.29999999999995</v>
      </c>
      <c r="J179" s="360">
        <v>644.29999999999995</v>
      </c>
      <c r="K179" s="359">
        <v>644.29999999999995</v>
      </c>
      <c r="L179" s="363">
        <v>644.29999999999995</v>
      </c>
      <c r="M179" s="363">
        <f t="shared" si="50"/>
        <v>-357.70000000000005</v>
      </c>
      <c r="N179" s="363">
        <f t="shared" si="49"/>
        <v>382.79999999999995</v>
      </c>
      <c r="O179" s="434">
        <f t="shared" si="51"/>
        <v>0</v>
      </c>
      <c r="P179" s="430">
        <f t="shared" si="27"/>
        <v>-357.70000000000005</v>
      </c>
      <c r="Q179" s="611" t="s">
        <v>371</v>
      </c>
      <c r="S179" s="221">
        <f t="shared" si="26"/>
        <v>0</v>
      </c>
    </row>
    <row r="180" spans="1:19" ht="72" x14ac:dyDescent="0.2">
      <c r="A180" s="1594"/>
      <c r="B180" s="1594"/>
      <c r="C180" s="608">
        <v>15040109001</v>
      </c>
      <c r="D180" s="373" t="s">
        <v>372</v>
      </c>
      <c r="E180" s="359">
        <v>78</v>
      </c>
      <c r="F180" s="360">
        <v>78</v>
      </c>
      <c r="G180" s="361">
        <v>13.6</v>
      </c>
      <c r="H180" s="362">
        <v>13.6</v>
      </c>
      <c r="I180" s="359">
        <v>30</v>
      </c>
      <c r="J180" s="360">
        <v>30</v>
      </c>
      <c r="K180" s="359">
        <v>30</v>
      </c>
      <c r="L180" s="363">
        <v>30</v>
      </c>
      <c r="M180" s="363">
        <f t="shared" si="50"/>
        <v>-48</v>
      </c>
      <c r="N180" s="363">
        <f t="shared" si="49"/>
        <v>16.399999999999999</v>
      </c>
      <c r="O180" s="434">
        <f t="shared" si="51"/>
        <v>0</v>
      </c>
      <c r="P180" s="430">
        <f t="shared" si="27"/>
        <v>-48</v>
      </c>
      <c r="Q180" s="611" t="s">
        <v>672</v>
      </c>
      <c r="S180" s="221">
        <f t="shared" si="26"/>
        <v>0</v>
      </c>
    </row>
    <row r="181" spans="1:19" ht="12.75" x14ac:dyDescent="0.2">
      <c r="A181" s="1594"/>
      <c r="B181" s="1594"/>
      <c r="C181" s="62"/>
      <c r="D181" s="364" t="s">
        <v>185</v>
      </c>
      <c r="E181" s="359"/>
      <c r="F181" s="360"/>
      <c r="G181" s="361">
        <v>13.5</v>
      </c>
      <c r="H181" s="362">
        <v>13.5</v>
      </c>
      <c r="I181" s="359"/>
      <c r="J181" s="360"/>
      <c r="K181" s="359"/>
      <c r="L181" s="360"/>
      <c r="M181" s="360"/>
      <c r="N181" s="360"/>
      <c r="O181" s="434"/>
      <c r="P181" s="430">
        <f t="shared" si="27"/>
        <v>0</v>
      </c>
      <c r="Q181" s="611"/>
      <c r="S181" s="221">
        <f t="shared" si="26"/>
        <v>0</v>
      </c>
    </row>
    <row r="182" spans="1:19" ht="72" x14ac:dyDescent="0.2">
      <c r="A182" s="1594"/>
      <c r="B182" s="1594"/>
      <c r="C182" s="608">
        <v>15040110001</v>
      </c>
      <c r="D182" s="373" t="s">
        <v>373</v>
      </c>
      <c r="E182" s="359">
        <v>285</v>
      </c>
      <c r="F182" s="360">
        <v>285</v>
      </c>
      <c r="G182" s="361">
        <v>76.599999999999994</v>
      </c>
      <c r="H182" s="362">
        <v>76.599999999999994</v>
      </c>
      <c r="I182" s="359">
        <v>213.7</v>
      </c>
      <c r="J182" s="360">
        <v>213.7</v>
      </c>
      <c r="K182" s="359">
        <v>213.7</v>
      </c>
      <c r="L182" s="363">
        <v>213.7</v>
      </c>
      <c r="M182" s="363">
        <f t="shared" ref="M182:M185" si="52">K182-E182</f>
        <v>-71.300000000000011</v>
      </c>
      <c r="N182" s="363">
        <f t="shared" ref="N182:N185" si="53">K182-G182</f>
        <v>137.1</v>
      </c>
      <c r="O182" s="434">
        <f t="shared" ref="O182:O185" si="54">K182-I182</f>
        <v>0</v>
      </c>
      <c r="P182" s="430">
        <f t="shared" si="27"/>
        <v>-71.300000000000011</v>
      </c>
      <c r="Q182" s="611" t="s">
        <v>374</v>
      </c>
      <c r="S182" s="221">
        <f t="shared" si="26"/>
        <v>0</v>
      </c>
    </row>
    <row r="183" spans="1:19" ht="72" x14ac:dyDescent="0.2">
      <c r="A183" s="1594"/>
      <c r="B183" s="1594"/>
      <c r="C183" s="608">
        <v>15040111001</v>
      </c>
      <c r="D183" s="373" t="s">
        <v>375</v>
      </c>
      <c r="E183" s="359">
        <v>104</v>
      </c>
      <c r="F183" s="360">
        <v>104</v>
      </c>
      <c r="G183" s="361">
        <v>15.5</v>
      </c>
      <c r="H183" s="362">
        <v>15.5</v>
      </c>
      <c r="I183" s="359">
        <v>45</v>
      </c>
      <c r="J183" s="360">
        <v>45</v>
      </c>
      <c r="K183" s="359">
        <v>45</v>
      </c>
      <c r="L183" s="363">
        <v>45</v>
      </c>
      <c r="M183" s="363">
        <f t="shared" si="52"/>
        <v>-59</v>
      </c>
      <c r="N183" s="363">
        <f t="shared" si="53"/>
        <v>29.5</v>
      </c>
      <c r="O183" s="434">
        <f t="shared" si="54"/>
        <v>0</v>
      </c>
      <c r="P183" s="430">
        <f t="shared" si="27"/>
        <v>-59</v>
      </c>
      <c r="Q183" s="611" t="s">
        <v>673</v>
      </c>
      <c r="S183" s="221">
        <f t="shared" si="26"/>
        <v>0</v>
      </c>
    </row>
    <row r="184" spans="1:19" ht="72" x14ac:dyDescent="0.2">
      <c r="A184" s="1594"/>
      <c r="B184" s="1594"/>
      <c r="C184" s="608">
        <v>15040112001</v>
      </c>
      <c r="D184" s="373" t="s">
        <v>376</v>
      </c>
      <c r="E184" s="359">
        <v>121.6</v>
      </c>
      <c r="F184" s="360">
        <v>121.6</v>
      </c>
      <c r="G184" s="361">
        <v>100</v>
      </c>
      <c r="H184" s="362">
        <v>100</v>
      </c>
      <c r="I184" s="359">
        <v>86.9</v>
      </c>
      <c r="J184" s="360">
        <v>86.9</v>
      </c>
      <c r="K184" s="359">
        <v>86.9</v>
      </c>
      <c r="L184" s="360">
        <v>86.9</v>
      </c>
      <c r="M184" s="363">
        <f t="shared" si="52"/>
        <v>-34.699999999999989</v>
      </c>
      <c r="N184" s="363">
        <f t="shared" si="53"/>
        <v>-13.099999999999994</v>
      </c>
      <c r="O184" s="434">
        <f t="shared" si="54"/>
        <v>0</v>
      </c>
      <c r="P184" s="430">
        <f t="shared" si="27"/>
        <v>-34.699999999999989</v>
      </c>
      <c r="Q184" s="611" t="s">
        <v>377</v>
      </c>
      <c r="S184" s="221">
        <f t="shared" si="26"/>
        <v>0</v>
      </c>
    </row>
    <row r="185" spans="1:19" ht="60" x14ac:dyDescent="0.2">
      <c r="A185" s="1594"/>
      <c r="B185" s="1594"/>
      <c r="C185" s="608">
        <v>15040113001</v>
      </c>
      <c r="D185" s="373" t="s">
        <v>378</v>
      </c>
      <c r="E185" s="359">
        <v>57.2</v>
      </c>
      <c r="F185" s="360">
        <v>57.2</v>
      </c>
      <c r="G185" s="361">
        <v>57.2</v>
      </c>
      <c r="H185" s="362">
        <v>57.2</v>
      </c>
      <c r="I185" s="359">
        <v>108.2</v>
      </c>
      <c r="J185" s="360">
        <v>108.2</v>
      </c>
      <c r="K185" s="359">
        <v>108.2</v>
      </c>
      <c r="L185" s="360">
        <v>108.2</v>
      </c>
      <c r="M185" s="363">
        <f t="shared" si="52"/>
        <v>51</v>
      </c>
      <c r="N185" s="363">
        <f t="shared" si="53"/>
        <v>51</v>
      </c>
      <c r="O185" s="434">
        <f t="shared" si="54"/>
        <v>0</v>
      </c>
      <c r="P185" s="430">
        <f t="shared" si="27"/>
        <v>51</v>
      </c>
      <c r="Q185" s="611" t="s">
        <v>674</v>
      </c>
      <c r="S185" s="221">
        <f t="shared" si="26"/>
        <v>0</v>
      </c>
    </row>
    <row r="186" spans="1:19" ht="12.75" x14ac:dyDescent="0.2">
      <c r="A186" s="1594"/>
      <c r="B186" s="1594"/>
      <c r="C186" s="62"/>
      <c r="D186" s="364" t="s">
        <v>185</v>
      </c>
      <c r="E186" s="359"/>
      <c r="F186" s="360"/>
      <c r="G186" s="361">
        <v>0.7</v>
      </c>
      <c r="H186" s="362">
        <v>0.7</v>
      </c>
      <c r="I186" s="542">
        <v>0.3</v>
      </c>
      <c r="J186" s="360">
        <v>0.3</v>
      </c>
      <c r="K186" s="542">
        <v>0.3</v>
      </c>
      <c r="L186" s="360">
        <v>0.3</v>
      </c>
      <c r="M186" s="360"/>
      <c r="N186" s="360"/>
      <c r="O186" s="434"/>
      <c r="P186" s="430">
        <f t="shared" si="27"/>
        <v>0.3</v>
      </c>
      <c r="Q186" s="611"/>
      <c r="S186" s="221">
        <f t="shared" si="26"/>
        <v>0</v>
      </c>
    </row>
    <row r="187" spans="1:19" ht="48" x14ac:dyDescent="0.2">
      <c r="A187" s="1594"/>
      <c r="B187" s="1594"/>
      <c r="C187" s="608">
        <v>15040114001</v>
      </c>
      <c r="D187" s="373" t="s">
        <v>380</v>
      </c>
      <c r="E187" s="359">
        <v>205.4</v>
      </c>
      <c r="F187" s="360">
        <v>205.4</v>
      </c>
      <c r="G187" s="361">
        <v>3.5</v>
      </c>
      <c r="H187" s="362">
        <v>3.5</v>
      </c>
      <c r="I187" s="359">
        <v>93.2</v>
      </c>
      <c r="J187" s="360">
        <v>93.2</v>
      </c>
      <c r="K187" s="359">
        <v>93.2</v>
      </c>
      <c r="L187" s="360">
        <v>93.2</v>
      </c>
      <c r="M187" s="363">
        <f t="shared" ref="M187" si="55">K187-E187</f>
        <v>-112.2</v>
      </c>
      <c r="N187" s="363">
        <f t="shared" ref="N187:N211" si="56">K187-G187</f>
        <v>89.7</v>
      </c>
      <c r="O187" s="434">
        <f t="shared" ref="O187" si="57">K187-I187</f>
        <v>0</v>
      </c>
      <c r="P187" s="430">
        <f t="shared" si="27"/>
        <v>-112.2</v>
      </c>
      <c r="Q187" s="611" t="s">
        <v>675</v>
      </c>
      <c r="S187" s="221">
        <f t="shared" si="26"/>
        <v>0</v>
      </c>
    </row>
    <row r="188" spans="1:19" ht="12.75" x14ac:dyDescent="0.2">
      <c r="A188" s="1594"/>
      <c r="B188" s="1594"/>
      <c r="C188" s="62"/>
      <c r="D188" s="364" t="s">
        <v>185</v>
      </c>
      <c r="E188" s="359"/>
      <c r="F188" s="360"/>
      <c r="G188" s="361">
        <v>0.7</v>
      </c>
      <c r="H188" s="362">
        <v>0.7</v>
      </c>
      <c r="I188" s="542">
        <v>0.2</v>
      </c>
      <c r="J188" s="360">
        <v>0.2</v>
      </c>
      <c r="K188" s="542">
        <v>0.2</v>
      </c>
      <c r="L188" s="360">
        <v>0.2</v>
      </c>
      <c r="M188" s="360"/>
      <c r="N188" s="360">
        <f t="shared" si="56"/>
        <v>-0.49999999999999994</v>
      </c>
      <c r="O188" s="434"/>
      <c r="P188" s="430">
        <f t="shared" si="27"/>
        <v>0.2</v>
      </c>
      <c r="Q188" s="611"/>
      <c r="S188" s="221">
        <f t="shared" si="26"/>
        <v>0</v>
      </c>
    </row>
    <row r="189" spans="1:19" ht="76.5" x14ac:dyDescent="0.2">
      <c r="A189" s="1594">
        <v>15</v>
      </c>
      <c r="B189" s="1594" t="s">
        <v>410</v>
      </c>
      <c r="C189" s="608">
        <v>15040115001</v>
      </c>
      <c r="D189" s="373" t="s">
        <v>382</v>
      </c>
      <c r="E189" s="359">
        <v>20</v>
      </c>
      <c r="F189" s="360">
        <v>20</v>
      </c>
      <c r="G189" s="361">
        <v>1</v>
      </c>
      <c r="H189" s="362">
        <v>1</v>
      </c>
      <c r="I189" s="359"/>
      <c r="J189" s="360"/>
      <c r="K189" s="359"/>
      <c r="L189" s="360"/>
      <c r="M189" s="363">
        <f t="shared" ref="M189:M211" si="58">K189-E189</f>
        <v>-20</v>
      </c>
      <c r="N189" s="363">
        <f t="shared" si="56"/>
        <v>-1</v>
      </c>
      <c r="O189" s="434">
        <f t="shared" ref="O189:O221" si="59">K189-I189</f>
        <v>0</v>
      </c>
      <c r="P189" s="430">
        <f t="shared" si="27"/>
        <v>-20</v>
      </c>
      <c r="Q189" s="201"/>
      <c r="S189" s="221">
        <f t="shared" si="26"/>
        <v>0</v>
      </c>
    </row>
    <row r="190" spans="1:19" ht="51" x14ac:dyDescent="0.2">
      <c r="A190" s="1594"/>
      <c r="B190" s="1594"/>
      <c r="C190" s="608">
        <v>15040116001</v>
      </c>
      <c r="D190" s="373" t="s">
        <v>383</v>
      </c>
      <c r="E190" s="359">
        <v>167.9</v>
      </c>
      <c r="F190" s="360">
        <v>167.9</v>
      </c>
      <c r="G190" s="361">
        <v>50</v>
      </c>
      <c r="H190" s="362">
        <v>50</v>
      </c>
      <c r="I190" s="359">
        <v>422</v>
      </c>
      <c r="J190" s="360">
        <v>422</v>
      </c>
      <c r="K190" s="359">
        <v>422</v>
      </c>
      <c r="L190" s="363">
        <v>422</v>
      </c>
      <c r="M190" s="363">
        <f t="shared" si="58"/>
        <v>254.1</v>
      </c>
      <c r="N190" s="363">
        <f t="shared" si="56"/>
        <v>372</v>
      </c>
      <c r="O190" s="434">
        <f t="shared" si="59"/>
        <v>0</v>
      </c>
      <c r="P190" s="430">
        <f t="shared" si="27"/>
        <v>254.1</v>
      </c>
      <c r="Q190" s="611" t="s">
        <v>381</v>
      </c>
      <c r="S190" s="221">
        <f t="shared" si="26"/>
        <v>0</v>
      </c>
    </row>
    <row r="191" spans="1:19" ht="72" x14ac:dyDescent="0.2">
      <c r="A191" s="1594"/>
      <c r="B191" s="1594"/>
      <c r="C191" s="608">
        <v>15040117001</v>
      </c>
      <c r="D191" s="373" t="s">
        <v>384</v>
      </c>
      <c r="E191" s="359">
        <v>3.1</v>
      </c>
      <c r="F191" s="360">
        <v>3.1</v>
      </c>
      <c r="G191" s="361"/>
      <c r="H191" s="362"/>
      <c r="I191" s="359">
        <v>4</v>
      </c>
      <c r="J191" s="360">
        <v>4</v>
      </c>
      <c r="K191" s="359">
        <v>4</v>
      </c>
      <c r="L191" s="363">
        <v>4</v>
      </c>
      <c r="M191" s="363">
        <f t="shared" si="58"/>
        <v>0.89999999999999991</v>
      </c>
      <c r="N191" s="363">
        <f t="shared" si="56"/>
        <v>4</v>
      </c>
      <c r="O191" s="434">
        <f t="shared" si="59"/>
        <v>0</v>
      </c>
      <c r="P191" s="430">
        <f t="shared" si="27"/>
        <v>0.89999999999999991</v>
      </c>
      <c r="Q191" s="611" t="s">
        <v>385</v>
      </c>
      <c r="S191" s="221">
        <f t="shared" si="26"/>
        <v>0</v>
      </c>
    </row>
    <row r="192" spans="1:19" ht="48" x14ac:dyDescent="0.2">
      <c r="A192" s="1594"/>
      <c r="B192" s="1594"/>
      <c r="C192" s="608">
        <v>15040118001</v>
      </c>
      <c r="D192" s="373" t="s">
        <v>386</v>
      </c>
      <c r="E192" s="359">
        <v>101.4</v>
      </c>
      <c r="F192" s="360">
        <v>101.4</v>
      </c>
      <c r="G192" s="361"/>
      <c r="H192" s="362"/>
      <c r="I192" s="359">
        <v>51.3</v>
      </c>
      <c r="J192" s="360">
        <v>51.3</v>
      </c>
      <c r="K192" s="359">
        <v>51.3</v>
      </c>
      <c r="L192" s="363">
        <v>51.3</v>
      </c>
      <c r="M192" s="363">
        <f t="shared" si="58"/>
        <v>-50.100000000000009</v>
      </c>
      <c r="N192" s="363">
        <f t="shared" si="56"/>
        <v>51.3</v>
      </c>
      <c r="O192" s="434">
        <f t="shared" si="59"/>
        <v>0</v>
      </c>
      <c r="P192" s="430">
        <f t="shared" si="27"/>
        <v>-50.100000000000009</v>
      </c>
      <c r="Q192" s="611" t="s">
        <v>379</v>
      </c>
      <c r="S192" s="221">
        <f t="shared" si="26"/>
        <v>0</v>
      </c>
    </row>
    <row r="193" spans="1:19" ht="48" x14ac:dyDescent="0.2">
      <c r="A193" s="1594"/>
      <c r="B193" s="1594"/>
      <c r="C193" s="608">
        <v>15040119001</v>
      </c>
      <c r="D193" s="373" t="s">
        <v>387</v>
      </c>
      <c r="E193" s="359">
        <v>208.2</v>
      </c>
      <c r="F193" s="360">
        <v>208.2</v>
      </c>
      <c r="G193" s="361">
        <v>50</v>
      </c>
      <c r="H193" s="362">
        <v>50</v>
      </c>
      <c r="I193" s="359">
        <v>197.6</v>
      </c>
      <c r="J193" s="360">
        <v>197.6</v>
      </c>
      <c r="K193" s="359">
        <v>197.6</v>
      </c>
      <c r="L193" s="363">
        <v>197.6</v>
      </c>
      <c r="M193" s="363">
        <f t="shared" si="58"/>
        <v>-10.599999999999994</v>
      </c>
      <c r="N193" s="363">
        <f t="shared" si="56"/>
        <v>147.6</v>
      </c>
      <c r="O193" s="434">
        <f t="shared" si="59"/>
        <v>0</v>
      </c>
      <c r="P193" s="430">
        <f t="shared" si="27"/>
        <v>-10.599999999999994</v>
      </c>
      <c r="Q193" s="611" t="s">
        <v>379</v>
      </c>
      <c r="S193" s="221">
        <f t="shared" ref="S193:S219" si="60">+K193-I193-O193</f>
        <v>0</v>
      </c>
    </row>
    <row r="194" spans="1:19" ht="38.25" x14ac:dyDescent="0.2">
      <c r="A194" s="1594"/>
      <c r="B194" s="1594"/>
      <c r="C194" s="608">
        <v>15040120001</v>
      </c>
      <c r="D194" s="373" t="s">
        <v>388</v>
      </c>
      <c r="E194" s="359">
        <v>53.5</v>
      </c>
      <c r="F194" s="360">
        <v>53.5</v>
      </c>
      <c r="G194" s="361">
        <v>3.5</v>
      </c>
      <c r="H194" s="362">
        <v>3.5</v>
      </c>
      <c r="I194" s="359"/>
      <c r="J194" s="360"/>
      <c r="K194" s="359"/>
      <c r="L194" s="363"/>
      <c r="M194" s="363">
        <f t="shared" si="58"/>
        <v>-53.5</v>
      </c>
      <c r="N194" s="363">
        <f t="shared" si="56"/>
        <v>-3.5</v>
      </c>
      <c r="O194" s="434">
        <f t="shared" si="59"/>
        <v>0</v>
      </c>
      <c r="P194" s="430">
        <f t="shared" si="27"/>
        <v>-53.5</v>
      </c>
      <c r="Q194" s="611"/>
      <c r="S194" s="221">
        <f t="shared" si="60"/>
        <v>0</v>
      </c>
    </row>
    <row r="195" spans="1:19" ht="89.25" x14ac:dyDescent="0.2">
      <c r="A195" s="1594"/>
      <c r="B195" s="1594"/>
      <c r="C195" s="608">
        <v>15040121001</v>
      </c>
      <c r="D195" s="373" t="s">
        <v>389</v>
      </c>
      <c r="E195" s="359">
        <v>384</v>
      </c>
      <c r="F195" s="360">
        <v>384</v>
      </c>
      <c r="G195" s="361">
        <v>300</v>
      </c>
      <c r="H195" s="362">
        <v>300</v>
      </c>
      <c r="I195" s="359">
        <v>361.9</v>
      </c>
      <c r="J195" s="360">
        <v>361.9</v>
      </c>
      <c r="K195" s="359">
        <v>361.9</v>
      </c>
      <c r="L195" s="363">
        <v>361.9</v>
      </c>
      <c r="M195" s="363">
        <f t="shared" si="58"/>
        <v>-22.100000000000023</v>
      </c>
      <c r="N195" s="363">
        <f t="shared" si="56"/>
        <v>61.899999999999977</v>
      </c>
      <c r="O195" s="434">
        <f t="shared" si="59"/>
        <v>0</v>
      </c>
      <c r="P195" s="430">
        <f t="shared" si="27"/>
        <v>-22.100000000000023</v>
      </c>
      <c r="Q195" s="611" t="s">
        <v>722</v>
      </c>
      <c r="S195" s="221">
        <f t="shared" si="60"/>
        <v>0</v>
      </c>
    </row>
    <row r="196" spans="1:19" ht="38.25" x14ac:dyDescent="0.2">
      <c r="A196" s="1594"/>
      <c r="B196" s="1594"/>
      <c r="C196" s="608">
        <v>15040122001</v>
      </c>
      <c r="D196" s="373" t="s">
        <v>390</v>
      </c>
      <c r="E196" s="359">
        <v>133</v>
      </c>
      <c r="F196" s="360">
        <v>133</v>
      </c>
      <c r="G196" s="361">
        <v>30.6</v>
      </c>
      <c r="H196" s="362">
        <v>30.6</v>
      </c>
      <c r="I196" s="359">
        <v>60.1</v>
      </c>
      <c r="J196" s="360">
        <v>60.1</v>
      </c>
      <c r="K196" s="359">
        <v>60.1</v>
      </c>
      <c r="L196" s="363">
        <v>60.1</v>
      </c>
      <c r="M196" s="363">
        <f t="shared" si="58"/>
        <v>-72.900000000000006</v>
      </c>
      <c r="N196" s="363">
        <f t="shared" si="56"/>
        <v>29.5</v>
      </c>
      <c r="O196" s="434">
        <f t="shared" si="59"/>
        <v>0</v>
      </c>
      <c r="P196" s="430">
        <f t="shared" si="27"/>
        <v>-72.900000000000006</v>
      </c>
      <c r="Q196" s="611" t="s">
        <v>769</v>
      </c>
      <c r="S196" s="221">
        <f t="shared" si="60"/>
        <v>0</v>
      </c>
    </row>
    <row r="197" spans="1:19" ht="36" x14ac:dyDescent="0.2">
      <c r="A197" s="1594"/>
      <c r="B197" s="1594"/>
      <c r="C197" s="608">
        <v>15040123001</v>
      </c>
      <c r="D197" s="373" t="s">
        <v>391</v>
      </c>
      <c r="E197" s="359">
        <v>107</v>
      </c>
      <c r="F197" s="360">
        <v>107</v>
      </c>
      <c r="G197" s="361">
        <v>28</v>
      </c>
      <c r="H197" s="362">
        <v>28</v>
      </c>
      <c r="I197" s="359">
        <v>56.9</v>
      </c>
      <c r="J197" s="360">
        <v>56.9</v>
      </c>
      <c r="K197" s="359">
        <v>56.9</v>
      </c>
      <c r="L197" s="363">
        <v>56.9</v>
      </c>
      <c r="M197" s="363">
        <f t="shared" si="58"/>
        <v>-50.1</v>
      </c>
      <c r="N197" s="363">
        <f t="shared" si="56"/>
        <v>28.9</v>
      </c>
      <c r="O197" s="434">
        <f t="shared" si="59"/>
        <v>0</v>
      </c>
      <c r="P197" s="430">
        <f t="shared" si="27"/>
        <v>-50.1</v>
      </c>
      <c r="Q197" s="611" t="s">
        <v>769</v>
      </c>
      <c r="S197" s="221">
        <f t="shared" si="60"/>
        <v>0</v>
      </c>
    </row>
    <row r="198" spans="1:19" ht="72" x14ac:dyDescent="0.2">
      <c r="A198" s="1594"/>
      <c r="B198" s="1594"/>
      <c r="C198" s="608">
        <v>15040124001</v>
      </c>
      <c r="D198" s="373" t="s">
        <v>392</v>
      </c>
      <c r="E198" s="359">
        <v>49.3</v>
      </c>
      <c r="F198" s="360">
        <v>49.3</v>
      </c>
      <c r="G198" s="361">
        <v>4</v>
      </c>
      <c r="H198" s="362">
        <v>4</v>
      </c>
      <c r="I198" s="359">
        <v>35.1</v>
      </c>
      <c r="J198" s="360">
        <v>35.1</v>
      </c>
      <c r="K198" s="359">
        <v>35.1</v>
      </c>
      <c r="L198" s="363">
        <v>35.1</v>
      </c>
      <c r="M198" s="363">
        <f t="shared" si="58"/>
        <v>-14.199999999999996</v>
      </c>
      <c r="N198" s="363">
        <f t="shared" si="56"/>
        <v>31.1</v>
      </c>
      <c r="O198" s="434">
        <f t="shared" si="59"/>
        <v>0</v>
      </c>
      <c r="P198" s="430">
        <f t="shared" si="27"/>
        <v>-14.199999999999996</v>
      </c>
      <c r="Q198" s="611" t="s">
        <v>385</v>
      </c>
      <c r="S198" s="221">
        <f t="shared" si="60"/>
        <v>0</v>
      </c>
    </row>
    <row r="199" spans="1:19" ht="72" x14ac:dyDescent="0.2">
      <c r="A199" s="1594"/>
      <c r="B199" s="1594"/>
      <c r="C199" s="608">
        <v>15040126001</v>
      </c>
      <c r="D199" s="373" t="s">
        <v>393</v>
      </c>
      <c r="E199" s="359">
        <v>146</v>
      </c>
      <c r="F199" s="360">
        <v>146</v>
      </c>
      <c r="G199" s="361">
        <v>1.4</v>
      </c>
      <c r="H199" s="362">
        <v>1.4</v>
      </c>
      <c r="I199" s="359">
        <v>67.5</v>
      </c>
      <c r="J199" s="360">
        <v>67.5</v>
      </c>
      <c r="K199" s="359">
        <v>67.5</v>
      </c>
      <c r="L199" s="360">
        <v>67.5</v>
      </c>
      <c r="M199" s="363">
        <f t="shared" si="58"/>
        <v>-78.5</v>
      </c>
      <c r="N199" s="363">
        <f t="shared" si="56"/>
        <v>66.099999999999994</v>
      </c>
      <c r="O199" s="434">
        <f t="shared" si="59"/>
        <v>0</v>
      </c>
      <c r="P199" s="430">
        <f t="shared" si="27"/>
        <v>-78.5</v>
      </c>
      <c r="Q199" s="611" t="s">
        <v>394</v>
      </c>
      <c r="S199" s="221">
        <f t="shared" si="60"/>
        <v>0</v>
      </c>
    </row>
    <row r="200" spans="1:19" ht="12.75" x14ac:dyDescent="0.2">
      <c r="A200" s="607"/>
      <c r="B200" s="607"/>
      <c r="C200" s="608"/>
      <c r="D200" s="364" t="s">
        <v>185</v>
      </c>
      <c r="E200" s="359"/>
      <c r="F200" s="360"/>
      <c r="G200" s="361"/>
      <c r="H200" s="362"/>
      <c r="I200" s="359">
        <v>5.8</v>
      </c>
      <c r="J200" s="360">
        <v>5.8</v>
      </c>
      <c r="K200" s="359">
        <v>5.8</v>
      </c>
      <c r="L200" s="360">
        <v>5.8</v>
      </c>
      <c r="M200" s="363"/>
      <c r="N200" s="363"/>
      <c r="O200" s="434">
        <f t="shared" si="59"/>
        <v>0</v>
      </c>
      <c r="P200" s="430"/>
      <c r="Q200" s="611"/>
      <c r="S200" s="221">
        <f t="shared" si="60"/>
        <v>0</v>
      </c>
    </row>
    <row r="201" spans="1:19" ht="72" x14ac:dyDescent="0.2">
      <c r="A201" s="1595">
        <v>15</v>
      </c>
      <c r="B201" s="1594" t="s">
        <v>410</v>
      </c>
      <c r="C201" s="608">
        <v>15040128001</v>
      </c>
      <c r="D201" s="373" t="s">
        <v>395</v>
      </c>
      <c r="E201" s="359">
        <v>216.4</v>
      </c>
      <c r="F201" s="360">
        <v>216.4</v>
      </c>
      <c r="G201" s="361">
        <v>216.4</v>
      </c>
      <c r="H201" s="362">
        <v>216.4</v>
      </c>
      <c r="I201" s="359">
        <v>72.2</v>
      </c>
      <c r="J201" s="360">
        <v>72.2</v>
      </c>
      <c r="K201" s="359">
        <v>72.2</v>
      </c>
      <c r="L201" s="360">
        <v>72.2</v>
      </c>
      <c r="M201" s="363">
        <f t="shared" si="58"/>
        <v>-144.19999999999999</v>
      </c>
      <c r="N201" s="363">
        <f t="shared" si="56"/>
        <v>-144.19999999999999</v>
      </c>
      <c r="O201" s="434">
        <f t="shared" si="59"/>
        <v>0</v>
      </c>
      <c r="P201" s="430">
        <f t="shared" si="27"/>
        <v>-144.19999999999999</v>
      </c>
      <c r="Q201" s="611" t="s">
        <v>385</v>
      </c>
      <c r="S201" s="221">
        <f t="shared" si="60"/>
        <v>0</v>
      </c>
    </row>
    <row r="202" spans="1:19" ht="120" x14ac:dyDescent="0.2">
      <c r="A202" s="1595"/>
      <c r="B202" s="1594"/>
      <c r="C202" s="608">
        <v>15040129001</v>
      </c>
      <c r="D202" s="373" t="s">
        <v>396</v>
      </c>
      <c r="E202" s="359">
        <v>72</v>
      </c>
      <c r="F202" s="360">
        <v>72</v>
      </c>
      <c r="G202" s="361">
        <v>35.700000000000003</v>
      </c>
      <c r="H202" s="362">
        <v>35.700000000000003</v>
      </c>
      <c r="I202" s="359">
        <v>35.700000000000003</v>
      </c>
      <c r="J202" s="360">
        <v>35.700000000000003</v>
      </c>
      <c r="K202" s="359">
        <v>35.700000000000003</v>
      </c>
      <c r="L202" s="363">
        <v>35.700000000000003</v>
      </c>
      <c r="M202" s="363">
        <f t="shared" si="58"/>
        <v>-36.299999999999997</v>
      </c>
      <c r="N202" s="363">
        <f t="shared" si="56"/>
        <v>0</v>
      </c>
      <c r="O202" s="434">
        <f t="shared" si="59"/>
        <v>0</v>
      </c>
      <c r="P202" s="430">
        <f t="shared" si="27"/>
        <v>-36.299999999999997</v>
      </c>
      <c r="Q202" s="611" t="s">
        <v>397</v>
      </c>
      <c r="S202" s="221">
        <f t="shared" si="60"/>
        <v>0</v>
      </c>
    </row>
    <row r="203" spans="1:19" ht="38.25" x14ac:dyDescent="0.2">
      <c r="A203" s="1595"/>
      <c r="B203" s="1594"/>
      <c r="C203" s="608">
        <v>15040130001</v>
      </c>
      <c r="D203" s="373" t="s">
        <v>398</v>
      </c>
      <c r="E203" s="359">
        <v>47</v>
      </c>
      <c r="F203" s="360">
        <v>47</v>
      </c>
      <c r="G203" s="361">
        <v>2.8</v>
      </c>
      <c r="H203" s="362">
        <v>2.8</v>
      </c>
      <c r="I203" s="359">
        <v>47</v>
      </c>
      <c r="J203" s="360">
        <v>47</v>
      </c>
      <c r="K203" s="359">
        <v>47</v>
      </c>
      <c r="L203" s="363">
        <v>47</v>
      </c>
      <c r="M203" s="363">
        <f t="shared" si="58"/>
        <v>0</v>
      </c>
      <c r="N203" s="363">
        <f t="shared" si="56"/>
        <v>44.2</v>
      </c>
      <c r="O203" s="434">
        <f t="shared" si="59"/>
        <v>0</v>
      </c>
      <c r="P203" s="430">
        <f t="shared" si="27"/>
        <v>0</v>
      </c>
      <c r="Q203" s="611" t="s">
        <v>770</v>
      </c>
      <c r="S203" s="221">
        <f t="shared" si="60"/>
        <v>0</v>
      </c>
    </row>
    <row r="204" spans="1:19" ht="51" x14ac:dyDescent="0.2">
      <c r="A204" s="1595"/>
      <c r="B204" s="1594"/>
      <c r="C204" s="608">
        <v>15040131001</v>
      </c>
      <c r="D204" s="373" t="s">
        <v>399</v>
      </c>
      <c r="E204" s="359">
        <v>205.5</v>
      </c>
      <c r="F204" s="360">
        <v>205.5</v>
      </c>
      <c r="G204" s="361">
        <v>205.5</v>
      </c>
      <c r="H204" s="362">
        <v>205.5</v>
      </c>
      <c r="I204" s="359">
        <v>30.1</v>
      </c>
      <c r="J204" s="360">
        <v>30.1</v>
      </c>
      <c r="K204" s="359">
        <v>30.1</v>
      </c>
      <c r="L204" s="360">
        <v>30.1</v>
      </c>
      <c r="M204" s="363">
        <f t="shared" si="58"/>
        <v>-175.4</v>
      </c>
      <c r="N204" s="363">
        <f t="shared" si="56"/>
        <v>-175.4</v>
      </c>
      <c r="O204" s="434">
        <f t="shared" si="59"/>
        <v>0</v>
      </c>
      <c r="P204" s="430">
        <f t="shared" si="27"/>
        <v>-175.4</v>
      </c>
      <c r="Q204" s="611" t="s">
        <v>771</v>
      </c>
      <c r="S204" s="221">
        <f t="shared" si="60"/>
        <v>0</v>
      </c>
    </row>
    <row r="205" spans="1:19" ht="12.75" x14ac:dyDescent="0.2">
      <c r="A205" s="1595"/>
      <c r="B205" s="1594"/>
      <c r="C205" s="608"/>
      <c r="D205" s="364" t="s">
        <v>185</v>
      </c>
      <c r="E205" s="359"/>
      <c r="F205" s="360"/>
      <c r="G205" s="361"/>
      <c r="H205" s="362"/>
      <c r="I205" s="359">
        <v>0.2</v>
      </c>
      <c r="J205" s="360">
        <v>0.2</v>
      </c>
      <c r="K205" s="359">
        <v>0.2</v>
      </c>
      <c r="L205" s="360">
        <v>0.2</v>
      </c>
      <c r="M205" s="363"/>
      <c r="N205" s="363"/>
      <c r="O205" s="434">
        <f t="shared" si="59"/>
        <v>0</v>
      </c>
      <c r="P205" s="430"/>
      <c r="Q205" s="611"/>
      <c r="S205" s="221">
        <f t="shared" si="60"/>
        <v>0</v>
      </c>
    </row>
    <row r="206" spans="1:19" ht="51" x14ac:dyDescent="0.2">
      <c r="A206" s="1595"/>
      <c r="B206" s="1594"/>
      <c r="C206" s="608">
        <v>15040132001</v>
      </c>
      <c r="D206" s="373" t="s">
        <v>400</v>
      </c>
      <c r="E206" s="359">
        <v>20</v>
      </c>
      <c r="F206" s="360">
        <v>20</v>
      </c>
      <c r="G206" s="361">
        <v>1</v>
      </c>
      <c r="H206" s="362">
        <v>1</v>
      </c>
      <c r="I206" s="359"/>
      <c r="J206" s="360"/>
      <c r="K206" s="359"/>
      <c r="L206" s="360"/>
      <c r="M206" s="363">
        <f t="shared" si="58"/>
        <v>-20</v>
      </c>
      <c r="N206" s="363">
        <f t="shared" si="56"/>
        <v>-1</v>
      </c>
      <c r="O206" s="434">
        <f t="shared" si="59"/>
        <v>0</v>
      </c>
      <c r="P206" s="430">
        <f t="shared" si="27"/>
        <v>-20</v>
      </c>
      <c r="Q206" s="611"/>
      <c r="S206" s="221">
        <f t="shared" si="60"/>
        <v>0</v>
      </c>
    </row>
    <row r="207" spans="1:19" ht="63.75" x14ac:dyDescent="0.2">
      <c r="A207" s="1595"/>
      <c r="B207" s="1594"/>
      <c r="C207" s="608">
        <v>15040133001</v>
      </c>
      <c r="D207" s="373" t="s">
        <v>401</v>
      </c>
      <c r="E207" s="359">
        <v>20</v>
      </c>
      <c r="F207" s="360">
        <v>20</v>
      </c>
      <c r="G207" s="361">
        <v>1</v>
      </c>
      <c r="H207" s="362">
        <v>1</v>
      </c>
      <c r="I207" s="359"/>
      <c r="J207" s="360"/>
      <c r="K207" s="359"/>
      <c r="L207" s="363"/>
      <c r="M207" s="363">
        <f t="shared" si="58"/>
        <v>-20</v>
      </c>
      <c r="N207" s="363">
        <f t="shared" si="56"/>
        <v>-1</v>
      </c>
      <c r="O207" s="434">
        <f t="shared" si="59"/>
        <v>0</v>
      </c>
      <c r="P207" s="430">
        <f t="shared" ref="P207:P225" si="61">+K207-E207</f>
        <v>-20</v>
      </c>
      <c r="Q207" s="611"/>
      <c r="S207" s="221">
        <f t="shared" si="60"/>
        <v>0</v>
      </c>
    </row>
    <row r="208" spans="1:19" ht="36" x14ac:dyDescent="0.2">
      <c r="A208" s="1595"/>
      <c r="B208" s="1594"/>
      <c r="C208" s="608">
        <v>15040134001</v>
      </c>
      <c r="D208" s="373" t="s">
        <v>402</v>
      </c>
      <c r="E208" s="359">
        <v>10</v>
      </c>
      <c r="F208" s="360">
        <v>10</v>
      </c>
      <c r="G208" s="361">
        <v>1</v>
      </c>
      <c r="H208" s="362">
        <v>1</v>
      </c>
      <c r="I208" s="359">
        <v>10</v>
      </c>
      <c r="J208" s="360">
        <v>10</v>
      </c>
      <c r="K208" s="359">
        <v>10</v>
      </c>
      <c r="L208" s="363">
        <v>10</v>
      </c>
      <c r="M208" s="363">
        <f t="shared" si="58"/>
        <v>0</v>
      </c>
      <c r="N208" s="363">
        <f t="shared" si="56"/>
        <v>9</v>
      </c>
      <c r="O208" s="434">
        <f t="shared" si="59"/>
        <v>0</v>
      </c>
      <c r="P208" s="430">
        <f t="shared" si="61"/>
        <v>0</v>
      </c>
      <c r="Q208" s="611" t="s">
        <v>676</v>
      </c>
      <c r="S208" s="221">
        <f t="shared" si="60"/>
        <v>0</v>
      </c>
    </row>
    <row r="209" spans="1:19" ht="36" x14ac:dyDescent="0.2">
      <c r="A209" s="1595"/>
      <c r="B209" s="1594"/>
      <c r="C209" s="608">
        <v>15040138001</v>
      </c>
      <c r="D209" s="373" t="s">
        <v>403</v>
      </c>
      <c r="E209" s="359">
        <v>60.8</v>
      </c>
      <c r="F209" s="360">
        <v>60.8</v>
      </c>
      <c r="G209" s="361">
        <v>60.8</v>
      </c>
      <c r="H209" s="362">
        <v>60.8</v>
      </c>
      <c r="I209" s="359">
        <v>17.399999999999999</v>
      </c>
      <c r="J209" s="360">
        <v>17.399999999999999</v>
      </c>
      <c r="K209" s="359">
        <v>17.399999999999999</v>
      </c>
      <c r="L209" s="363">
        <v>17.399999999999999</v>
      </c>
      <c r="M209" s="363">
        <f t="shared" si="58"/>
        <v>-43.4</v>
      </c>
      <c r="N209" s="363">
        <f t="shared" si="56"/>
        <v>-43.4</v>
      </c>
      <c r="O209" s="434">
        <f t="shared" si="59"/>
        <v>0</v>
      </c>
      <c r="P209" s="430">
        <f t="shared" si="61"/>
        <v>-43.4</v>
      </c>
      <c r="Q209" s="611" t="s">
        <v>677</v>
      </c>
      <c r="S209" s="221">
        <f t="shared" si="60"/>
        <v>0</v>
      </c>
    </row>
    <row r="210" spans="1:19" ht="48" x14ac:dyDescent="0.2">
      <c r="A210" s="1595"/>
      <c r="B210" s="1594"/>
      <c r="C210" s="608">
        <v>15040139001</v>
      </c>
      <c r="D210" s="373" t="s">
        <v>404</v>
      </c>
      <c r="E210" s="359">
        <v>25</v>
      </c>
      <c r="F210" s="360">
        <v>25</v>
      </c>
      <c r="G210" s="361">
        <v>1</v>
      </c>
      <c r="H210" s="362">
        <v>1</v>
      </c>
      <c r="I210" s="359">
        <v>400</v>
      </c>
      <c r="J210" s="360">
        <v>400</v>
      </c>
      <c r="K210" s="359">
        <v>400</v>
      </c>
      <c r="L210" s="363">
        <v>400</v>
      </c>
      <c r="M210" s="363">
        <f t="shared" si="58"/>
        <v>375</v>
      </c>
      <c r="N210" s="363">
        <f t="shared" si="56"/>
        <v>399</v>
      </c>
      <c r="O210" s="434">
        <f t="shared" si="59"/>
        <v>0</v>
      </c>
      <c r="P210" s="430">
        <f t="shared" si="61"/>
        <v>375</v>
      </c>
      <c r="Q210" s="611" t="s">
        <v>678</v>
      </c>
      <c r="S210" s="221">
        <f t="shared" si="60"/>
        <v>0</v>
      </c>
    </row>
    <row r="211" spans="1:19" ht="72" x14ac:dyDescent="0.2">
      <c r="A211" s="1595"/>
      <c r="B211" s="1594"/>
      <c r="C211" s="608">
        <v>15040140001</v>
      </c>
      <c r="D211" s="373" t="s">
        <v>405</v>
      </c>
      <c r="E211" s="359">
        <v>25</v>
      </c>
      <c r="F211" s="360">
        <v>25</v>
      </c>
      <c r="G211" s="361">
        <v>1</v>
      </c>
      <c r="H211" s="362">
        <v>1</v>
      </c>
      <c r="I211" s="359">
        <v>25</v>
      </c>
      <c r="J211" s="360">
        <v>25</v>
      </c>
      <c r="K211" s="359">
        <v>25</v>
      </c>
      <c r="L211" s="363">
        <v>25</v>
      </c>
      <c r="M211" s="363">
        <f t="shared" si="58"/>
        <v>0</v>
      </c>
      <c r="N211" s="363">
        <f t="shared" si="56"/>
        <v>24</v>
      </c>
      <c r="O211" s="434">
        <f t="shared" si="59"/>
        <v>0</v>
      </c>
      <c r="P211" s="430">
        <f t="shared" si="61"/>
        <v>0</v>
      </c>
      <c r="Q211" s="611" t="s">
        <v>385</v>
      </c>
      <c r="S211" s="221">
        <f t="shared" si="60"/>
        <v>0</v>
      </c>
    </row>
    <row r="212" spans="1:19" ht="72" x14ac:dyDescent="0.2">
      <c r="A212" s="1595"/>
      <c r="B212" s="1594"/>
      <c r="C212" s="608">
        <v>15040141001</v>
      </c>
      <c r="D212" s="373" t="s">
        <v>406</v>
      </c>
      <c r="E212" s="359"/>
      <c r="F212" s="360"/>
      <c r="G212" s="361"/>
      <c r="H212" s="362"/>
      <c r="I212" s="359">
        <v>54.3</v>
      </c>
      <c r="J212" s="360">
        <v>54.3</v>
      </c>
      <c r="K212" s="359">
        <v>54.3</v>
      </c>
      <c r="L212" s="363">
        <v>54.3</v>
      </c>
      <c r="M212" s="363"/>
      <c r="N212" s="363"/>
      <c r="O212" s="434">
        <f t="shared" si="59"/>
        <v>0</v>
      </c>
      <c r="P212" s="430">
        <f t="shared" si="61"/>
        <v>54.3</v>
      </c>
      <c r="Q212" s="611" t="s">
        <v>679</v>
      </c>
      <c r="S212" s="221">
        <f t="shared" si="60"/>
        <v>0</v>
      </c>
    </row>
    <row r="213" spans="1:19" ht="60" x14ac:dyDescent="0.2">
      <c r="A213" s="1595"/>
      <c r="B213" s="1594"/>
      <c r="C213" s="608">
        <v>15040142001</v>
      </c>
      <c r="D213" s="373" t="s">
        <v>779</v>
      </c>
      <c r="E213" s="359"/>
      <c r="F213" s="360"/>
      <c r="G213" s="361"/>
      <c r="H213" s="362"/>
      <c r="I213" s="359">
        <v>27.3</v>
      </c>
      <c r="J213" s="360">
        <v>27.3</v>
      </c>
      <c r="K213" s="359">
        <v>27.3</v>
      </c>
      <c r="L213" s="363">
        <v>27.3</v>
      </c>
      <c r="M213" s="363">
        <f t="shared" ref="M213:M221" si="62">K213-E213</f>
        <v>27.3</v>
      </c>
      <c r="N213" s="363">
        <f t="shared" ref="N213:N221" si="63">K213-G213</f>
        <v>27.3</v>
      </c>
      <c r="O213" s="434">
        <f t="shared" si="59"/>
        <v>0</v>
      </c>
      <c r="P213" s="430">
        <f t="shared" si="61"/>
        <v>27.3</v>
      </c>
      <c r="Q213" s="611" t="s">
        <v>407</v>
      </c>
      <c r="S213" s="221">
        <f t="shared" si="60"/>
        <v>0</v>
      </c>
    </row>
    <row r="214" spans="1:19" ht="60" x14ac:dyDescent="0.2">
      <c r="A214" s="1595">
        <v>15</v>
      </c>
      <c r="B214" s="1594" t="s">
        <v>410</v>
      </c>
      <c r="C214" s="608">
        <v>15040143001</v>
      </c>
      <c r="D214" s="373" t="s">
        <v>408</v>
      </c>
      <c r="E214" s="359"/>
      <c r="F214" s="360"/>
      <c r="G214" s="361"/>
      <c r="H214" s="362"/>
      <c r="I214" s="359">
        <v>39.1</v>
      </c>
      <c r="J214" s="360">
        <v>39.1</v>
      </c>
      <c r="K214" s="359">
        <v>39.1</v>
      </c>
      <c r="L214" s="363">
        <v>39.1</v>
      </c>
      <c r="M214" s="363">
        <f t="shared" si="62"/>
        <v>39.1</v>
      </c>
      <c r="N214" s="363">
        <f t="shared" si="63"/>
        <v>39.1</v>
      </c>
      <c r="O214" s="434">
        <f t="shared" si="59"/>
        <v>0</v>
      </c>
      <c r="P214" s="430">
        <f t="shared" si="61"/>
        <v>39.1</v>
      </c>
      <c r="Q214" s="611" t="s">
        <v>409</v>
      </c>
      <c r="S214" s="221">
        <f t="shared" si="60"/>
        <v>0</v>
      </c>
    </row>
    <row r="215" spans="1:19" ht="84" x14ac:dyDescent="0.2">
      <c r="A215" s="1595"/>
      <c r="B215" s="1594"/>
      <c r="C215" s="608">
        <v>15010322</v>
      </c>
      <c r="D215" s="373" t="s">
        <v>411</v>
      </c>
      <c r="E215" s="359"/>
      <c r="F215" s="360"/>
      <c r="G215" s="361"/>
      <c r="H215" s="362"/>
      <c r="I215" s="359">
        <v>3000</v>
      </c>
      <c r="J215" s="360">
        <v>3000</v>
      </c>
      <c r="K215" s="359">
        <f>1000-900</f>
        <v>100</v>
      </c>
      <c r="L215" s="363">
        <f>1000-900</f>
        <v>100</v>
      </c>
      <c r="M215" s="363">
        <f t="shared" si="62"/>
        <v>100</v>
      </c>
      <c r="N215" s="363">
        <f t="shared" si="63"/>
        <v>100</v>
      </c>
      <c r="O215" s="434">
        <f t="shared" si="59"/>
        <v>-2900</v>
      </c>
      <c r="P215" s="430">
        <f t="shared" si="61"/>
        <v>100</v>
      </c>
      <c r="Q215" s="611" t="s">
        <v>1274</v>
      </c>
      <c r="S215" s="221">
        <f t="shared" si="60"/>
        <v>0</v>
      </c>
    </row>
    <row r="216" spans="1:19" ht="12.75" x14ac:dyDescent="0.2">
      <c r="A216" s="1595"/>
      <c r="B216" s="1594"/>
      <c r="C216" s="608">
        <v>15010412</v>
      </c>
      <c r="D216" s="373" t="s">
        <v>412</v>
      </c>
      <c r="E216" s="359"/>
      <c r="F216" s="360"/>
      <c r="G216" s="361"/>
      <c r="H216" s="362"/>
      <c r="I216" s="359">
        <v>700</v>
      </c>
      <c r="J216" s="360">
        <v>700</v>
      </c>
      <c r="K216" s="359">
        <v>700</v>
      </c>
      <c r="L216" s="363">
        <v>700</v>
      </c>
      <c r="M216" s="363">
        <f t="shared" si="62"/>
        <v>700</v>
      </c>
      <c r="N216" s="363">
        <f t="shared" si="63"/>
        <v>700</v>
      </c>
      <c r="O216" s="434">
        <f t="shared" si="59"/>
        <v>0</v>
      </c>
      <c r="P216" s="430">
        <f t="shared" si="61"/>
        <v>700</v>
      </c>
      <c r="Q216" s="611" t="s">
        <v>413</v>
      </c>
      <c r="S216" s="221">
        <f t="shared" si="60"/>
        <v>0</v>
      </c>
    </row>
    <row r="217" spans="1:19" ht="12.75" x14ac:dyDescent="0.2">
      <c r="A217" s="1595"/>
      <c r="B217" s="1594"/>
      <c r="C217" s="608">
        <v>15010315</v>
      </c>
      <c r="D217" s="373" t="s">
        <v>414</v>
      </c>
      <c r="E217" s="359"/>
      <c r="F217" s="360"/>
      <c r="G217" s="361"/>
      <c r="H217" s="362"/>
      <c r="I217" s="359">
        <v>50</v>
      </c>
      <c r="J217" s="360">
        <v>50</v>
      </c>
      <c r="K217" s="359">
        <v>50</v>
      </c>
      <c r="L217" s="363">
        <v>50</v>
      </c>
      <c r="M217" s="363">
        <f t="shared" si="62"/>
        <v>50</v>
      </c>
      <c r="N217" s="363">
        <f t="shared" si="63"/>
        <v>50</v>
      </c>
      <c r="O217" s="434">
        <f t="shared" si="59"/>
        <v>0</v>
      </c>
      <c r="P217" s="430">
        <f t="shared" si="61"/>
        <v>50</v>
      </c>
      <c r="Q217" s="611" t="s">
        <v>413</v>
      </c>
      <c r="S217" s="221">
        <f t="shared" si="60"/>
        <v>0</v>
      </c>
    </row>
    <row r="218" spans="1:19" ht="25.5" x14ac:dyDescent="0.2">
      <c r="A218" s="1595"/>
      <c r="B218" s="1594"/>
      <c r="C218" s="608">
        <v>15010301</v>
      </c>
      <c r="D218" s="373" t="s">
        <v>415</v>
      </c>
      <c r="E218" s="359"/>
      <c r="F218" s="360"/>
      <c r="G218" s="361"/>
      <c r="H218" s="362"/>
      <c r="I218" s="359">
        <v>10</v>
      </c>
      <c r="J218" s="360">
        <v>10</v>
      </c>
      <c r="K218" s="359">
        <v>10</v>
      </c>
      <c r="L218" s="363">
        <v>10</v>
      </c>
      <c r="M218" s="363">
        <f t="shared" si="62"/>
        <v>10</v>
      </c>
      <c r="N218" s="363">
        <f t="shared" si="63"/>
        <v>10</v>
      </c>
      <c r="O218" s="434">
        <f t="shared" si="59"/>
        <v>0</v>
      </c>
      <c r="P218" s="430">
        <f t="shared" si="61"/>
        <v>10</v>
      </c>
      <c r="Q218" s="611" t="s">
        <v>413</v>
      </c>
      <c r="S218" s="221">
        <f t="shared" si="60"/>
        <v>0</v>
      </c>
    </row>
    <row r="219" spans="1:19" ht="63.75" x14ac:dyDescent="0.2">
      <c r="A219" s="1595"/>
      <c r="B219" s="1594"/>
      <c r="C219" s="608">
        <v>15040135001</v>
      </c>
      <c r="D219" s="373" t="s">
        <v>416</v>
      </c>
      <c r="E219" s="359"/>
      <c r="F219" s="360"/>
      <c r="G219" s="361"/>
      <c r="H219" s="362"/>
      <c r="I219" s="359">
        <v>10</v>
      </c>
      <c r="J219" s="360">
        <v>10</v>
      </c>
      <c r="K219" s="359">
        <v>10</v>
      </c>
      <c r="L219" s="360">
        <v>10</v>
      </c>
      <c r="M219" s="363">
        <f t="shared" si="62"/>
        <v>10</v>
      </c>
      <c r="N219" s="363">
        <f t="shared" si="63"/>
        <v>10</v>
      </c>
      <c r="O219" s="434">
        <f t="shared" si="59"/>
        <v>0</v>
      </c>
      <c r="P219" s="430">
        <f t="shared" si="61"/>
        <v>10</v>
      </c>
      <c r="Q219" s="611" t="s">
        <v>413</v>
      </c>
      <c r="S219" s="221">
        <f t="shared" si="60"/>
        <v>0</v>
      </c>
    </row>
    <row r="220" spans="1:19" ht="25.5" x14ac:dyDescent="0.2">
      <c r="A220" s="1595"/>
      <c r="B220" s="1594"/>
      <c r="C220" s="62"/>
      <c r="D220" s="373" t="s">
        <v>946</v>
      </c>
      <c r="E220" s="359"/>
      <c r="F220" s="360"/>
      <c r="G220" s="361"/>
      <c r="H220" s="362"/>
      <c r="I220" s="359">
        <v>100</v>
      </c>
      <c r="J220" s="360">
        <v>100</v>
      </c>
      <c r="K220" s="359">
        <v>100</v>
      </c>
      <c r="L220" s="360">
        <v>100</v>
      </c>
      <c r="M220" s="363">
        <f t="shared" si="62"/>
        <v>100</v>
      </c>
      <c r="N220" s="363">
        <f t="shared" si="63"/>
        <v>100</v>
      </c>
      <c r="O220" s="434">
        <f t="shared" si="59"/>
        <v>0</v>
      </c>
      <c r="P220" s="430">
        <f t="shared" si="61"/>
        <v>100</v>
      </c>
      <c r="Q220" s="611" t="s">
        <v>413</v>
      </c>
      <c r="S220" s="221"/>
    </row>
    <row r="221" spans="1:19" ht="25.5" x14ac:dyDescent="0.2">
      <c r="A221" s="1595"/>
      <c r="B221" s="1594"/>
      <c r="C221" s="62"/>
      <c r="D221" s="373" t="s">
        <v>947</v>
      </c>
      <c r="E221" s="359"/>
      <c r="F221" s="360"/>
      <c r="G221" s="361"/>
      <c r="H221" s="362"/>
      <c r="I221" s="359">
        <v>100</v>
      </c>
      <c r="J221" s="360">
        <v>100</v>
      </c>
      <c r="K221" s="359">
        <v>100</v>
      </c>
      <c r="L221" s="360">
        <v>100</v>
      </c>
      <c r="M221" s="363">
        <f t="shared" si="62"/>
        <v>100</v>
      </c>
      <c r="N221" s="363">
        <f t="shared" si="63"/>
        <v>100</v>
      </c>
      <c r="O221" s="434">
        <f t="shared" si="59"/>
        <v>0</v>
      </c>
      <c r="P221" s="430">
        <f t="shared" si="61"/>
        <v>100</v>
      </c>
      <c r="Q221" s="611" t="s">
        <v>413</v>
      </c>
      <c r="S221" s="221"/>
    </row>
    <row r="222" spans="1:19" ht="19.899999999999999" customHeight="1" x14ac:dyDescent="0.2">
      <c r="A222" s="1595"/>
      <c r="B222" s="1594"/>
      <c r="C222" s="1556" t="s">
        <v>417</v>
      </c>
      <c r="D222" s="1556"/>
      <c r="E222" s="366">
        <f>SUM(E146,E148,E149,E151,E153,E155,E157,E159,E161,E162,E163,E164,E165,E167,E168,E169,E170,E171,E172,E173,E175,E176,E177,E178,E179,E180,E182,E183,E184,E185,E187,E189,E190,E191,E192,E193,E194,E195,E196,E197,E198,E199,E201,E202,E203,E204,E206,E207,E208,E209,E210,E211,E212,E213,E214,E215,E216,E217,E218,E219)</f>
        <v>23070.400000000005</v>
      </c>
      <c r="F222" s="366">
        <f>SUM(F146,F148,F149,F151,F153,F155,F157,F159,F161,F162,F163,F164,F165,F167,F168,F169,F170,F171,F172,F173,F175,F176,F177,F178,F179,F180,F182,F183,F184,F185,F187,F189,F190,F191,F192,F193,F194,F195,F196,F197,F198,F199,F201,F202,F203,F204,F206,F207,F208,F209,F210,F211,F212,F213,F214,F215,F216,F217,F218,F219)</f>
        <v>13261.499999999998</v>
      </c>
      <c r="G222" s="366">
        <f>SUM(G146,G148,G149,G151,G153,G155,G157,G159,G161,G162,G163,G164,G165,G167,G168,G169,G170,G171,G172,G173,G175,G176,G177,G178,G179,G180,G182,G183,G184,G185,G187,G189,G190,G191,G192,G193,G194,G195,G196,G197,G198,G199,G201,G202,G203,G204,G206,G207,G208,G209,G210,G211,G212,G213,G214,G215,G216,G217,G218,G219)</f>
        <v>18680.399999999998</v>
      </c>
      <c r="H222" s="366">
        <f>SUM(H146,H148,H149,H151,H153,H155,H157,H159,H161,H162,H163,H164,H165,H167,H168,H169,H170,H171,H172,H173,H175,H176,H177,H178,H179,H180,H182,H183,H184,H185,H187,H189,H190,H191,H192,H193,H194,H195,H196,H197,H198,H199,H201,H202,H203,H204,H206,H207,H208,H209,H210,H211,H212,H213,H214,H215,H216,H217,H218,H219)</f>
        <v>10371.5</v>
      </c>
      <c r="I222" s="366">
        <f t="shared" ref="I222:P222" si="64">SUM(I146,I148,I149,I151,I153,I155,I157,I159,I161,I162,I163,I164,I165,I167,I168,I169,I170,I171,I172,I173,I175,I176,I177,I178,I179,I180,I182,I183,I184,I185,I187,I189,I190,I191,I192,I193,I194,I195,I196,I197,I198,I199,I201,I202,I203,I204,I206,I207,I208,I209,I210,I211,I212,I213,I214,I215,I216,I217,I218,I219,I220+I221)</f>
        <v>24542.800000000007</v>
      </c>
      <c r="J222" s="366">
        <f t="shared" si="64"/>
        <v>24155.800000000007</v>
      </c>
      <c r="K222" s="366">
        <f t="shared" si="64"/>
        <v>20289</v>
      </c>
      <c r="L222" s="366">
        <f t="shared" si="64"/>
        <v>19999.999999999996</v>
      </c>
      <c r="M222" s="366">
        <f t="shared" si="64"/>
        <v>3864.6000000000004</v>
      </c>
      <c r="N222" s="366">
        <f t="shared" si="64"/>
        <v>8524.6</v>
      </c>
      <c r="O222" s="366">
        <f t="shared" si="64"/>
        <v>-4253.8</v>
      </c>
      <c r="P222" s="366">
        <f t="shared" si="64"/>
        <v>-2781.3999999999983</v>
      </c>
      <c r="Q222" s="162"/>
      <c r="S222" s="221"/>
    </row>
    <row r="223" spans="1:19" ht="15.6" customHeight="1" x14ac:dyDescent="0.2">
      <c r="A223" s="1595"/>
      <c r="B223" s="1594"/>
      <c r="C223" s="1551" t="s">
        <v>185</v>
      </c>
      <c r="D223" s="1551"/>
      <c r="E223" s="367">
        <f>+E147+E150+E152+E154+E156+E158+E160+E166+E181+E186+E188+E200+E205+E174</f>
        <v>0</v>
      </c>
      <c r="F223" s="367">
        <f t="shared" ref="F223:P223" si="65">+F147+F150+F152+F154+F156+F158+F160+F166+F181+F186+F188+F200+F205+F174</f>
        <v>0</v>
      </c>
      <c r="G223" s="366">
        <f t="shared" si="65"/>
        <v>3132.8999999999992</v>
      </c>
      <c r="H223" s="366">
        <f t="shared" si="65"/>
        <v>1153.4000000000001</v>
      </c>
      <c r="I223" s="366">
        <f t="shared" si="65"/>
        <v>2300</v>
      </c>
      <c r="J223" s="366">
        <f t="shared" si="65"/>
        <v>2300</v>
      </c>
      <c r="K223" s="366">
        <f t="shared" si="65"/>
        <v>2300</v>
      </c>
      <c r="L223" s="366">
        <f t="shared" si="65"/>
        <v>2300</v>
      </c>
      <c r="M223" s="366">
        <f t="shared" si="65"/>
        <v>0</v>
      </c>
      <c r="N223" s="366">
        <f t="shared" si="65"/>
        <v>-10.9</v>
      </c>
      <c r="O223" s="366">
        <f t="shared" si="65"/>
        <v>0</v>
      </c>
      <c r="P223" s="366">
        <f t="shared" si="65"/>
        <v>2290.3000000000002</v>
      </c>
      <c r="Q223" s="163"/>
      <c r="S223" s="221"/>
    </row>
    <row r="224" spans="1:19" ht="21" customHeight="1" x14ac:dyDescent="0.2">
      <c r="A224" s="1592" t="s">
        <v>418</v>
      </c>
      <c r="B224" s="1592"/>
      <c r="C224" s="1592"/>
      <c r="D224" s="1592"/>
      <c r="E224" s="150">
        <f t="shared" ref="E224:O224" si="66">+E11+E16+E20+E23+E28+E51+E144+E222</f>
        <v>114258.2</v>
      </c>
      <c r="F224" s="150">
        <f t="shared" si="66"/>
        <v>87711.799999999988</v>
      </c>
      <c r="G224" s="150">
        <f t="shared" si="66"/>
        <v>121781.79999999999</v>
      </c>
      <c r="H224" s="150">
        <f t="shared" si="66"/>
        <v>100915.4</v>
      </c>
      <c r="I224" s="150">
        <f t="shared" si="66"/>
        <v>176578.80000000002</v>
      </c>
      <c r="J224" s="150">
        <f t="shared" si="66"/>
        <v>156193.50000000003</v>
      </c>
      <c r="K224" s="150">
        <f t="shared" si="66"/>
        <v>130701.8</v>
      </c>
      <c r="L224" s="150">
        <f t="shared" si="66"/>
        <v>105865</v>
      </c>
      <c r="M224" s="150">
        <f t="shared" si="66"/>
        <v>22930.600000000006</v>
      </c>
      <c r="N224" s="150">
        <f t="shared" si="66"/>
        <v>15676.999999999996</v>
      </c>
      <c r="O224" s="150">
        <f t="shared" si="66"/>
        <v>-45877</v>
      </c>
      <c r="P224" s="359">
        <f t="shared" si="61"/>
        <v>16443.600000000006</v>
      </c>
      <c r="Q224" s="151"/>
      <c r="S224" s="221"/>
    </row>
    <row r="225" spans="1:19" ht="19.899999999999999" customHeight="1" x14ac:dyDescent="0.2">
      <c r="A225" s="1593" t="s">
        <v>147</v>
      </c>
      <c r="B225" s="1593"/>
      <c r="C225" s="1593"/>
      <c r="D225" s="1593"/>
      <c r="E225" s="365">
        <f t="shared" ref="E225:O225" si="67">+E223+E145+E52+E29+E24+E12</f>
        <v>36746.5</v>
      </c>
      <c r="F225" s="365">
        <f t="shared" si="67"/>
        <v>27537</v>
      </c>
      <c r="G225" s="365">
        <f t="shared" si="67"/>
        <v>37865.5</v>
      </c>
      <c r="H225" s="365">
        <f t="shared" si="67"/>
        <v>26367.5</v>
      </c>
      <c r="I225" s="365">
        <f t="shared" si="67"/>
        <v>27237.1</v>
      </c>
      <c r="J225" s="365">
        <f t="shared" si="67"/>
        <v>18237.099999999999</v>
      </c>
      <c r="K225" s="365">
        <f t="shared" si="67"/>
        <v>22141.5</v>
      </c>
      <c r="L225" s="365">
        <f t="shared" si="67"/>
        <v>8548</v>
      </c>
      <c r="M225" s="365" t="e">
        <f t="shared" si="67"/>
        <v>#REF!</v>
      </c>
      <c r="N225" s="365" t="e">
        <f t="shared" si="67"/>
        <v>#REF!</v>
      </c>
      <c r="O225" s="365">
        <f t="shared" si="67"/>
        <v>-5689.1</v>
      </c>
      <c r="P225" s="365">
        <f t="shared" si="61"/>
        <v>-14605</v>
      </c>
      <c r="Q225" s="163"/>
      <c r="S225" s="221"/>
    </row>
    <row r="226" spans="1:19" ht="12.75" x14ac:dyDescent="0.2">
      <c r="B226" s="55"/>
      <c r="C226" s="55"/>
      <c r="D226" s="517"/>
      <c r="E226" s="368"/>
      <c r="F226" s="368"/>
      <c r="G226" s="368"/>
      <c r="H226" s="368"/>
      <c r="I226" s="368"/>
      <c r="J226" s="368"/>
      <c r="K226" s="369"/>
      <c r="L226" s="370"/>
      <c r="M226" s="370"/>
      <c r="N226" s="370"/>
      <c r="O226" s="370"/>
      <c r="P226" s="370"/>
      <c r="Q226" s="55"/>
      <c r="S226" s="221"/>
    </row>
    <row r="227" spans="1:19" ht="12.75" x14ac:dyDescent="0.2">
      <c r="B227" s="1540" t="s">
        <v>128</v>
      </c>
      <c r="C227" s="1540"/>
      <c r="D227" s="1540"/>
      <c r="E227" s="69"/>
      <c r="F227" s="69"/>
      <c r="G227" s="69"/>
      <c r="H227" s="69"/>
      <c r="I227" s="69"/>
      <c r="J227" s="69"/>
      <c r="K227" s="70"/>
      <c r="L227" s="55"/>
      <c r="M227" s="55"/>
      <c r="N227" s="55"/>
      <c r="O227" s="55"/>
      <c r="P227" s="55"/>
      <c r="Q227" s="55"/>
      <c r="S227" s="221"/>
    </row>
  </sheetData>
  <mergeCells count="85">
    <mergeCell ref="B227:D227"/>
    <mergeCell ref="B2:Q2"/>
    <mergeCell ref="D3:F3"/>
    <mergeCell ref="A4:B4"/>
    <mergeCell ref="C4:D4"/>
    <mergeCell ref="E4:E5"/>
    <mergeCell ref="G4:G5"/>
    <mergeCell ref="I4:I5"/>
    <mergeCell ref="K4:K5"/>
    <mergeCell ref="M4:M5"/>
    <mergeCell ref="N4:N5"/>
    <mergeCell ref="O4:O5"/>
    <mergeCell ref="P4:P5"/>
    <mergeCell ref="Q4:Q5"/>
    <mergeCell ref="A7:A12"/>
    <mergeCell ref="B7:B12"/>
    <mergeCell ref="C8:D8"/>
    <mergeCell ref="C10:D10"/>
    <mergeCell ref="C11:D11"/>
    <mergeCell ref="C12:D12"/>
    <mergeCell ref="A13:A16"/>
    <mergeCell ref="B13:B16"/>
    <mergeCell ref="C16:D16"/>
    <mergeCell ref="C17:D17"/>
    <mergeCell ref="A18:A20"/>
    <mergeCell ref="B18:B20"/>
    <mergeCell ref="C20:D20"/>
    <mergeCell ref="A21:A24"/>
    <mergeCell ref="B21:B24"/>
    <mergeCell ref="C23:D23"/>
    <mergeCell ref="C24:D24"/>
    <mergeCell ref="A26:A29"/>
    <mergeCell ref="B26:B29"/>
    <mergeCell ref="C28:D28"/>
    <mergeCell ref="C29:D29"/>
    <mergeCell ref="A30:A34"/>
    <mergeCell ref="B30:B34"/>
    <mergeCell ref="A35:A52"/>
    <mergeCell ref="B35:B52"/>
    <mergeCell ref="C51:D51"/>
    <mergeCell ref="C52:D52"/>
    <mergeCell ref="C53:C65"/>
    <mergeCell ref="B53:B94"/>
    <mergeCell ref="A53:A94"/>
    <mergeCell ref="Q53:Q65"/>
    <mergeCell ref="C67:C69"/>
    <mergeCell ref="Q67:Q69"/>
    <mergeCell ref="Q97:Q99"/>
    <mergeCell ref="C105:C107"/>
    <mergeCell ref="Q105:Q107"/>
    <mergeCell ref="Q115:Q134"/>
    <mergeCell ref="C71:C73"/>
    <mergeCell ref="Q71:Q73"/>
    <mergeCell ref="C75:C80"/>
    <mergeCell ref="Q75:Q80"/>
    <mergeCell ref="C82:C93"/>
    <mergeCell ref="Q82:Q93"/>
    <mergeCell ref="C97:C99"/>
    <mergeCell ref="C118:C134"/>
    <mergeCell ref="C115:C117"/>
    <mergeCell ref="B118:B141"/>
    <mergeCell ref="A118:A141"/>
    <mergeCell ref="B95:B117"/>
    <mergeCell ref="A95:A117"/>
    <mergeCell ref="C222:D222"/>
    <mergeCell ref="A175:A188"/>
    <mergeCell ref="B175:B188"/>
    <mergeCell ref="A161:A174"/>
    <mergeCell ref="B161:B174"/>
    <mergeCell ref="A146:A160"/>
    <mergeCell ref="B146:B160"/>
    <mergeCell ref="C150:D150"/>
    <mergeCell ref="A142:A145"/>
    <mergeCell ref="B142:B145"/>
    <mergeCell ref="C144:D144"/>
    <mergeCell ref="C145:D145"/>
    <mergeCell ref="C223:D223"/>
    <mergeCell ref="A224:D224"/>
    <mergeCell ref="A225:D225"/>
    <mergeCell ref="A189:A199"/>
    <mergeCell ref="B189:B199"/>
    <mergeCell ref="A201:A213"/>
    <mergeCell ref="B201:B213"/>
    <mergeCell ref="A214:A223"/>
    <mergeCell ref="B214:B223"/>
  </mergeCells>
  <pageMargins left="0.19685039370078741" right="0.19685039370078741" top="0.19685039370078741" bottom="0.19685039370078741" header="0.31496062992125984" footer="0.31496062992125984"/>
  <pageSetup paperSize="9" scale="71" fitToHeight="0" orientation="landscape" r:id="rId1"/>
  <headerFooter>
    <oddFooter>&amp;C&amp;P</oddFooter>
  </headerFooter>
  <rowBreaks count="6" manualBreakCount="6">
    <brk id="25" max="16" man="1"/>
    <brk id="34" max="16" man="1"/>
    <brk id="52" max="16" man="1"/>
    <brk id="160" max="16" man="1"/>
    <brk id="199" max="16" man="1"/>
    <brk id="213" max="16" man="1"/>
  </rowBreaks>
  <ignoredErrors>
    <ignoredError sqref="F225:H225 J225:P225 M12:N12" evalError="1"/>
    <ignoredError sqref="A7 A13 A18 A21" numberStoredAsText="1"/>
    <ignoredError sqref="O11 P17 O20:P20 K52 O52 O222:P222" formula="1"/>
    <ignoredError sqref="E16 K16 K20:L20 E51:H51 J51"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16"/>
  <sheetViews>
    <sheetView showZeros="0" zoomScaleNormal="100" zoomScaleSheetLayoutView="70" workbookViewId="0">
      <selection activeCell="O97" sqref="O97"/>
    </sheetView>
  </sheetViews>
  <sheetFormatPr defaultColWidth="8.85546875" defaultRowHeight="11.25" x14ac:dyDescent="0.2"/>
  <cols>
    <col min="1" max="1" width="3.28515625" style="28" customWidth="1"/>
    <col min="2" max="2" width="11" style="29" customWidth="1"/>
    <col min="3" max="3" width="10.5703125" style="30" customWidth="1"/>
    <col min="4" max="4" width="36.28515625" style="31" customWidth="1"/>
    <col min="5" max="10" width="9.7109375" style="32" customWidth="1"/>
    <col min="11" max="11" width="9.7109375" style="33" customWidth="1"/>
    <col min="12" max="12" width="9.7109375" style="34" customWidth="1"/>
    <col min="13" max="14" width="7.140625" style="34" hidden="1" customWidth="1"/>
    <col min="15" max="16" width="9.7109375" style="34" customWidth="1"/>
    <col min="17" max="17" width="43.42578125" style="35" customWidth="1"/>
    <col min="18" max="16384" width="8.85546875" style="28"/>
  </cols>
  <sheetData>
    <row r="1" spans="1:19" s="21" customFormat="1" ht="12.75" x14ac:dyDescent="0.2">
      <c r="B1" s="22"/>
      <c r="C1" s="23"/>
      <c r="E1" s="24"/>
      <c r="F1" s="24"/>
      <c r="G1" s="24"/>
      <c r="H1" s="24"/>
      <c r="I1" s="24"/>
      <c r="J1" s="24"/>
      <c r="K1" s="25"/>
      <c r="L1" s="24"/>
      <c r="M1" s="24"/>
      <c r="N1" s="24"/>
      <c r="O1" s="24"/>
      <c r="P1" s="24"/>
      <c r="Q1" s="26" t="s">
        <v>1008</v>
      </c>
    </row>
    <row r="2" spans="1:19" s="21" customFormat="1" ht="14.25" x14ac:dyDescent="0.2">
      <c r="B2" s="1619" t="s">
        <v>797</v>
      </c>
      <c r="C2" s="1619"/>
      <c r="D2" s="1619"/>
      <c r="E2" s="1619"/>
      <c r="F2" s="1619"/>
      <c r="G2" s="1619"/>
      <c r="H2" s="1619"/>
      <c r="I2" s="1619"/>
      <c r="J2" s="1619"/>
      <c r="K2" s="1619"/>
      <c r="L2" s="1619"/>
      <c r="M2" s="1619"/>
      <c r="N2" s="1619"/>
      <c r="O2" s="1619"/>
      <c r="P2" s="1619"/>
      <c r="Q2" s="1619"/>
    </row>
    <row r="3" spans="1:19" s="21" customFormat="1" ht="12.75" x14ac:dyDescent="0.2">
      <c r="B3" s="22"/>
      <c r="C3" s="23"/>
      <c r="D3" s="1620"/>
      <c r="E3" s="1620"/>
      <c r="F3" s="1620"/>
      <c r="G3" s="27"/>
      <c r="H3" s="27"/>
      <c r="I3" s="27"/>
      <c r="J3" s="27"/>
      <c r="K3" s="25"/>
      <c r="L3" s="24"/>
      <c r="M3" s="24"/>
      <c r="N3" s="24"/>
      <c r="O3" s="24"/>
      <c r="P3" s="24"/>
      <c r="Q3" s="209" t="s">
        <v>0</v>
      </c>
    </row>
    <row r="4" spans="1:19" s="37" customFormat="1" ht="17.100000000000001" customHeight="1" x14ac:dyDescent="0.2">
      <c r="A4" s="1621" t="s">
        <v>1</v>
      </c>
      <c r="B4" s="1621"/>
      <c r="C4" s="1548" t="s">
        <v>77</v>
      </c>
      <c r="D4" s="1548"/>
      <c r="E4" s="1622" t="s">
        <v>60</v>
      </c>
      <c r="F4" s="568" t="s">
        <v>187</v>
      </c>
      <c r="G4" s="1622" t="s">
        <v>61</v>
      </c>
      <c r="H4" s="568" t="s">
        <v>187</v>
      </c>
      <c r="I4" s="1622" t="s">
        <v>62</v>
      </c>
      <c r="J4" s="568" t="s">
        <v>187</v>
      </c>
      <c r="K4" s="1622" t="s">
        <v>64</v>
      </c>
      <c r="L4" s="568" t="s">
        <v>187</v>
      </c>
      <c r="M4" s="1623" t="s">
        <v>188</v>
      </c>
      <c r="N4" s="1623" t="s">
        <v>189</v>
      </c>
      <c r="O4" s="1539" t="s">
        <v>798</v>
      </c>
      <c r="P4" s="1539" t="s">
        <v>807</v>
      </c>
      <c r="Q4" s="1541" t="s">
        <v>190</v>
      </c>
    </row>
    <row r="5" spans="1:19" s="37" customFormat="1" ht="44.25" customHeight="1" x14ac:dyDescent="0.2">
      <c r="A5" s="567" t="s">
        <v>78</v>
      </c>
      <c r="B5" s="549" t="s">
        <v>81</v>
      </c>
      <c r="C5" s="549" t="s">
        <v>78</v>
      </c>
      <c r="D5" s="549" t="s">
        <v>81</v>
      </c>
      <c r="E5" s="1622"/>
      <c r="F5" s="224" t="s">
        <v>59</v>
      </c>
      <c r="G5" s="1622"/>
      <c r="H5" s="224" t="s">
        <v>59</v>
      </c>
      <c r="I5" s="1622"/>
      <c r="J5" s="224" t="s">
        <v>59</v>
      </c>
      <c r="K5" s="1622"/>
      <c r="L5" s="224" t="s">
        <v>63</v>
      </c>
      <c r="M5" s="1623"/>
      <c r="N5" s="1623"/>
      <c r="O5" s="1539"/>
      <c r="P5" s="1539"/>
      <c r="Q5" s="1541"/>
    </row>
    <row r="6" spans="1:19" s="38" customFormat="1" ht="12" customHeight="1" x14ac:dyDescent="0.2">
      <c r="A6" s="234">
        <v>1</v>
      </c>
      <c r="B6" s="39">
        <v>2</v>
      </c>
      <c r="C6" s="39">
        <v>3</v>
      </c>
      <c r="D6" s="39">
        <v>4</v>
      </c>
      <c r="E6" s="229">
        <v>5</v>
      </c>
      <c r="F6" s="230">
        <v>6</v>
      </c>
      <c r="G6" s="235">
        <v>7</v>
      </c>
      <c r="H6" s="230">
        <v>8</v>
      </c>
      <c r="I6" s="235">
        <v>9</v>
      </c>
      <c r="J6" s="230">
        <v>10</v>
      </c>
      <c r="K6" s="235">
        <v>11</v>
      </c>
      <c r="L6" s="230">
        <v>12</v>
      </c>
      <c r="M6" s="230">
        <v>13</v>
      </c>
      <c r="N6" s="230">
        <v>14</v>
      </c>
      <c r="O6" s="419">
        <v>13</v>
      </c>
      <c r="P6" s="419">
        <v>14</v>
      </c>
      <c r="Q6" s="232">
        <v>15</v>
      </c>
    </row>
    <row r="7" spans="1:19" s="75" customFormat="1" ht="48" x14ac:dyDescent="0.2">
      <c r="A7" s="1635" t="s">
        <v>419</v>
      </c>
      <c r="B7" s="1632" t="s">
        <v>420</v>
      </c>
      <c r="C7" s="562">
        <v>1090206001</v>
      </c>
      <c r="D7" s="396" t="s">
        <v>421</v>
      </c>
      <c r="E7" s="146">
        <v>1775.1</v>
      </c>
      <c r="F7" s="374">
        <v>1775.1</v>
      </c>
      <c r="G7" s="146">
        <v>1775.1</v>
      </c>
      <c r="H7" s="269">
        <v>1775.1</v>
      </c>
      <c r="I7" s="146">
        <v>1775.1</v>
      </c>
      <c r="J7" s="269">
        <v>1775.1</v>
      </c>
      <c r="K7" s="146">
        <v>1775.1</v>
      </c>
      <c r="L7" s="269">
        <v>1775.1</v>
      </c>
      <c r="M7" s="269">
        <v>1775.1</v>
      </c>
      <c r="N7" s="269">
        <f>K7-E7</f>
        <v>0</v>
      </c>
      <c r="O7" s="416">
        <f>+K7-I7</f>
        <v>0</v>
      </c>
      <c r="P7" s="416">
        <f>+K7-E7</f>
        <v>0</v>
      </c>
      <c r="Q7" s="202" t="s">
        <v>422</v>
      </c>
      <c r="S7" s="8">
        <f>+K7-I7-O7</f>
        <v>0</v>
      </c>
    </row>
    <row r="8" spans="1:19" s="75" customFormat="1" ht="12.75" x14ac:dyDescent="0.2">
      <c r="A8" s="1631"/>
      <c r="B8" s="1632"/>
      <c r="C8" s="1618" t="s">
        <v>423</v>
      </c>
      <c r="D8" s="1618"/>
      <c r="E8" s="271">
        <f>SUM(E7)</f>
        <v>1775.1</v>
      </c>
      <c r="F8" s="271">
        <f t="shared" ref="F8:Q8" si="0">SUM(F7)</f>
        <v>1775.1</v>
      </c>
      <c r="G8" s="271">
        <f t="shared" si="0"/>
        <v>1775.1</v>
      </c>
      <c r="H8" s="271">
        <f t="shared" si="0"/>
        <v>1775.1</v>
      </c>
      <c r="I8" s="271">
        <f t="shared" si="0"/>
        <v>1775.1</v>
      </c>
      <c r="J8" s="271">
        <f t="shared" si="0"/>
        <v>1775.1</v>
      </c>
      <c r="K8" s="271">
        <f t="shared" si="0"/>
        <v>1775.1</v>
      </c>
      <c r="L8" s="271">
        <f t="shared" si="0"/>
        <v>1775.1</v>
      </c>
      <c r="M8" s="294">
        <f t="shared" si="0"/>
        <v>1775.1</v>
      </c>
      <c r="N8" s="294">
        <f t="shared" si="0"/>
        <v>0</v>
      </c>
      <c r="O8" s="294">
        <f t="shared" si="0"/>
        <v>0</v>
      </c>
      <c r="P8" s="294">
        <f t="shared" ref="P8:P72" si="1">+K8-E8</f>
        <v>0</v>
      </c>
      <c r="Q8" s="42">
        <f t="shared" si="0"/>
        <v>0</v>
      </c>
      <c r="S8" s="8">
        <f t="shared" ref="S8:S72" si="2">+K8-I8-O8</f>
        <v>0</v>
      </c>
    </row>
    <row r="9" spans="1:19" s="38" customFormat="1" ht="60" x14ac:dyDescent="0.2">
      <c r="A9" s="1637" t="s">
        <v>195</v>
      </c>
      <c r="B9" s="1636" t="s">
        <v>196</v>
      </c>
      <c r="C9" s="39">
        <v>4010101</v>
      </c>
      <c r="D9" s="397" t="s">
        <v>197</v>
      </c>
      <c r="E9" s="375">
        <f>+F9</f>
        <v>94</v>
      </c>
      <c r="F9" s="376">
        <v>94</v>
      </c>
      <c r="G9" s="375">
        <f>+H9</f>
        <v>77.2</v>
      </c>
      <c r="H9" s="376">
        <v>77.2</v>
      </c>
      <c r="I9" s="375">
        <f>+J9</f>
        <v>116</v>
      </c>
      <c r="J9" s="376">
        <v>116</v>
      </c>
      <c r="K9" s="375">
        <f>+L9</f>
        <v>116</v>
      </c>
      <c r="L9" s="269">
        <v>116</v>
      </c>
      <c r="M9" s="377"/>
      <c r="N9" s="377"/>
      <c r="O9" s="416">
        <f t="shared" ref="O9:O11" si="3">+K9-I9</f>
        <v>0</v>
      </c>
      <c r="P9" s="416">
        <f t="shared" si="1"/>
        <v>22</v>
      </c>
      <c r="Q9" s="203" t="s">
        <v>723</v>
      </c>
      <c r="S9" s="8">
        <f t="shared" si="2"/>
        <v>0</v>
      </c>
    </row>
    <row r="10" spans="1:19" s="38" customFormat="1" ht="38.25" x14ac:dyDescent="0.2">
      <c r="A10" s="1637"/>
      <c r="B10" s="1636"/>
      <c r="C10" s="39">
        <v>4010102</v>
      </c>
      <c r="D10" s="397" t="s">
        <v>198</v>
      </c>
      <c r="E10" s="375">
        <f t="shared" ref="E10:E17" si="4">+F10</f>
        <v>1</v>
      </c>
      <c r="F10" s="376">
        <v>1</v>
      </c>
      <c r="G10" s="375">
        <f t="shared" ref="G10:G15" si="5">+H10</f>
        <v>0.7</v>
      </c>
      <c r="H10" s="376">
        <v>0.7</v>
      </c>
      <c r="I10" s="375">
        <f t="shared" ref="I10:I13" si="6">+J10</f>
        <v>1</v>
      </c>
      <c r="J10" s="376">
        <v>1</v>
      </c>
      <c r="K10" s="375">
        <f t="shared" ref="K10:K15" si="7">+L10</f>
        <v>1</v>
      </c>
      <c r="L10" s="269">
        <v>1</v>
      </c>
      <c r="M10" s="377"/>
      <c r="N10" s="377"/>
      <c r="O10" s="416">
        <f t="shared" si="3"/>
        <v>0</v>
      </c>
      <c r="P10" s="416">
        <f t="shared" si="1"/>
        <v>0</v>
      </c>
      <c r="Q10" s="203" t="s">
        <v>199</v>
      </c>
      <c r="S10" s="8">
        <f t="shared" si="2"/>
        <v>0</v>
      </c>
    </row>
    <row r="11" spans="1:19" s="38" customFormat="1" ht="120" x14ac:dyDescent="0.2">
      <c r="A11" s="1637"/>
      <c r="B11" s="1636"/>
      <c r="C11" s="564">
        <v>4010104</v>
      </c>
      <c r="D11" s="397" t="s">
        <v>200</v>
      </c>
      <c r="E11" s="375">
        <f t="shared" si="4"/>
        <v>155.9</v>
      </c>
      <c r="F11" s="376">
        <v>155.9</v>
      </c>
      <c r="G11" s="375">
        <f t="shared" si="5"/>
        <v>182.4</v>
      </c>
      <c r="H11" s="376">
        <v>182.4</v>
      </c>
      <c r="I11" s="375">
        <f t="shared" si="6"/>
        <v>176</v>
      </c>
      <c r="J11" s="376">
        <v>176</v>
      </c>
      <c r="K11" s="375">
        <f t="shared" si="7"/>
        <v>176</v>
      </c>
      <c r="L11" s="269">
        <v>176</v>
      </c>
      <c r="M11" s="377"/>
      <c r="N11" s="377"/>
      <c r="O11" s="416">
        <f t="shared" si="3"/>
        <v>0</v>
      </c>
      <c r="P11" s="416">
        <f t="shared" si="1"/>
        <v>20.099999999999994</v>
      </c>
      <c r="Q11" s="203" t="s">
        <v>724</v>
      </c>
      <c r="S11" s="8">
        <f t="shared" si="2"/>
        <v>0</v>
      </c>
    </row>
    <row r="12" spans="1:19" s="40" customFormat="1" ht="168" x14ac:dyDescent="0.2">
      <c r="A12" s="1637"/>
      <c r="B12" s="1636"/>
      <c r="C12" s="564">
        <v>4010105</v>
      </c>
      <c r="D12" s="397" t="s">
        <v>201</v>
      </c>
      <c r="E12" s="375">
        <f t="shared" si="4"/>
        <v>2000</v>
      </c>
      <c r="F12" s="376">
        <v>2000</v>
      </c>
      <c r="G12" s="375">
        <f t="shared" si="5"/>
        <v>2398.9</v>
      </c>
      <c r="H12" s="376">
        <v>2398.9</v>
      </c>
      <c r="I12" s="375">
        <f>+J12</f>
        <v>2290.3000000000002</v>
      </c>
      <c r="J12" s="376">
        <f>2266.4+23.9</f>
        <v>2290.3000000000002</v>
      </c>
      <c r="K12" s="375">
        <f t="shared" si="7"/>
        <v>2290.3000000000002</v>
      </c>
      <c r="L12" s="378">
        <f>2266.4+23.9</f>
        <v>2290.3000000000002</v>
      </c>
      <c r="M12" s="379"/>
      <c r="N12" s="379"/>
      <c r="O12" s="416"/>
      <c r="P12" s="416">
        <f t="shared" si="1"/>
        <v>290.30000000000018</v>
      </c>
      <c r="Q12" s="203" t="s">
        <v>772</v>
      </c>
      <c r="S12" s="8">
        <f t="shared" si="2"/>
        <v>0</v>
      </c>
    </row>
    <row r="13" spans="1:19" s="40" customFormat="1" ht="36" x14ac:dyDescent="0.2">
      <c r="A13" s="1637"/>
      <c r="B13" s="1636"/>
      <c r="C13" s="564">
        <v>4010106</v>
      </c>
      <c r="D13" s="397" t="s">
        <v>202</v>
      </c>
      <c r="E13" s="375">
        <f t="shared" si="4"/>
        <v>0</v>
      </c>
      <c r="F13" s="376"/>
      <c r="G13" s="375">
        <f t="shared" si="5"/>
        <v>10</v>
      </c>
      <c r="H13" s="376">
        <v>10</v>
      </c>
      <c r="I13" s="375">
        <f t="shared" si="6"/>
        <v>0</v>
      </c>
      <c r="J13" s="376"/>
      <c r="K13" s="375">
        <f t="shared" si="7"/>
        <v>0</v>
      </c>
      <c r="L13" s="378"/>
      <c r="M13" s="379"/>
      <c r="N13" s="379"/>
      <c r="O13" s="416"/>
      <c r="P13" s="416">
        <f t="shared" si="1"/>
        <v>0</v>
      </c>
      <c r="Q13" s="203" t="s">
        <v>203</v>
      </c>
      <c r="S13" s="8">
        <f t="shared" si="2"/>
        <v>0</v>
      </c>
    </row>
    <row r="14" spans="1:19" s="40" customFormat="1" ht="132" x14ac:dyDescent="0.2">
      <c r="A14" s="1637" t="s">
        <v>195</v>
      </c>
      <c r="B14" s="1636" t="s">
        <v>196</v>
      </c>
      <c r="C14" s="564">
        <v>4010201</v>
      </c>
      <c r="D14" s="397" t="s">
        <v>204</v>
      </c>
      <c r="E14" s="375">
        <v>373.6</v>
      </c>
      <c r="F14" s="376"/>
      <c r="G14" s="375">
        <v>389.4</v>
      </c>
      <c r="H14" s="376"/>
      <c r="I14" s="375">
        <v>390.5</v>
      </c>
      <c r="J14" s="376"/>
      <c r="K14" s="375">
        <v>390.5</v>
      </c>
      <c r="L14" s="378"/>
      <c r="M14" s="379"/>
      <c r="N14" s="379"/>
      <c r="O14" s="416"/>
      <c r="P14" s="416">
        <f t="shared" si="1"/>
        <v>16.899999999999977</v>
      </c>
      <c r="Q14" s="203" t="s">
        <v>773</v>
      </c>
      <c r="S14" s="8">
        <f t="shared" si="2"/>
        <v>0</v>
      </c>
    </row>
    <row r="15" spans="1:19" s="40" customFormat="1" ht="36" x14ac:dyDescent="0.2">
      <c r="A15" s="1637"/>
      <c r="B15" s="1636"/>
      <c r="C15" s="564">
        <v>4010202</v>
      </c>
      <c r="D15" s="397" t="s">
        <v>205</v>
      </c>
      <c r="E15" s="375">
        <f t="shared" si="4"/>
        <v>0</v>
      </c>
      <c r="F15" s="376"/>
      <c r="G15" s="375">
        <f t="shared" si="5"/>
        <v>0</v>
      </c>
      <c r="H15" s="376"/>
      <c r="I15" s="375">
        <v>10</v>
      </c>
      <c r="J15" s="376">
        <v>10</v>
      </c>
      <c r="K15" s="375">
        <f t="shared" si="7"/>
        <v>10</v>
      </c>
      <c r="L15" s="378">
        <v>10</v>
      </c>
      <c r="M15" s="379"/>
      <c r="N15" s="379"/>
      <c r="O15" s="416"/>
      <c r="P15" s="416">
        <f t="shared" si="1"/>
        <v>10</v>
      </c>
      <c r="Q15" s="203" t="s">
        <v>774</v>
      </c>
      <c r="S15" s="8">
        <f t="shared" si="2"/>
        <v>0</v>
      </c>
    </row>
    <row r="16" spans="1:19" s="40" customFormat="1" ht="25.5" x14ac:dyDescent="0.2">
      <c r="A16" s="1637"/>
      <c r="B16" s="1636"/>
      <c r="C16" s="564">
        <v>4010201</v>
      </c>
      <c r="D16" s="397" t="s">
        <v>206</v>
      </c>
      <c r="E16" s="375"/>
      <c r="F16" s="376"/>
      <c r="G16" s="375">
        <v>210.2</v>
      </c>
      <c r="H16" s="376"/>
      <c r="I16" s="375">
        <v>214</v>
      </c>
      <c r="J16" s="376"/>
      <c r="K16" s="375">
        <v>214</v>
      </c>
      <c r="L16" s="378"/>
      <c r="M16" s="379"/>
      <c r="N16" s="379"/>
      <c r="O16" s="416"/>
      <c r="P16" s="416">
        <f t="shared" si="1"/>
        <v>214</v>
      </c>
      <c r="Q16" s="203"/>
      <c r="S16" s="8">
        <f t="shared" si="2"/>
        <v>0</v>
      </c>
    </row>
    <row r="17" spans="1:19" s="40" customFormat="1" ht="25.5" x14ac:dyDescent="0.2">
      <c r="A17" s="1637"/>
      <c r="B17" s="1636"/>
      <c r="C17" s="564">
        <v>4010201</v>
      </c>
      <c r="D17" s="397" t="s">
        <v>207</v>
      </c>
      <c r="E17" s="375">
        <f t="shared" si="4"/>
        <v>0</v>
      </c>
      <c r="F17" s="376"/>
      <c r="G17" s="375">
        <v>0.6</v>
      </c>
      <c r="H17" s="376"/>
      <c r="I17" s="375">
        <v>3.3</v>
      </c>
      <c r="J17" s="376"/>
      <c r="K17" s="375">
        <v>3.3</v>
      </c>
      <c r="L17" s="378"/>
      <c r="M17" s="379"/>
      <c r="N17" s="379"/>
      <c r="O17" s="416"/>
      <c r="P17" s="416">
        <f t="shared" si="1"/>
        <v>3.3</v>
      </c>
      <c r="Q17" s="203"/>
      <c r="S17" s="8">
        <f t="shared" si="2"/>
        <v>0</v>
      </c>
    </row>
    <row r="18" spans="1:19" s="41" customFormat="1" ht="12.75" x14ac:dyDescent="0.2">
      <c r="A18" s="1637"/>
      <c r="B18" s="1636"/>
      <c r="C18" s="1556" t="s">
        <v>208</v>
      </c>
      <c r="D18" s="1556"/>
      <c r="E18" s="380">
        <f>SUM(E9:E17)</f>
        <v>2624.5</v>
      </c>
      <c r="F18" s="381">
        <f t="shared" ref="F18:O18" si="8">SUM(F9:F17)</f>
        <v>2250.9</v>
      </c>
      <c r="G18" s="380">
        <f t="shared" si="8"/>
        <v>3269.4</v>
      </c>
      <c r="H18" s="381">
        <f t="shared" si="8"/>
        <v>2669.2000000000003</v>
      </c>
      <c r="I18" s="380">
        <f t="shared" si="8"/>
        <v>3201.1000000000004</v>
      </c>
      <c r="J18" s="381">
        <f t="shared" si="8"/>
        <v>2593.3000000000002</v>
      </c>
      <c r="K18" s="381">
        <f t="shared" si="8"/>
        <v>3201.1000000000004</v>
      </c>
      <c r="L18" s="381">
        <f t="shared" si="8"/>
        <v>2593.3000000000002</v>
      </c>
      <c r="M18" s="381">
        <f t="shared" si="8"/>
        <v>0</v>
      </c>
      <c r="N18" s="381">
        <f t="shared" si="8"/>
        <v>0</v>
      </c>
      <c r="O18" s="381">
        <f t="shared" si="8"/>
        <v>0</v>
      </c>
      <c r="P18" s="271">
        <f t="shared" si="1"/>
        <v>576.60000000000036</v>
      </c>
      <c r="Q18" s="36"/>
      <c r="S18" s="8">
        <f t="shared" si="2"/>
        <v>0</v>
      </c>
    </row>
    <row r="19" spans="1:19" s="75" customFormat="1" ht="240" x14ac:dyDescent="0.2">
      <c r="A19" s="563" t="s">
        <v>424</v>
      </c>
      <c r="B19" s="562" t="s">
        <v>425</v>
      </c>
      <c r="C19" s="562">
        <v>8020101</v>
      </c>
      <c r="D19" s="398" t="s">
        <v>426</v>
      </c>
      <c r="E19" s="146">
        <v>1510</v>
      </c>
      <c r="F19" s="302">
        <v>1510</v>
      </c>
      <c r="G19" s="146">
        <v>1510</v>
      </c>
      <c r="H19" s="269">
        <v>1510</v>
      </c>
      <c r="I19" s="146">
        <v>3185.6</v>
      </c>
      <c r="J19" s="269">
        <v>3185.6</v>
      </c>
      <c r="K19" s="146">
        <v>2385.6</v>
      </c>
      <c r="L19" s="269">
        <v>2385.6</v>
      </c>
      <c r="M19" s="269">
        <v>1510</v>
      </c>
      <c r="N19" s="269">
        <f t="shared" ref="N19:N20" si="9">K19-E19</f>
        <v>875.59999999999991</v>
      </c>
      <c r="O19" s="416">
        <f t="shared" ref="O19:O20" si="10">+K19-I19</f>
        <v>-800</v>
      </c>
      <c r="P19" s="416">
        <f t="shared" si="1"/>
        <v>875.59999999999991</v>
      </c>
      <c r="Q19" s="202" t="s">
        <v>775</v>
      </c>
      <c r="S19" s="8">
        <f t="shared" si="2"/>
        <v>0</v>
      </c>
    </row>
    <row r="20" spans="1:19" s="77" customFormat="1" ht="288" x14ac:dyDescent="0.2">
      <c r="A20" s="1635" t="s">
        <v>424</v>
      </c>
      <c r="B20" s="1632" t="s">
        <v>425</v>
      </c>
      <c r="C20" s="562">
        <v>8020104</v>
      </c>
      <c r="D20" s="398" t="s">
        <v>427</v>
      </c>
      <c r="E20" s="146">
        <v>30</v>
      </c>
      <c r="F20" s="269">
        <v>30</v>
      </c>
      <c r="G20" s="146">
        <v>30</v>
      </c>
      <c r="H20" s="269">
        <v>30</v>
      </c>
      <c r="I20" s="146">
        <f>30+10</f>
        <v>40</v>
      </c>
      <c r="J20" s="269">
        <f>30+10</f>
        <v>40</v>
      </c>
      <c r="K20" s="146">
        <f>30+10</f>
        <v>40</v>
      </c>
      <c r="L20" s="269">
        <f>30+10</f>
        <v>40</v>
      </c>
      <c r="M20" s="544">
        <v>30</v>
      </c>
      <c r="N20" s="544">
        <f t="shared" si="9"/>
        <v>10</v>
      </c>
      <c r="O20" s="545">
        <f t="shared" si="10"/>
        <v>0</v>
      </c>
      <c r="P20" s="416">
        <f t="shared" si="1"/>
        <v>10</v>
      </c>
      <c r="Q20" s="202" t="s">
        <v>951</v>
      </c>
      <c r="S20" s="8">
        <f t="shared" si="2"/>
        <v>0</v>
      </c>
    </row>
    <row r="21" spans="1:19" s="77" customFormat="1" ht="25.5" x14ac:dyDescent="0.2">
      <c r="A21" s="1635"/>
      <c r="B21" s="1632"/>
      <c r="C21" s="562">
        <v>8010102</v>
      </c>
      <c r="D21" s="398" t="s">
        <v>428</v>
      </c>
      <c r="E21" s="146">
        <v>18</v>
      </c>
      <c r="F21" s="269">
        <v>18</v>
      </c>
      <c r="G21" s="146">
        <v>18</v>
      </c>
      <c r="H21" s="269">
        <v>18</v>
      </c>
      <c r="I21" s="146">
        <v>18</v>
      </c>
      <c r="J21" s="269">
        <v>18</v>
      </c>
      <c r="K21" s="146">
        <v>18</v>
      </c>
      <c r="L21" s="269">
        <v>18</v>
      </c>
      <c r="M21" s="269"/>
      <c r="N21" s="269"/>
      <c r="O21" s="416"/>
      <c r="P21" s="416">
        <f t="shared" si="1"/>
        <v>0</v>
      </c>
      <c r="Q21" s="202" t="s">
        <v>776</v>
      </c>
      <c r="S21" s="8">
        <f t="shared" si="2"/>
        <v>0</v>
      </c>
    </row>
    <row r="22" spans="1:19" s="77" customFormat="1" ht="74.25" customHeight="1" x14ac:dyDescent="0.2">
      <c r="A22" s="1635"/>
      <c r="B22" s="1632"/>
      <c r="C22" s="562" t="s">
        <v>153</v>
      </c>
      <c r="D22" s="398" t="s">
        <v>936</v>
      </c>
      <c r="E22" s="146"/>
      <c r="F22" s="269"/>
      <c r="G22" s="146"/>
      <c r="H22" s="269"/>
      <c r="I22" s="146">
        <v>158</v>
      </c>
      <c r="J22" s="269">
        <v>158</v>
      </c>
      <c r="K22" s="146"/>
      <c r="L22" s="269"/>
      <c r="M22" s="269"/>
      <c r="N22" s="269"/>
      <c r="O22" s="416">
        <f t="shared" ref="O22" si="11">+K22-I22</f>
        <v>-158</v>
      </c>
      <c r="P22" s="416">
        <f t="shared" ref="P22" si="12">+K22-E22</f>
        <v>0</v>
      </c>
      <c r="Q22" s="202" t="s">
        <v>935</v>
      </c>
      <c r="S22" s="8"/>
    </row>
    <row r="23" spans="1:19" s="75" customFormat="1" ht="12.75" x14ac:dyDescent="0.2">
      <c r="A23" s="1635"/>
      <c r="B23" s="1632"/>
      <c r="C23" s="1618" t="s">
        <v>429</v>
      </c>
      <c r="D23" s="1618"/>
      <c r="E23" s="271">
        <f>SUM(E19:E21)</f>
        <v>1558</v>
      </c>
      <c r="F23" s="271">
        <f t="shared" ref="F23:L23" si="13">SUM(F19:F21)</f>
        <v>1558</v>
      </c>
      <c r="G23" s="271">
        <f t="shared" si="13"/>
        <v>1558</v>
      </c>
      <c r="H23" s="271">
        <f t="shared" si="13"/>
        <v>1558</v>
      </c>
      <c r="I23" s="271">
        <f>SUM(I19:I22)</f>
        <v>3401.6</v>
      </c>
      <c r="J23" s="271">
        <f>SUM(J19:J22)</f>
        <v>3401.6</v>
      </c>
      <c r="K23" s="271">
        <f t="shared" si="13"/>
        <v>2443.6</v>
      </c>
      <c r="L23" s="271">
        <f t="shared" si="13"/>
        <v>2443.6</v>
      </c>
      <c r="M23" s="271">
        <f t="shared" ref="M23:N23" si="14">SUM(M19:M20)</f>
        <v>1540</v>
      </c>
      <c r="N23" s="271">
        <f t="shared" si="14"/>
        <v>885.59999999999991</v>
      </c>
      <c r="O23" s="271">
        <f>SUM(O19:O22)</f>
        <v>-958</v>
      </c>
      <c r="P23" s="271">
        <f t="shared" si="1"/>
        <v>885.59999999999991</v>
      </c>
      <c r="Q23" s="76"/>
      <c r="S23" s="8"/>
    </row>
    <row r="24" spans="1:19" s="75" customFormat="1" ht="12.75" x14ac:dyDescent="0.2">
      <c r="A24" s="1631">
        <v>10</v>
      </c>
      <c r="B24" s="1632" t="s">
        <v>288</v>
      </c>
      <c r="C24" s="562">
        <v>10020317001</v>
      </c>
      <c r="D24" s="399" t="s">
        <v>430</v>
      </c>
      <c r="E24" s="146">
        <v>894.9</v>
      </c>
      <c r="F24" s="287"/>
      <c r="G24" s="146">
        <v>894.9</v>
      </c>
      <c r="H24" s="287"/>
      <c r="I24" s="152"/>
      <c r="J24" s="287"/>
      <c r="K24" s="146"/>
      <c r="L24" s="290"/>
      <c r="M24" s="287"/>
      <c r="N24" s="287">
        <f t="shared" ref="N24:N27" si="15">K24-E24</f>
        <v>-894.9</v>
      </c>
      <c r="O24" s="416">
        <f t="shared" ref="O24:O25" si="16">+K24-I24</f>
        <v>0</v>
      </c>
      <c r="P24" s="416">
        <f t="shared" si="1"/>
        <v>-894.9</v>
      </c>
      <c r="Q24" s="204" t="s">
        <v>431</v>
      </c>
      <c r="S24" s="8">
        <f t="shared" si="2"/>
        <v>0</v>
      </c>
    </row>
    <row r="25" spans="1:19" s="75" customFormat="1" ht="12.75" x14ac:dyDescent="0.2">
      <c r="A25" s="1631"/>
      <c r="B25" s="1632"/>
      <c r="C25" s="562"/>
      <c r="D25" s="382" t="s">
        <v>147</v>
      </c>
      <c r="E25" s="146">
        <v>894.9</v>
      </c>
      <c r="F25" s="302"/>
      <c r="G25" s="146">
        <v>894.9</v>
      </c>
      <c r="H25" s="302"/>
      <c r="I25" s="152"/>
      <c r="J25" s="287"/>
      <c r="K25" s="146"/>
      <c r="L25" s="290"/>
      <c r="M25" s="287"/>
      <c r="N25" s="287">
        <f t="shared" si="15"/>
        <v>-894.9</v>
      </c>
      <c r="O25" s="416">
        <f t="shared" si="16"/>
        <v>0</v>
      </c>
      <c r="P25" s="416">
        <f t="shared" si="1"/>
        <v>-894.9</v>
      </c>
      <c r="Q25" s="246"/>
      <c r="S25" s="8">
        <f t="shared" si="2"/>
        <v>0</v>
      </c>
    </row>
    <row r="26" spans="1:19" s="75" customFormat="1" ht="12.75" x14ac:dyDescent="0.2">
      <c r="A26" s="1631"/>
      <c r="B26" s="1632"/>
      <c r="C26" s="1618" t="s">
        <v>292</v>
      </c>
      <c r="D26" s="1618"/>
      <c r="E26" s="271">
        <f>SUM(E24)</f>
        <v>894.9</v>
      </c>
      <c r="F26" s="271">
        <f t="shared" ref="F26:O26" si="17">SUM(F24)</f>
        <v>0</v>
      </c>
      <c r="G26" s="271">
        <f t="shared" si="17"/>
        <v>894.9</v>
      </c>
      <c r="H26" s="271"/>
      <c r="I26" s="271">
        <f t="shared" si="17"/>
        <v>0</v>
      </c>
      <c r="J26" s="271">
        <f t="shared" si="17"/>
        <v>0</v>
      </c>
      <c r="K26" s="271">
        <f t="shared" si="17"/>
        <v>0</v>
      </c>
      <c r="L26" s="271">
        <f t="shared" si="17"/>
        <v>0</v>
      </c>
      <c r="M26" s="271">
        <f t="shared" si="17"/>
        <v>0</v>
      </c>
      <c r="N26" s="271">
        <f t="shared" si="17"/>
        <v>-894.9</v>
      </c>
      <c r="O26" s="271">
        <f t="shared" si="17"/>
        <v>0</v>
      </c>
      <c r="P26" s="271">
        <f t="shared" si="1"/>
        <v>-894.9</v>
      </c>
      <c r="Q26" s="79"/>
      <c r="S26" s="8">
        <f t="shared" si="2"/>
        <v>0</v>
      </c>
    </row>
    <row r="27" spans="1:19" s="75" customFormat="1" ht="12.75" x14ac:dyDescent="0.2">
      <c r="A27" s="1631"/>
      <c r="B27" s="1632"/>
      <c r="C27" s="1633" t="s">
        <v>147</v>
      </c>
      <c r="D27" s="1633"/>
      <c r="E27" s="271">
        <v>894.9</v>
      </c>
      <c r="F27" s="288"/>
      <c r="G27" s="288">
        <v>894.9</v>
      </c>
      <c r="H27" s="288"/>
      <c r="I27" s="288"/>
      <c r="J27" s="288">
        <v>0</v>
      </c>
      <c r="K27" s="271">
        <f>K25</f>
        <v>0</v>
      </c>
      <c r="L27" s="288">
        <v>0</v>
      </c>
      <c r="M27" s="271">
        <v>0</v>
      </c>
      <c r="N27" s="288">
        <f t="shared" si="15"/>
        <v>-894.9</v>
      </c>
      <c r="O27" s="288">
        <f>O25</f>
        <v>0</v>
      </c>
      <c r="P27" s="271">
        <f t="shared" si="1"/>
        <v>-894.9</v>
      </c>
      <c r="Q27" s="79"/>
      <c r="S27" s="8">
        <f t="shared" si="2"/>
        <v>0</v>
      </c>
    </row>
    <row r="28" spans="1:19" s="75" customFormat="1" ht="60" x14ac:dyDescent="0.2">
      <c r="A28" s="1631">
        <v>12</v>
      </c>
      <c r="B28" s="1632" t="s">
        <v>432</v>
      </c>
      <c r="C28" s="562">
        <v>12020201</v>
      </c>
      <c r="D28" s="396" t="s">
        <v>433</v>
      </c>
      <c r="E28" s="146">
        <v>15</v>
      </c>
      <c r="F28" s="269">
        <v>15</v>
      </c>
      <c r="G28" s="146">
        <v>42</v>
      </c>
      <c r="H28" s="383">
        <v>42</v>
      </c>
      <c r="I28" s="146">
        <v>20</v>
      </c>
      <c r="J28" s="269">
        <v>20</v>
      </c>
      <c r="K28" s="146">
        <v>20</v>
      </c>
      <c r="L28" s="269">
        <v>20</v>
      </c>
      <c r="M28" s="384"/>
      <c r="N28" s="384"/>
      <c r="O28" s="418"/>
      <c r="P28" s="416">
        <f t="shared" si="1"/>
        <v>5</v>
      </c>
      <c r="Q28" s="205" t="s">
        <v>434</v>
      </c>
      <c r="S28" s="8">
        <f t="shared" si="2"/>
        <v>0</v>
      </c>
    </row>
    <row r="29" spans="1:19" s="75" customFormat="1" ht="72" x14ac:dyDescent="0.2">
      <c r="A29" s="1631"/>
      <c r="B29" s="1632"/>
      <c r="C29" s="562">
        <v>12020202</v>
      </c>
      <c r="D29" s="396" t="s">
        <v>435</v>
      </c>
      <c r="E29" s="146">
        <v>12</v>
      </c>
      <c r="F29" s="269">
        <v>12</v>
      </c>
      <c r="G29" s="146">
        <v>12</v>
      </c>
      <c r="H29" s="383">
        <v>12</v>
      </c>
      <c r="I29" s="146">
        <v>12</v>
      </c>
      <c r="J29" s="269">
        <v>12</v>
      </c>
      <c r="K29" s="146">
        <v>12</v>
      </c>
      <c r="L29" s="269">
        <v>12</v>
      </c>
      <c r="M29" s="384"/>
      <c r="N29" s="384"/>
      <c r="O29" s="418"/>
      <c r="P29" s="416">
        <f t="shared" si="1"/>
        <v>0</v>
      </c>
      <c r="Q29" s="205" t="s">
        <v>436</v>
      </c>
      <c r="S29" s="8">
        <f t="shared" si="2"/>
        <v>0</v>
      </c>
    </row>
    <row r="30" spans="1:19" s="75" customFormat="1" ht="60" x14ac:dyDescent="0.2">
      <c r="A30" s="1631"/>
      <c r="B30" s="1632"/>
      <c r="C30" s="562">
        <v>12020207</v>
      </c>
      <c r="D30" s="396" t="s">
        <v>437</v>
      </c>
      <c r="E30" s="146">
        <v>5</v>
      </c>
      <c r="F30" s="269">
        <v>5</v>
      </c>
      <c r="G30" s="146">
        <v>5</v>
      </c>
      <c r="H30" s="383">
        <v>5</v>
      </c>
      <c r="I30" s="146">
        <v>5</v>
      </c>
      <c r="J30" s="269">
        <v>5</v>
      </c>
      <c r="K30" s="146">
        <v>5</v>
      </c>
      <c r="L30" s="269">
        <v>5</v>
      </c>
      <c r="M30" s="384"/>
      <c r="N30" s="384"/>
      <c r="O30" s="418"/>
      <c r="P30" s="416">
        <f t="shared" si="1"/>
        <v>0</v>
      </c>
      <c r="Q30" s="205" t="s">
        <v>438</v>
      </c>
      <c r="S30" s="8">
        <f t="shared" si="2"/>
        <v>0</v>
      </c>
    </row>
    <row r="31" spans="1:19" s="75" customFormat="1" ht="72" x14ac:dyDescent="0.2">
      <c r="A31" s="1631">
        <v>12</v>
      </c>
      <c r="B31" s="1632" t="s">
        <v>432</v>
      </c>
      <c r="C31" s="562">
        <v>12020208</v>
      </c>
      <c r="D31" s="396" t="s">
        <v>439</v>
      </c>
      <c r="E31" s="146">
        <v>54.5</v>
      </c>
      <c r="F31" s="269">
        <v>54.5</v>
      </c>
      <c r="G31" s="146">
        <v>54.5</v>
      </c>
      <c r="H31" s="383">
        <v>54.5</v>
      </c>
      <c r="I31" s="146">
        <v>58</v>
      </c>
      <c r="J31" s="269">
        <v>58</v>
      </c>
      <c r="K31" s="146">
        <v>58</v>
      </c>
      <c r="L31" s="269">
        <v>58</v>
      </c>
      <c r="M31" s="384"/>
      <c r="N31" s="384"/>
      <c r="O31" s="418"/>
      <c r="P31" s="416">
        <f t="shared" si="1"/>
        <v>3.5</v>
      </c>
      <c r="Q31" s="205" t="s">
        <v>712</v>
      </c>
      <c r="S31" s="8">
        <f t="shared" si="2"/>
        <v>0</v>
      </c>
    </row>
    <row r="32" spans="1:19" s="75" customFormat="1" ht="48" x14ac:dyDescent="0.2">
      <c r="A32" s="1631"/>
      <c r="B32" s="1632"/>
      <c r="C32" s="562">
        <v>12020209</v>
      </c>
      <c r="D32" s="396" t="s">
        <v>440</v>
      </c>
      <c r="E32" s="146">
        <v>20</v>
      </c>
      <c r="F32" s="269">
        <v>20</v>
      </c>
      <c r="G32" s="146">
        <v>35</v>
      </c>
      <c r="H32" s="383">
        <v>35</v>
      </c>
      <c r="I32" s="146">
        <v>40</v>
      </c>
      <c r="J32" s="269">
        <v>40</v>
      </c>
      <c r="K32" s="146">
        <v>40</v>
      </c>
      <c r="L32" s="269">
        <v>40</v>
      </c>
      <c r="M32" s="384"/>
      <c r="N32" s="384"/>
      <c r="O32" s="418"/>
      <c r="P32" s="416">
        <f t="shared" si="1"/>
        <v>20</v>
      </c>
      <c r="Q32" s="205" t="s">
        <v>441</v>
      </c>
      <c r="S32" s="8">
        <f t="shared" si="2"/>
        <v>0</v>
      </c>
    </row>
    <row r="33" spans="1:19" s="75" customFormat="1" ht="84" x14ac:dyDescent="0.2">
      <c r="A33" s="1631"/>
      <c r="B33" s="1632"/>
      <c r="C33" s="562">
        <v>12020502</v>
      </c>
      <c r="D33" s="396" t="s">
        <v>442</v>
      </c>
      <c r="E33" s="146">
        <v>10</v>
      </c>
      <c r="F33" s="269">
        <v>10</v>
      </c>
      <c r="G33" s="146">
        <v>11.5</v>
      </c>
      <c r="H33" s="383">
        <v>11.5</v>
      </c>
      <c r="I33" s="146">
        <v>15</v>
      </c>
      <c r="J33" s="269">
        <v>15</v>
      </c>
      <c r="K33" s="146">
        <v>15</v>
      </c>
      <c r="L33" s="269">
        <v>15</v>
      </c>
      <c r="M33" s="384"/>
      <c r="N33" s="384"/>
      <c r="O33" s="418"/>
      <c r="P33" s="416">
        <f t="shared" si="1"/>
        <v>5</v>
      </c>
      <c r="Q33" s="205" t="s">
        <v>443</v>
      </c>
      <c r="S33" s="8">
        <f t="shared" si="2"/>
        <v>0</v>
      </c>
    </row>
    <row r="34" spans="1:19" s="75" customFormat="1" ht="84" x14ac:dyDescent="0.2">
      <c r="A34" s="1631"/>
      <c r="B34" s="1632"/>
      <c r="C34" s="562">
        <v>12030303</v>
      </c>
      <c r="D34" s="396" t="s">
        <v>444</v>
      </c>
      <c r="E34" s="146">
        <v>73.5</v>
      </c>
      <c r="F34" s="269">
        <v>73.5</v>
      </c>
      <c r="G34" s="146">
        <v>15</v>
      </c>
      <c r="H34" s="383">
        <v>15</v>
      </c>
      <c r="I34" s="146">
        <v>30</v>
      </c>
      <c r="J34" s="269">
        <v>30</v>
      </c>
      <c r="K34" s="146">
        <v>30</v>
      </c>
      <c r="L34" s="269">
        <v>30</v>
      </c>
      <c r="M34" s="384"/>
      <c r="N34" s="384"/>
      <c r="O34" s="418"/>
      <c r="P34" s="416">
        <f t="shared" si="1"/>
        <v>-43.5</v>
      </c>
      <c r="Q34" s="205" t="s">
        <v>445</v>
      </c>
      <c r="S34" s="8">
        <f t="shared" si="2"/>
        <v>0</v>
      </c>
    </row>
    <row r="35" spans="1:19" s="75" customFormat="1" ht="72" x14ac:dyDescent="0.2">
      <c r="A35" s="1631"/>
      <c r="B35" s="1632"/>
      <c r="C35" s="562">
        <v>12030405</v>
      </c>
      <c r="D35" s="396" t="s">
        <v>446</v>
      </c>
      <c r="E35" s="146">
        <v>10</v>
      </c>
      <c r="F35" s="269">
        <v>10</v>
      </c>
      <c r="G35" s="146">
        <v>25</v>
      </c>
      <c r="H35" s="383">
        <v>25</v>
      </c>
      <c r="I35" s="146">
        <v>15</v>
      </c>
      <c r="J35" s="269">
        <v>15</v>
      </c>
      <c r="K35" s="146">
        <v>15</v>
      </c>
      <c r="L35" s="269">
        <v>15</v>
      </c>
      <c r="M35" s="384"/>
      <c r="N35" s="384"/>
      <c r="O35" s="418"/>
      <c r="P35" s="416">
        <f t="shared" si="1"/>
        <v>5</v>
      </c>
      <c r="Q35" s="205" t="s">
        <v>447</v>
      </c>
      <c r="S35" s="8">
        <f t="shared" si="2"/>
        <v>0</v>
      </c>
    </row>
    <row r="36" spans="1:19" s="75" customFormat="1" ht="228" x14ac:dyDescent="0.2">
      <c r="A36" s="1631"/>
      <c r="B36" s="1632"/>
      <c r="C36" s="562">
        <v>12030501</v>
      </c>
      <c r="D36" s="396" t="s">
        <v>448</v>
      </c>
      <c r="E36" s="146">
        <v>20</v>
      </c>
      <c r="F36" s="269">
        <v>20</v>
      </c>
      <c r="G36" s="146">
        <v>20</v>
      </c>
      <c r="H36" s="383">
        <v>20</v>
      </c>
      <c r="I36" s="146">
        <v>105</v>
      </c>
      <c r="J36" s="269">
        <v>105</v>
      </c>
      <c r="K36" s="146">
        <v>25</v>
      </c>
      <c r="L36" s="269">
        <v>25</v>
      </c>
      <c r="M36" s="384"/>
      <c r="N36" s="384"/>
      <c r="O36" s="416">
        <f>+K36-I36</f>
        <v>-80</v>
      </c>
      <c r="P36" s="416">
        <f t="shared" si="1"/>
        <v>5</v>
      </c>
      <c r="Q36" s="205" t="s">
        <v>666</v>
      </c>
      <c r="S36" s="8">
        <f t="shared" si="2"/>
        <v>0</v>
      </c>
    </row>
    <row r="37" spans="1:19" s="75" customFormat="1" ht="12.75" x14ac:dyDescent="0.2">
      <c r="A37" s="1631"/>
      <c r="B37" s="1632"/>
      <c r="C37" s="1618" t="s">
        <v>449</v>
      </c>
      <c r="D37" s="1618"/>
      <c r="E37" s="271">
        <f>SUM(E28:E36)</f>
        <v>220</v>
      </c>
      <c r="F37" s="271">
        <f t="shared" ref="F37:O37" si="18">SUM(F28:F36)</f>
        <v>220</v>
      </c>
      <c r="G37" s="271">
        <f t="shared" si="18"/>
        <v>220</v>
      </c>
      <c r="H37" s="271">
        <f t="shared" si="18"/>
        <v>220</v>
      </c>
      <c r="I37" s="271">
        <f t="shared" si="18"/>
        <v>300</v>
      </c>
      <c r="J37" s="271">
        <f t="shared" si="18"/>
        <v>300</v>
      </c>
      <c r="K37" s="271">
        <f t="shared" si="18"/>
        <v>220</v>
      </c>
      <c r="L37" s="271">
        <f t="shared" si="18"/>
        <v>220</v>
      </c>
      <c r="M37" s="271">
        <f t="shared" si="18"/>
        <v>0</v>
      </c>
      <c r="N37" s="271">
        <f t="shared" si="18"/>
        <v>0</v>
      </c>
      <c r="O37" s="271">
        <f t="shared" si="18"/>
        <v>-80</v>
      </c>
      <c r="P37" s="294">
        <f t="shared" si="1"/>
        <v>0</v>
      </c>
      <c r="Q37" s="76"/>
      <c r="S37" s="8">
        <f t="shared" si="2"/>
        <v>0</v>
      </c>
    </row>
    <row r="38" spans="1:19" s="106" customFormat="1" ht="34.5" customHeight="1" x14ac:dyDescent="0.2">
      <c r="A38" s="1617" t="s">
        <v>191</v>
      </c>
      <c r="B38" s="1629" t="s">
        <v>192</v>
      </c>
      <c r="C38" s="565">
        <v>16010101</v>
      </c>
      <c r="D38" s="325" t="s">
        <v>209</v>
      </c>
      <c r="E38" s="152">
        <f>+F38</f>
        <v>11560.5</v>
      </c>
      <c r="F38" s="385">
        <v>11560.5</v>
      </c>
      <c r="G38" s="152">
        <f>+H38</f>
        <v>12032.6</v>
      </c>
      <c r="H38" s="385">
        <v>12032.6</v>
      </c>
      <c r="I38" s="152">
        <f>+J38</f>
        <v>14167.1</v>
      </c>
      <c r="J38" s="386">
        <f>13502.4+157+177.6-25.3+14-10+351.4</f>
        <v>14167.1</v>
      </c>
      <c r="K38" s="152">
        <f>+L38</f>
        <v>14167.1</v>
      </c>
      <c r="L38" s="386">
        <f>13502.4+157+177.6-25.3+14-10+351.4</f>
        <v>14167.1</v>
      </c>
      <c r="M38" s="385"/>
      <c r="N38" s="385"/>
      <c r="O38" s="416">
        <f t="shared" ref="O38:O106" si="19">+K38-I38</f>
        <v>0</v>
      </c>
      <c r="P38" s="416">
        <f t="shared" si="1"/>
        <v>2606.6000000000004</v>
      </c>
      <c r="Q38" s="1616" t="s">
        <v>957</v>
      </c>
      <c r="S38" s="8">
        <f t="shared" si="2"/>
        <v>0</v>
      </c>
    </row>
    <row r="39" spans="1:19" s="106" customFormat="1" ht="60.75" customHeight="1" x14ac:dyDescent="0.2">
      <c r="A39" s="1617"/>
      <c r="B39" s="1629"/>
      <c r="C39" s="565">
        <v>16010101</v>
      </c>
      <c r="D39" s="325" t="s">
        <v>952</v>
      </c>
      <c r="E39" s="152">
        <f t="shared" ref="E39:E55" si="20">+F39</f>
        <v>320</v>
      </c>
      <c r="F39" s="385">
        <v>320</v>
      </c>
      <c r="G39" s="152">
        <f t="shared" ref="G39:G55" si="21">+H39</f>
        <v>320</v>
      </c>
      <c r="H39" s="385">
        <v>320</v>
      </c>
      <c r="I39" s="152">
        <f t="shared" ref="I39:I55" si="22">+J39</f>
        <v>427</v>
      </c>
      <c r="J39" s="319">
        <f>-14+441</f>
        <v>427</v>
      </c>
      <c r="K39" s="152">
        <f t="shared" ref="K39:K53" si="23">+L39</f>
        <v>427</v>
      </c>
      <c r="L39" s="386">
        <f>-14+441</f>
        <v>427</v>
      </c>
      <c r="M39" s="385"/>
      <c r="N39" s="385"/>
      <c r="O39" s="416">
        <f t="shared" si="19"/>
        <v>0</v>
      </c>
      <c r="P39" s="416">
        <f t="shared" si="1"/>
        <v>107</v>
      </c>
      <c r="Q39" s="1616"/>
      <c r="S39" s="8">
        <f t="shared" si="2"/>
        <v>0</v>
      </c>
    </row>
    <row r="40" spans="1:19" s="106" customFormat="1" ht="45.75" customHeight="1" x14ac:dyDescent="0.2">
      <c r="A40" s="1617"/>
      <c r="B40" s="1629"/>
      <c r="C40" s="565">
        <v>16010102</v>
      </c>
      <c r="D40" s="325" t="s">
        <v>210</v>
      </c>
      <c r="E40" s="152">
        <f t="shared" si="20"/>
        <v>1927.7</v>
      </c>
      <c r="F40" s="385">
        <v>1927.7</v>
      </c>
      <c r="G40" s="152">
        <f t="shared" si="21"/>
        <v>2055.6</v>
      </c>
      <c r="H40" s="385">
        <v>2055.6</v>
      </c>
      <c r="I40" s="152">
        <f t="shared" si="22"/>
        <v>2196.6</v>
      </c>
      <c r="J40" s="385">
        <v>2196.6</v>
      </c>
      <c r="K40" s="152">
        <f t="shared" si="23"/>
        <v>2196.6</v>
      </c>
      <c r="L40" s="386">
        <v>2196.6</v>
      </c>
      <c r="M40" s="385"/>
      <c r="N40" s="385"/>
      <c r="O40" s="416">
        <f t="shared" si="19"/>
        <v>0</v>
      </c>
      <c r="P40" s="416">
        <f t="shared" si="1"/>
        <v>268.89999999999986</v>
      </c>
      <c r="Q40" s="1616"/>
      <c r="S40" s="8">
        <f t="shared" si="2"/>
        <v>0</v>
      </c>
    </row>
    <row r="41" spans="1:19" s="106" customFormat="1" ht="48" customHeight="1" x14ac:dyDescent="0.2">
      <c r="A41" s="1617"/>
      <c r="B41" s="1629"/>
      <c r="C41" s="565">
        <v>16010103</v>
      </c>
      <c r="D41" s="325" t="s">
        <v>211</v>
      </c>
      <c r="E41" s="152">
        <f t="shared" si="20"/>
        <v>1968.6</v>
      </c>
      <c r="F41" s="385">
        <v>1968.6</v>
      </c>
      <c r="G41" s="152">
        <f t="shared" si="21"/>
        <v>2041.1</v>
      </c>
      <c r="H41" s="385">
        <v>2041.1</v>
      </c>
      <c r="I41" s="152">
        <f t="shared" si="22"/>
        <v>2197.4</v>
      </c>
      <c r="J41" s="385">
        <v>2197.4</v>
      </c>
      <c r="K41" s="152">
        <f t="shared" si="23"/>
        <v>2197.4</v>
      </c>
      <c r="L41" s="386">
        <v>2197.4</v>
      </c>
      <c r="M41" s="385"/>
      <c r="N41" s="385"/>
      <c r="O41" s="416">
        <f t="shared" si="19"/>
        <v>0</v>
      </c>
      <c r="P41" s="416">
        <f t="shared" si="1"/>
        <v>228.80000000000018</v>
      </c>
      <c r="Q41" s="1616"/>
      <c r="S41" s="8">
        <f t="shared" si="2"/>
        <v>0</v>
      </c>
    </row>
    <row r="42" spans="1:19" s="106" customFormat="1" ht="39.75" customHeight="1" x14ac:dyDescent="0.2">
      <c r="A42" s="1617"/>
      <c r="B42" s="1629"/>
      <c r="C42" s="565">
        <v>16010105</v>
      </c>
      <c r="D42" s="325" t="s">
        <v>212</v>
      </c>
      <c r="E42" s="152">
        <f t="shared" si="20"/>
        <v>743.1</v>
      </c>
      <c r="F42" s="385">
        <v>743.1</v>
      </c>
      <c r="G42" s="152">
        <f t="shared" si="21"/>
        <v>807.4</v>
      </c>
      <c r="H42" s="385">
        <v>807.4</v>
      </c>
      <c r="I42" s="152">
        <f t="shared" si="22"/>
        <v>940.7</v>
      </c>
      <c r="J42" s="385">
        <v>940.7</v>
      </c>
      <c r="K42" s="152">
        <f t="shared" si="23"/>
        <v>940.7</v>
      </c>
      <c r="L42" s="386">
        <v>940.7</v>
      </c>
      <c r="M42" s="385"/>
      <c r="N42" s="385"/>
      <c r="O42" s="416">
        <f t="shared" si="19"/>
        <v>0</v>
      </c>
      <c r="P42" s="416">
        <f t="shared" si="1"/>
        <v>197.60000000000002</v>
      </c>
      <c r="Q42" s="1616"/>
      <c r="S42" s="8">
        <f t="shared" si="2"/>
        <v>0</v>
      </c>
    </row>
    <row r="43" spans="1:19" s="106" customFormat="1" ht="38.25" customHeight="1" x14ac:dyDescent="0.2">
      <c r="A43" s="1617"/>
      <c r="B43" s="1629"/>
      <c r="C43" s="565">
        <v>16010106</v>
      </c>
      <c r="D43" s="325" t="s">
        <v>214</v>
      </c>
      <c r="E43" s="152">
        <f t="shared" si="20"/>
        <v>1560.5</v>
      </c>
      <c r="F43" s="385">
        <v>1560.5</v>
      </c>
      <c r="G43" s="152">
        <f t="shared" si="21"/>
        <v>1677.3</v>
      </c>
      <c r="H43" s="385">
        <v>1677.3</v>
      </c>
      <c r="I43" s="152">
        <f t="shared" si="22"/>
        <v>1863.2</v>
      </c>
      <c r="J43" s="385">
        <v>1863.2</v>
      </c>
      <c r="K43" s="152">
        <f t="shared" si="23"/>
        <v>1863.2</v>
      </c>
      <c r="L43" s="386">
        <v>1863.2</v>
      </c>
      <c r="M43" s="385"/>
      <c r="N43" s="385"/>
      <c r="O43" s="416">
        <f t="shared" si="19"/>
        <v>0</v>
      </c>
      <c r="P43" s="416">
        <f t="shared" si="1"/>
        <v>302.70000000000005</v>
      </c>
      <c r="Q43" s="1616"/>
      <c r="S43" s="8">
        <f t="shared" si="2"/>
        <v>0</v>
      </c>
    </row>
    <row r="44" spans="1:19" s="106" customFormat="1" ht="44.25" customHeight="1" x14ac:dyDescent="0.2">
      <c r="A44" s="1617"/>
      <c r="B44" s="1629"/>
      <c r="C44" s="565">
        <v>16010107</v>
      </c>
      <c r="D44" s="325" t="s">
        <v>215</v>
      </c>
      <c r="E44" s="152">
        <f t="shared" si="20"/>
        <v>596.1</v>
      </c>
      <c r="F44" s="385">
        <v>596.1</v>
      </c>
      <c r="G44" s="152">
        <f t="shared" si="21"/>
        <v>673.1</v>
      </c>
      <c r="H44" s="385">
        <v>673.1</v>
      </c>
      <c r="I44" s="152">
        <f t="shared" si="22"/>
        <v>830.9</v>
      </c>
      <c r="J44" s="385">
        <v>830.9</v>
      </c>
      <c r="K44" s="152">
        <f t="shared" si="23"/>
        <v>830.9</v>
      </c>
      <c r="L44" s="386">
        <v>830.9</v>
      </c>
      <c r="M44" s="385"/>
      <c r="N44" s="385"/>
      <c r="O44" s="416">
        <f t="shared" si="19"/>
        <v>0</v>
      </c>
      <c r="P44" s="416">
        <f t="shared" si="1"/>
        <v>234.79999999999995</v>
      </c>
      <c r="Q44" s="1616"/>
      <c r="S44" s="8">
        <f t="shared" si="2"/>
        <v>0</v>
      </c>
    </row>
    <row r="45" spans="1:19" s="107" customFormat="1" ht="38.25" customHeight="1" x14ac:dyDescent="0.2">
      <c r="A45" s="1617"/>
      <c r="B45" s="1629"/>
      <c r="C45" s="565">
        <v>16010109</v>
      </c>
      <c r="D45" s="325" t="s">
        <v>953</v>
      </c>
      <c r="E45" s="152">
        <f t="shared" si="20"/>
        <v>157.19999999999999</v>
      </c>
      <c r="F45" s="387">
        <v>157.19999999999999</v>
      </c>
      <c r="G45" s="152">
        <f t="shared" si="21"/>
        <v>202.2</v>
      </c>
      <c r="H45" s="387">
        <v>202.2</v>
      </c>
      <c r="I45" s="152">
        <f t="shared" si="22"/>
        <v>261.60000000000002</v>
      </c>
      <c r="J45" s="387">
        <v>261.60000000000002</v>
      </c>
      <c r="K45" s="152">
        <f t="shared" si="23"/>
        <v>261.60000000000002</v>
      </c>
      <c r="L45" s="386">
        <v>261.60000000000002</v>
      </c>
      <c r="M45" s="385"/>
      <c r="N45" s="385"/>
      <c r="O45" s="416">
        <f t="shared" si="19"/>
        <v>0</v>
      </c>
      <c r="P45" s="416">
        <f t="shared" si="1"/>
        <v>104.40000000000003</v>
      </c>
      <c r="Q45" s="1616"/>
      <c r="S45" s="8">
        <f t="shared" si="2"/>
        <v>0</v>
      </c>
    </row>
    <row r="46" spans="1:19" s="107" customFormat="1" ht="37.5" customHeight="1" x14ac:dyDescent="0.2">
      <c r="A46" s="1617"/>
      <c r="B46" s="1629"/>
      <c r="C46" s="565">
        <v>16020101</v>
      </c>
      <c r="D46" s="325" t="s">
        <v>216</v>
      </c>
      <c r="E46" s="152">
        <f t="shared" si="20"/>
        <v>110.4</v>
      </c>
      <c r="F46" s="387">
        <v>110.4</v>
      </c>
      <c r="G46" s="152">
        <f t="shared" si="21"/>
        <v>127.2</v>
      </c>
      <c r="H46" s="387">
        <v>127.2</v>
      </c>
      <c r="I46" s="152">
        <f t="shared" si="22"/>
        <v>64.400000000000006</v>
      </c>
      <c r="J46" s="387">
        <v>64.400000000000006</v>
      </c>
      <c r="K46" s="152">
        <f t="shared" si="23"/>
        <v>64.400000000000006</v>
      </c>
      <c r="L46" s="386">
        <v>64.400000000000006</v>
      </c>
      <c r="M46" s="385"/>
      <c r="N46" s="385"/>
      <c r="O46" s="416">
        <f t="shared" si="19"/>
        <v>0</v>
      </c>
      <c r="P46" s="416">
        <f t="shared" si="1"/>
        <v>-46</v>
      </c>
      <c r="Q46" s="1616"/>
      <c r="S46" s="8">
        <f t="shared" si="2"/>
        <v>0</v>
      </c>
    </row>
    <row r="47" spans="1:19" s="107" customFormat="1" ht="42.75" customHeight="1" x14ac:dyDescent="0.2">
      <c r="A47" s="1617"/>
      <c r="B47" s="1629"/>
      <c r="C47" s="565">
        <v>16020104</v>
      </c>
      <c r="D47" s="325" t="s">
        <v>217</v>
      </c>
      <c r="E47" s="152">
        <f t="shared" si="20"/>
        <v>905.2</v>
      </c>
      <c r="F47" s="387">
        <v>905.2</v>
      </c>
      <c r="G47" s="152">
        <f t="shared" si="21"/>
        <v>1029.4000000000001</v>
      </c>
      <c r="H47" s="387">
        <v>1029.4000000000001</v>
      </c>
      <c r="I47" s="152">
        <f t="shared" si="22"/>
        <v>762.6</v>
      </c>
      <c r="J47" s="387">
        <f>1114-351.4</f>
        <v>762.6</v>
      </c>
      <c r="K47" s="152">
        <f t="shared" si="23"/>
        <v>762.6</v>
      </c>
      <c r="L47" s="386">
        <f>1114-351.4</f>
        <v>762.6</v>
      </c>
      <c r="M47" s="385"/>
      <c r="N47" s="385"/>
      <c r="O47" s="416">
        <f t="shared" si="19"/>
        <v>0</v>
      </c>
      <c r="P47" s="416">
        <f t="shared" si="1"/>
        <v>-142.60000000000002</v>
      </c>
      <c r="Q47" s="1616"/>
      <c r="S47" s="8">
        <f t="shared" si="2"/>
        <v>0</v>
      </c>
    </row>
    <row r="48" spans="1:19" s="107" customFormat="1" ht="42" customHeight="1" x14ac:dyDescent="0.2">
      <c r="A48" s="1617"/>
      <c r="B48" s="1629"/>
      <c r="C48" s="565">
        <v>16020105</v>
      </c>
      <c r="D48" s="325" t="s">
        <v>218</v>
      </c>
      <c r="E48" s="152">
        <f t="shared" si="20"/>
        <v>0</v>
      </c>
      <c r="F48" s="387"/>
      <c r="G48" s="152">
        <f t="shared" si="21"/>
        <v>6.7</v>
      </c>
      <c r="H48" s="387">
        <v>6.7</v>
      </c>
      <c r="I48" s="152"/>
      <c r="J48" s="387"/>
      <c r="K48" s="152"/>
      <c r="L48" s="386"/>
      <c r="M48" s="385"/>
      <c r="N48" s="385"/>
      <c r="O48" s="416"/>
      <c r="P48" s="416">
        <f t="shared" si="1"/>
        <v>0</v>
      </c>
      <c r="Q48" s="1616"/>
      <c r="S48" s="8">
        <f t="shared" si="2"/>
        <v>0</v>
      </c>
    </row>
    <row r="49" spans="1:19" s="107" customFormat="1" ht="42" customHeight="1" x14ac:dyDescent="0.2">
      <c r="A49" s="1617"/>
      <c r="B49" s="1629"/>
      <c r="C49" s="565">
        <v>16020106</v>
      </c>
      <c r="D49" s="325" t="s">
        <v>219</v>
      </c>
      <c r="E49" s="152">
        <f t="shared" si="20"/>
        <v>28.8</v>
      </c>
      <c r="F49" s="387">
        <v>28.8</v>
      </c>
      <c r="G49" s="152">
        <f t="shared" si="21"/>
        <v>20.2</v>
      </c>
      <c r="H49" s="387">
        <v>20.2</v>
      </c>
      <c r="I49" s="152"/>
      <c r="J49" s="387"/>
      <c r="K49" s="152"/>
      <c r="L49" s="386"/>
      <c r="M49" s="385"/>
      <c r="N49" s="385"/>
      <c r="O49" s="416"/>
      <c r="P49" s="416">
        <f t="shared" si="1"/>
        <v>-28.8</v>
      </c>
      <c r="Q49" s="1616"/>
      <c r="S49" s="8">
        <f t="shared" si="2"/>
        <v>0</v>
      </c>
    </row>
    <row r="50" spans="1:19" s="107" customFormat="1" ht="30" customHeight="1" x14ac:dyDescent="0.2">
      <c r="A50" s="1617"/>
      <c r="B50" s="1629"/>
      <c r="C50" s="565">
        <v>16020110</v>
      </c>
      <c r="D50" s="325" t="s">
        <v>220</v>
      </c>
      <c r="E50" s="152">
        <f t="shared" si="20"/>
        <v>37.6</v>
      </c>
      <c r="F50" s="387">
        <v>37.6</v>
      </c>
      <c r="G50" s="152">
        <f t="shared" si="21"/>
        <v>38.799999999999997</v>
      </c>
      <c r="H50" s="387">
        <v>38.799999999999997</v>
      </c>
      <c r="I50" s="152">
        <f t="shared" si="22"/>
        <v>41.2</v>
      </c>
      <c r="J50" s="387">
        <v>41.2</v>
      </c>
      <c r="K50" s="152">
        <f t="shared" si="23"/>
        <v>41.2</v>
      </c>
      <c r="L50" s="385">
        <v>41.2</v>
      </c>
      <c r="M50" s="385"/>
      <c r="N50" s="385"/>
      <c r="O50" s="416">
        <f t="shared" si="19"/>
        <v>0</v>
      </c>
      <c r="P50" s="416">
        <f t="shared" si="1"/>
        <v>3.6000000000000014</v>
      </c>
      <c r="Q50" s="1616"/>
      <c r="S50" s="8">
        <f t="shared" si="2"/>
        <v>0</v>
      </c>
    </row>
    <row r="51" spans="1:19" s="107" customFormat="1" ht="32.25" customHeight="1" x14ac:dyDescent="0.2">
      <c r="A51" s="1617"/>
      <c r="B51" s="1629"/>
      <c r="C51" s="565">
        <v>16020111</v>
      </c>
      <c r="D51" s="325" t="s">
        <v>221</v>
      </c>
      <c r="E51" s="152">
        <f t="shared" si="20"/>
        <v>15.5</v>
      </c>
      <c r="F51" s="387">
        <v>15.5</v>
      </c>
      <c r="G51" s="152">
        <f t="shared" si="21"/>
        <v>18.5</v>
      </c>
      <c r="H51" s="387">
        <v>18.5</v>
      </c>
      <c r="I51" s="152">
        <f t="shared" si="22"/>
        <v>21.1</v>
      </c>
      <c r="J51" s="387">
        <v>21.1</v>
      </c>
      <c r="K51" s="152">
        <f t="shared" si="23"/>
        <v>21.1</v>
      </c>
      <c r="L51" s="385">
        <v>21.1</v>
      </c>
      <c r="M51" s="385"/>
      <c r="N51" s="385"/>
      <c r="O51" s="416">
        <f t="shared" si="19"/>
        <v>0</v>
      </c>
      <c r="P51" s="416">
        <f t="shared" si="1"/>
        <v>5.6000000000000014</v>
      </c>
      <c r="Q51" s="1616"/>
      <c r="S51" s="8">
        <f t="shared" si="2"/>
        <v>0</v>
      </c>
    </row>
    <row r="52" spans="1:19" s="107" customFormat="1" ht="60" x14ac:dyDescent="0.2">
      <c r="A52" s="1617"/>
      <c r="B52" s="1629"/>
      <c r="C52" s="565">
        <v>16030101</v>
      </c>
      <c r="D52" s="325" t="s">
        <v>222</v>
      </c>
      <c r="E52" s="152">
        <f t="shared" si="20"/>
        <v>208.8</v>
      </c>
      <c r="F52" s="387">
        <v>208.8</v>
      </c>
      <c r="G52" s="152">
        <f t="shared" si="21"/>
        <v>208.8</v>
      </c>
      <c r="H52" s="387">
        <v>208.8</v>
      </c>
      <c r="I52" s="152">
        <f t="shared" si="22"/>
        <v>259.39999999999998</v>
      </c>
      <c r="J52" s="387">
        <v>259.39999999999998</v>
      </c>
      <c r="K52" s="152">
        <f t="shared" si="23"/>
        <v>259.39999999999998</v>
      </c>
      <c r="L52" s="385">
        <v>259.39999999999998</v>
      </c>
      <c r="M52" s="385"/>
      <c r="N52" s="385"/>
      <c r="O52" s="416">
        <f t="shared" si="19"/>
        <v>0</v>
      </c>
      <c r="P52" s="416">
        <f t="shared" si="1"/>
        <v>50.599999999999966</v>
      </c>
      <c r="Q52" s="206" t="s">
        <v>959</v>
      </c>
      <c r="S52" s="8">
        <f t="shared" si="2"/>
        <v>0</v>
      </c>
    </row>
    <row r="53" spans="1:19" s="107" customFormat="1" ht="25.5" x14ac:dyDescent="0.2">
      <c r="A53" s="1617">
        <v>16</v>
      </c>
      <c r="B53" s="1629" t="s">
        <v>213</v>
      </c>
      <c r="C53" s="565">
        <v>16030102</v>
      </c>
      <c r="D53" s="325" t="s">
        <v>223</v>
      </c>
      <c r="E53" s="152">
        <f t="shared" si="20"/>
        <v>61.1</v>
      </c>
      <c r="F53" s="387">
        <v>61.1</v>
      </c>
      <c r="G53" s="152">
        <f t="shared" si="21"/>
        <v>61.1</v>
      </c>
      <c r="H53" s="387">
        <v>61.1</v>
      </c>
      <c r="I53" s="152">
        <f t="shared" si="22"/>
        <v>147.69999999999999</v>
      </c>
      <c r="J53" s="387">
        <v>147.69999999999999</v>
      </c>
      <c r="K53" s="152">
        <f t="shared" si="23"/>
        <v>147.69999999999999</v>
      </c>
      <c r="L53" s="385">
        <v>147.69999999999999</v>
      </c>
      <c r="M53" s="385"/>
      <c r="N53" s="385"/>
      <c r="O53" s="416">
        <f t="shared" si="19"/>
        <v>0</v>
      </c>
      <c r="P53" s="416">
        <f t="shared" si="1"/>
        <v>86.6</v>
      </c>
      <c r="Q53" s="207" t="s">
        <v>806</v>
      </c>
      <c r="S53" s="8">
        <f t="shared" si="2"/>
        <v>0</v>
      </c>
    </row>
    <row r="54" spans="1:19" s="106" customFormat="1" ht="360" x14ac:dyDescent="0.2">
      <c r="A54" s="1617"/>
      <c r="B54" s="1629"/>
      <c r="C54" s="565">
        <v>16030105</v>
      </c>
      <c r="D54" s="325" t="s">
        <v>224</v>
      </c>
      <c r="E54" s="152">
        <f t="shared" si="20"/>
        <v>154</v>
      </c>
      <c r="F54" s="385">
        <v>154</v>
      </c>
      <c r="G54" s="152">
        <f t="shared" si="21"/>
        <v>188</v>
      </c>
      <c r="H54" s="385">
        <v>188</v>
      </c>
      <c r="I54" s="152">
        <f t="shared" si="22"/>
        <v>324.10000000000002</v>
      </c>
      <c r="J54" s="385">
        <f>298.8+25.3</f>
        <v>324.10000000000002</v>
      </c>
      <c r="K54" s="152">
        <f>298.8+25.3</f>
        <v>324.10000000000002</v>
      </c>
      <c r="L54" s="385">
        <f>298.8+25.3</f>
        <v>324.10000000000002</v>
      </c>
      <c r="M54" s="385"/>
      <c r="N54" s="385"/>
      <c r="O54" s="416">
        <f t="shared" si="19"/>
        <v>0</v>
      </c>
      <c r="P54" s="416">
        <f t="shared" si="1"/>
        <v>170.10000000000002</v>
      </c>
      <c r="Q54" s="206" t="s">
        <v>960</v>
      </c>
      <c r="S54" s="8">
        <f t="shared" si="2"/>
        <v>0</v>
      </c>
    </row>
    <row r="55" spans="1:19" s="106" customFormat="1" ht="12.75" x14ac:dyDescent="0.2">
      <c r="A55" s="1617"/>
      <c r="B55" s="1629"/>
      <c r="C55" s="565">
        <v>16040109</v>
      </c>
      <c r="D55" s="325" t="s">
        <v>225</v>
      </c>
      <c r="E55" s="152">
        <f t="shared" si="20"/>
        <v>9</v>
      </c>
      <c r="F55" s="385">
        <v>9</v>
      </c>
      <c r="G55" s="152">
        <f t="shared" si="21"/>
        <v>9</v>
      </c>
      <c r="H55" s="385">
        <v>9</v>
      </c>
      <c r="I55" s="152">
        <f t="shared" si="22"/>
        <v>9</v>
      </c>
      <c r="J55" s="385">
        <v>9</v>
      </c>
      <c r="K55" s="152">
        <f>+L55</f>
        <v>9</v>
      </c>
      <c r="L55" s="385">
        <v>9</v>
      </c>
      <c r="M55" s="385"/>
      <c r="N55" s="385"/>
      <c r="O55" s="416">
        <f t="shared" si="19"/>
        <v>0</v>
      </c>
      <c r="P55" s="416">
        <f t="shared" si="1"/>
        <v>0</v>
      </c>
      <c r="Q55" s="206"/>
      <c r="S55" s="8">
        <f t="shared" si="2"/>
        <v>0</v>
      </c>
    </row>
    <row r="56" spans="1:19" s="75" customFormat="1" ht="77.25" customHeight="1" x14ac:dyDescent="0.2">
      <c r="A56" s="1617"/>
      <c r="B56" s="1629"/>
      <c r="C56" s="105">
        <v>16040112</v>
      </c>
      <c r="D56" s="400" t="s">
        <v>961</v>
      </c>
      <c r="E56" s="388">
        <v>34870.800000000003</v>
      </c>
      <c r="F56" s="389">
        <v>33563.599999999999</v>
      </c>
      <c r="G56" s="152">
        <v>29262.3</v>
      </c>
      <c r="H56" s="302">
        <v>27955.1</v>
      </c>
      <c r="I56" s="152">
        <f>28720-9749.2</f>
        <v>18970.8</v>
      </c>
      <c r="J56" s="302">
        <f>28720-9749.2</f>
        <v>18970.8</v>
      </c>
      <c r="K56" s="152">
        <v>18970.8</v>
      </c>
      <c r="L56" s="302">
        <v>18970.8</v>
      </c>
      <c r="M56" s="374"/>
      <c r="N56" s="374"/>
      <c r="O56" s="416">
        <f>+K56-I56</f>
        <v>0</v>
      </c>
      <c r="P56" s="416">
        <f t="shared" si="1"/>
        <v>-15900.000000000004</v>
      </c>
      <c r="Q56" s="1624" t="s">
        <v>948</v>
      </c>
      <c r="S56" s="8">
        <f t="shared" si="2"/>
        <v>0</v>
      </c>
    </row>
    <row r="57" spans="1:19" s="75" customFormat="1" ht="77.25" customHeight="1" x14ac:dyDescent="0.2">
      <c r="A57" s="1617"/>
      <c r="B57" s="1629"/>
      <c r="C57" s="105"/>
      <c r="D57" s="400" t="s">
        <v>962</v>
      </c>
      <c r="E57" s="388">
        <v>34180.800000000003</v>
      </c>
      <c r="F57" s="389">
        <v>32873.599999999999</v>
      </c>
      <c r="G57" s="152">
        <v>27922.3</v>
      </c>
      <c r="H57" s="287">
        <v>26615.1</v>
      </c>
      <c r="I57" s="152">
        <f>27933.5-9600</f>
        <v>18333.5</v>
      </c>
      <c r="J57" s="302">
        <f>27933.5-9600</f>
        <v>18333.5</v>
      </c>
      <c r="K57" s="152">
        <v>18333.5</v>
      </c>
      <c r="L57" s="302">
        <v>18333.5</v>
      </c>
      <c r="M57" s="269"/>
      <c r="N57" s="269"/>
      <c r="O57" s="416">
        <f t="shared" si="19"/>
        <v>0</v>
      </c>
      <c r="P57" s="416">
        <f t="shared" si="1"/>
        <v>-15847.300000000003</v>
      </c>
      <c r="Q57" s="1624"/>
      <c r="S57" s="8">
        <f t="shared" si="2"/>
        <v>0</v>
      </c>
    </row>
    <row r="58" spans="1:19" s="75" customFormat="1" ht="12.75" x14ac:dyDescent="0.2">
      <c r="A58" s="1617"/>
      <c r="B58" s="1629"/>
      <c r="C58" s="1625" t="s">
        <v>557</v>
      </c>
      <c r="D58" s="1625"/>
      <c r="E58" s="388">
        <f>29921.2+1307.2</f>
        <v>31228.400000000001</v>
      </c>
      <c r="F58" s="389">
        <v>29921.200000000001</v>
      </c>
      <c r="G58" s="152">
        <f>24225.7+1307.2</f>
        <v>25532.9</v>
      </c>
      <c r="H58" s="302">
        <v>24225.7</v>
      </c>
      <c r="I58" s="152"/>
      <c r="J58" s="302"/>
      <c r="K58" s="152"/>
      <c r="L58" s="302"/>
      <c r="M58" s="374"/>
      <c r="N58" s="374"/>
      <c r="O58" s="416">
        <f t="shared" si="19"/>
        <v>0</v>
      </c>
      <c r="P58" s="416">
        <f t="shared" si="1"/>
        <v>-31228.400000000001</v>
      </c>
      <c r="Q58" s="208"/>
      <c r="S58" s="8">
        <f t="shared" si="2"/>
        <v>0</v>
      </c>
    </row>
    <row r="59" spans="1:19" s="75" customFormat="1" ht="84" x14ac:dyDescent="0.2">
      <c r="A59" s="1617">
        <v>16</v>
      </c>
      <c r="B59" s="1629" t="s">
        <v>213</v>
      </c>
      <c r="C59" s="105">
        <v>16050101</v>
      </c>
      <c r="D59" s="400" t="s">
        <v>963</v>
      </c>
      <c r="E59" s="388">
        <v>20615</v>
      </c>
      <c r="F59" s="389">
        <v>20615</v>
      </c>
      <c r="G59" s="152">
        <v>11868.1</v>
      </c>
      <c r="H59" s="302">
        <v>11868.1</v>
      </c>
      <c r="I59" s="152">
        <v>7746.1</v>
      </c>
      <c r="J59" s="302">
        <v>7746.1</v>
      </c>
      <c r="K59" s="152">
        <v>7746.1</v>
      </c>
      <c r="L59" s="302">
        <v>7746.1</v>
      </c>
      <c r="M59" s="374"/>
      <c r="N59" s="374"/>
      <c r="O59" s="416">
        <f t="shared" si="19"/>
        <v>0</v>
      </c>
      <c r="P59" s="416">
        <f t="shared" si="1"/>
        <v>-12868.9</v>
      </c>
      <c r="Q59" s="202" t="s">
        <v>558</v>
      </c>
      <c r="S59" s="8">
        <f t="shared" si="2"/>
        <v>0</v>
      </c>
    </row>
    <row r="60" spans="1:19" s="75" customFormat="1" ht="156" x14ac:dyDescent="0.2">
      <c r="A60" s="1617"/>
      <c r="B60" s="1629"/>
      <c r="C60" s="562">
        <v>16060102</v>
      </c>
      <c r="D60" s="396" t="s">
        <v>561</v>
      </c>
      <c r="E60" s="146">
        <v>320</v>
      </c>
      <c r="F60" s="269">
        <v>320</v>
      </c>
      <c r="G60" s="146">
        <v>320</v>
      </c>
      <c r="H60" s="272">
        <v>320</v>
      </c>
      <c r="I60" s="146">
        <v>320</v>
      </c>
      <c r="J60" s="272">
        <v>320</v>
      </c>
      <c r="K60" s="146">
        <v>320</v>
      </c>
      <c r="L60" s="269">
        <v>320</v>
      </c>
      <c r="M60" s="269">
        <v>320</v>
      </c>
      <c r="N60" s="269"/>
      <c r="O60" s="416">
        <f t="shared" si="19"/>
        <v>0</v>
      </c>
      <c r="P60" s="416">
        <f t="shared" si="1"/>
        <v>0</v>
      </c>
      <c r="Q60" s="202" t="s">
        <v>777</v>
      </c>
      <c r="S60" s="8">
        <f t="shared" si="2"/>
        <v>0</v>
      </c>
    </row>
    <row r="61" spans="1:19" s="107" customFormat="1" ht="14.45" customHeight="1" x14ac:dyDescent="0.2">
      <c r="A61" s="1556" t="s">
        <v>193</v>
      </c>
      <c r="B61" s="1556"/>
      <c r="C61" s="1556"/>
      <c r="D61" s="1556"/>
      <c r="E61" s="288">
        <f>+SUM(E38:E56)+E59+E60</f>
        <v>76169.899999999994</v>
      </c>
      <c r="F61" s="288">
        <f t="shared" ref="F61:O61" si="24">+SUM(F38:F56)+F59+F60</f>
        <v>74862.7</v>
      </c>
      <c r="G61" s="288">
        <f t="shared" si="24"/>
        <v>62967.4</v>
      </c>
      <c r="H61" s="288">
        <f t="shared" si="24"/>
        <v>61660.2</v>
      </c>
      <c r="I61" s="288">
        <f t="shared" si="24"/>
        <v>51550.9</v>
      </c>
      <c r="J61" s="288">
        <f t="shared" si="24"/>
        <v>51550.9</v>
      </c>
      <c r="K61" s="288">
        <f t="shared" si="24"/>
        <v>51550.9</v>
      </c>
      <c r="L61" s="288">
        <f t="shared" si="24"/>
        <v>51550.9</v>
      </c>
      <c r="M61" s="288">
        <f t="shared" si="24"/>
        <v>320</v>
      </c>
      <c r="N61" s="288">
        <f t="shared" si="24"/>
        <v>0</v>
      </c>
      <c r="O61" s="288">
        <f t="shared" si="24"/>
        <v>0</v>
      </c>
      <c r="P61" s="271">
        <f t="shared" si="1"/>
        <v>-24618.999999999993</v>
      </c>
      <c r="Q61" s="108"/>
      <c r="S61" s="8">
        <f t="shared" si="2"/>
        <v>0</v>
      </c>
    </row>
    <row r="62" spans="1:19" s="109" customFormat="1" ht="14.45" customHeight="1" x14ac:dyDescent="0.2">
      <c r="A62" s="1551" t="s">
        <v>185</v>
      </c>
      <c r="B62" s="1551"/>
      <c r="C62" s="1551"/>
      <c r="D62" s="1551"/>
      <c r="E62" s="391">
        <f>E58</f>
        <v>31228.400000000001</v>
      </c>
      <c r="F62" s="391">
        <f t="shared" ref="F62:L62" si="25">F58</f>
        <v>29921.200000000001</v>
      </c>
      <c r="G62" s="391">
        <f t="shared" si="25"/>
        <v>25532.9</v>
      </c>
      <c r="H62" s="391">
        <f t="shared" si="25"/>
        <v>24225.7</v>
      </c>
      <c r="I62" s="391">
        <f t="shared" si="25"/>
        <v>0</v>
      </c>
      <c r="J62" s="391">
        <f t="shared" si="25"/>
        <v>0</v>
      </c>
      <c r="K62" s="391">
        <f t="shared" si="25"/>
        <v>0</v>
      </c>
      <c r="L62" s="391">
        <f t="shared" si="25"/>
        <v>0</v>
      </c>
      <c r="M62" s="391"/>
      <c r="N62" s="391"/>
      <c r="O62" s="271">
        <f t="shared" si="19"/>
        <v>0</v>
      </c>
      <c r="P62" s="271">
        <f t="shared" si="1"/>
        <v>-31228.400000000001</v>
      </c>
      <c r="Q62" s="164">
        <f>+Q44</f>
        <v>0</v>
      </c>
      <c r="S62" s="8">
        <f t="shared" si="2"/>
        <v>0</v>
      </c>
    </row>
    <row r="63" spans="1:19" s="109" customFormat="1" ht="25.5" x14ac:dyDescent="0.2">
      <c r="A63" s="1630">
        <v>17</v>
      </c>
      <c r="B63" s="1629" t="s">
        <v>226</v>
      </c>
      <c r="C63" s="565">
        <v>17010101</v>
      </c>
      <c r="D63" s="326" t="s">
        <v>227</v>
      </c>
      <c r="E63" s="152">
        <v>2.9</v>
      </c>
      <c r="F63" s="385">
        <v>2.9</v>
      </c>
      <c r="G63" s="152">
        <v>2.9</v>
      </c>
      <c r="H63" s="385">
        <v>2.9</v>
      </c>
      <c r="I63" s="152">
        <v>5</v>
      </c>
      <c r="J63" s="385">
        <v>5</v>
      </c>
      <c r="K63" s="152">
        <v>2.9</v>
      </c>
      <c r="L63" s="385">
        <v>2.9</v>
      </c>
      <c r="M63" s="390"/>
      <c r="N63" s="390"/>
      <c r="O63" s="416">
        <f>+K63-I63</f>
        <v>-2.1</v>
      </c>
      <c r="P63" s="416">
        <f t="shared" si="1"/>
        <v>0</v>
      </c>
      <c r="Q63" s="247"/>
      <c r="S63" s="8">
        <f t="shared" si="2"/>
        <v>0</v>
      </c>
    </row>
    <row r="64" spans="1:19" s="109" customFormat="1" ht="25.5" x14ac:dyDescent="0.2">
      <c r="A64" s="1630"/>
      <c r="B64" s="1629"/>
      <c r="C64" s="565">
        <v>17010102</v>
      </c>
      <c r="D64" s="326" t="s">
        <v>228</v>
      </c>
      <c r="E64" s="152">
        <f>2.2+16.3</f>
        <v>18.5</v>
      </c>
      <c r="F64" s="385">
        <v>16.3</v>
      </c>
      <c r="G64" s="152">
        <v>18.5</v>
      </c>
      <c r="H64" s="385">
        <v>16.3</v>
      </c>
      <c r="I64" s="152">
        <v>50</v>
      </c>
      <c r="J64" s="385">
        <v>50</v>
      </c>
      <c r="K64" s="152">
        <f>19.1+0.9</f>
        <v>20</v>
      </c>
      <c r="L64" s="385">
        <v>19.100000000000001</v>
      </c>
      <c r="M64" s="390"/>
      <c r="N64" s="390"/>
      <c r="O64" s="416">
        <f t="shared" ref="O64:O104" si="26">+K64-I64</f>
        <v>-30</v>
      </c>
      <c r="P64" s="416">
        <f t="shared" si="1"/>
        <v>1.5</v>
      </c>
      <c r="Q64" s="247"/>
      <c r="S64" s="8">
        <f t="shared" si="2"/>
        <v>0</v>
      </c>
    </row>
    <row r="65" spans="1:19" s="109" customFormat="1" ht="25.5" x14ac:dyDescent="0.2">
      <c r="A65" s="1630"/>
      <c r="B65" s="1629"/>
      <c r="C65" s="565">
        <v>17010201</v>
      </c>
      <c r="D65" s="326" t="s">
        <v>229</v>
      </c>
      <c r="E65" s="152">
        <v>2.9</v>
      </c>
      <c r="F65" s="385">
        <v>2.9</v>
      </c>
      <c r="G65" s="152">
        <v>2.9</v>
      </c>
      <c r="H65" s="385">
        <v>2.9</v>
      </c>
      <c r="I65" s="152">
        <v>4</v>
      </c>
      <c r="J65" s="385">
        <v>4</v>
      </c>
      <c r="K65" s="152">
        <v>2.9</v>
      </c>
      <c r="L65" s="385">
        <v>2.9</v>
      </c>
      <c r="M65" s="390"/>
      <c r="N65" s="390"/>
      <c r="O65" s="416">
        <f t="shared" si="26"/>
        <v>-1.1000000000000001</v>
      </c>
      <c r="P65" s="416">
        <f t="shared" si="1"/>
        <v>0</v>
      </c>
      <c r="Q65" s="247"/>
      <c r="S65" s="8">
        <f t="shared" si="2"/>
        <v>0</v>
      </c>
    </row>
    <row r="66" spans="1:19" s="109" customFormat="1" ht="25.5" x14ac:dyDescent="0.2">
      <c r="A66" s="1630"/>
      <c r="B66" s="1629"/>
      <c r="C66" s="565">
        <v>17010202</v>
      </c>
      <c r="D66" s="326" t="s">
        <v>230</v>
      </c>
      <c r="E66" s="152">
        <f>4.7+9.6</f>
        <v>14.3</v>
      </c>
      <c r="F66" s="385">
        <v>9.6</v>
      </c>
      <c r="G66" s="152">
        <f>4.7+9.6</f>
        <v>14.3</v>
      </c>
      <c r="H66" s="385">
        <v>9.6</v>
      </c>
      <c r="I66" s="152">
        <v>16</v>
      </c>
      <c r="J66" s="385">
        <v>16</v>
      </c>
      <c r="K66" s="152">
        <f>11.6+0.3</f>
        <v>11.9</v>
      </c>
      <c r="L66" s="385">
        <v>11.6</v>
      </c>
      <c r="M66" s="390"/>
      <c r="N66" s="390"/>
      <c r="O66" s="416">
        <f t="shared" si="26"/>
        <v>-4.0999999999999996</v>
      </c>
      <c r="P66" s="416">
        <f t="shared" si="1"/>
        <v>-2.4000000000000004</v>
      </c>
      <c r="Q66" s="247"/>
      <c r="S66" s="8">
        <f t="shared" si="2"/>
        <v>0</v>
      </c>
    </row>
    <row r="67" spans="1:19" s="109" customFormat="1" ht="25.5" x14ac:dyDescent="0.2">
      <c r="A67" s="1630"/>
      <c r="B67" s="1629"/>
      <c r="C67" s="565">
        <v>17010301</v>
      </c>
      <c r="D67" s="326" t="s">
        <v>231</v>
      </c>
      <c r="E67" s="152">
        <v>2.9</v>
      </c>
      <c r="F67" s="385">
        <v>2.9</v>
      </c>
      <c r="G67" s="152">
        <v>2.9</v>
      </c>
      <c r="H67" s="385">
        <v>2.9</v>
      </c>
      <c r="I67" s="152">
        <v>7.9</v>
      </c>
      <c r="J67" s="385">
        <v>7.9</v>
      </c>
      <c r="K67" s="152">
        <v>2.9</v>
      </c>
      <c r="L67" s="385">
        <v>2.9</v>
      </c>
      <c r="M67" s="390"/>
      <c r="N67" s="390"/>
      <c r="O67" s="416">
        <f t="shared" si="26"/>
        <v>-5</v>
      </c>
      <c r="P67" s="416">
        <f t="shared" si="1"/>
        <v>0</v>
      </c>
      <c r="Q67" s="247"/>
      <c r="S67" s="8">
        <f t="shared" si="2"/>
        <v>0</v>
      </c>
    </row>
    <row r="68" spans="1:19" s="109" customFormat="1" ht="25.5" x14ac:dyDescent="0.2">
      <c r="A68" s="1630"/>
      <c r="B68" s="1629"/>
      <c r="C68" s="565">
        <v>17010302</v>
      </c>
      <c r="D68" s="326" t="s">
        <v>232</v>
      </c>
      <c r="E68" s="152">
        <v>7</v>
      </c>
      <c r="F68" s="385">
        <v>7</v>
      </c>
      <c r="G68" s="152">
        <v>7</v>
      </c>
      <c r="H68" s="385">
        <v>7</v>
      </c>
      <c r="I68" s="152">
        <v>32.299999999999997</v>
      </c>
      <c r="J68" s="385">
        <v>32.299999999999997</v>
      </c>
      <c r="K68" s="152">
        <v>8.4</v>
      </c>
      <c r="L68" s="385">
        <v>8.4</v>
      </c>
      <c r="M68" s="390"/>
      <c r="N68" s="390"/>
      <c r="O68" s="416">
        <f t="shared" si="26"/>
        <v>-23.9</v>
      </c>
      <c r="P68" s="416">
        <f t="shared" si="1"/>
        <v>1.4000000000000004</v>
      </c>
      <c r="Q68" s="247"/>
      <c r="S68" s="8">
        <f t="shared" si="2"/>
        <v>0</v>
      </c>
    </row>
    <row r="69" spans="1:19" s="109" customFormat="1" ht="25.5" x14ac:dyDescent="0.2">
      <c r="A69" s="1630"/>
      <c r="B69" s="1629"/>
      <c r="C69" s="565">
        <v>17010401</v>
      </c>
      <c r="D69" s="326" t="s">
        <v>233</v>
      </c>
      <c r="E69" s="152">
        <v>2.9</v>
      </c>
      <c r="F69" s="385">
        <v>2.9</v>
      </c>
      <c r="G69" s="152">
        <v>2.9</v>
      </c>
      <c r="H69" s="385">
        <v>2.9</v>
      </c>
      <c r="I69" s="152">
        <v>4</v>
      </c>
      <c r="J69" s="385">
        <v>4</v>
      </c>
      <c r="K69" s="152">
        <v>2.9</v>
      </c>
      <c r="L69" s="385">
        <v>2.9</v>
      </c>
      <c r="M69" s="390"/>
      <c r="N69" s="390"/>
      <c r="O69" s="416">
        <f t="shared" si="26"/>
        <v>-1.1000000000000001</v>
      </c>
      <c r="P69" s="416">
        <f t="shared" si="1"/>
        <v>0</v>
      </c>
      <c r="Q69" s="247"/>
      <c r="S69" s="8">
        <f t="shared" si="2"/>
        <v>0</v>
      </c>
    </row>
    <row r="70" spans="1:19" s="109" customFormat="1" ht="25.5" x14ac:dyDescent="0.2">
      <c r="A70" s="1630"/>
      <c r="B70" s="1629"/>
      <c r="C70" s="565">
        <v>17010402</v>
      </c>
      <c r="D70" s="326" t="s">
        <v>234</v>
      </c>
      <c r="E70" s="152">
        <v>8.1999999999999993</v>
      </c>
      <c r="F70" s="385">
        <v>8.1999999999999993</v>
      </c>
      <c r="G70" s="152">
        <v>8.1999999999999993</v>
      </c>
      <c r="H70" s="385">
        <v>8.1999999999999993</v>
      </c>
      <c r="I70" s="152">
        <v>8.9</v>
      </c>
      <c r="J70" s="385">
        <v>8.9</v>
      </c>
      <c r="K70" s="152">
        <v>10</v>
      </c>
      <c r="L70" s="385">
        <v>10</v>
      </c>
      <c r="M70" s="390"/>
      <c r="N70" s="390"/>
      <c r="O70" s="416">
        <f t="shared" si="26"/>
        <v>1.0999999999999996</v>
      </c>
      <c r="P70" s="416">
        <f t="shared" si="1"/>
        <v>1.8000000000000007</v>
      </c>
      <c r="Q70" s="247"/>
      <c r="S70" s="8">
        <f t="shared" si="2"/>
        <v>0</v>
      </c>
    </row>
    <row r="71" spans="1:19" s="109" customFormat="1" ht="25.5" x14ac:dyDescent="0.2">
      <c r="A71" s="1630"/>
      <c r="B71" s="1629"/>
      <c r="C71" s="565">
        <v>17010501</v>
      </c>
      <c r="D71" s="326" t="s">
        <v>235</v>
      </c>
      <c r="E71" s="152">
        <v>2.9</v>
      </c>
      <c r="F71" s="385">
        <v>2.9</v>
      </c>
      <c r="G71" s="152">
        <v>2.9</v>
      </c>
      <c r="H71" s="385">
        <v>2.9</v>
      </c>
      <c r="I71" s="152">
        <v>6</v>
      </c>
      <c r="J71" s="385">
        <v>6</v>
      </c>
      <c r="K71" s="152">
        <v>2.9</v>
      </c>
      <c r="L71" s="385">
        <v>2.9</v>
      </c>
      <c r="M71" s="390"/>
      <c r="N71" s="390"/>
      <c r="O71" s="416">
        <f t="shared" si="26"/>
        <v>-3.1</v>
      </c>
      <c r="P71" s="416">
        <f t="shared" si="1"/>
        <v>0</v>
      </c>
      <c r="Q71" s="247"/>
      <c r="S71" s="8">
        <f t="shared" si="2"/>
        <v>0</v>
      </c>
    </row>
    <row r="72" spans="1:19" s="109" customFormat="1" ht="25.5" x14ac:dyDescent="0.2">
      <c r="A72" s="1630"/>
      <c r="B72" s="1629"/>
      <c r="C72" s="565">
        <v>17010502</v>
      </c>
      <c r="D72" s="326" t="s">
        <v>236</v>
      </c>
      <c r="E72" s="152">
        <f>5.7+8.4</f>
        <v>14.100000000000001</v>
      </c>
      <c r="F72" s="385">
        <v>8.4</v>
      </c>
      <c r="G72" s="152">
        <f>5.7+8.4</f>
        <v>14.100000000000001</v>
      </c>
      <c r="H72" s="385">
        <v>8.4</v>
      </c>
      <c r="I72" s="152">
        <v>50</v>
      </c>
      <c r="J72" s="385">
        <v>50</v>
      </c>
      <c r="K72" s="152">
        <v>10.199999999999999</v>
      </c>
      <c r="L72" s="385">
        <v>10.199999999999999</v>
      </c>
      <c r="M72" s="390"/>
      <c r="N72" s="390"/>
      <c r="O72" s="416">
        <f t="shared" si="26"/>
        <v>-39.799999999999997</v>
      </c>
      <c r="P72" s="416">
        <f t="shared" si="1"/>
        <v>-3.9000000000000021</v>
      </c>
      <c r="Q72" s="247"/>
      <c r="S72" s="8">
        <f t="shared" si="2"/>
        <v>0</v>
      </c>
    </row>
    <row r="73" spans="1:19" s="109" customFormat="1" ht="25.5" x14ac:dyDescent="0.2">
      <c r="A73" s="1630"/>
      <c r="B73" s="1629"/>
      <c r="C73" s="565">
        <v>17010601</v>
      </c>
      <c r="D73" s="326" t="s">
        <v>237</v>
      </c>
      <c r="E73" s="152">
        <v>2.9</v>
      </c>
      <c r="F73" s="385">
        <v>2.9</v>
      </c>
      <c r="G73" s="152">
        <v>2.9</v>
      </c>
      <c r="H73" s="385">
        <v>2.9</v>
      </c>
      <c r="I73" s="152">
        <v>6</v>
      </c>
      <c r="J73" s="385">
        <v>6</v>
      </c>
      <c r="K73" s="152">
        <v>2.9</v>
      </c>
      <c r="L73" s="385">
        <v>2.9</v>
      </c>
      <c r="M73" s="390"/>
      <c r="N73" s="390"/>
      <c r="O73" s="416">
        <f t="shared" si="26"/>
        <v>-3.1</v>
      </c>
      <c r="P73" s="416">
        <f t="shared" ref="P73:P112" si="27">+K73-E73</f>
        <v>0</v>
      </c>
      <c r="Q73" s="247"/>
      <c r="S73" s="8">
        <f t="shared" ref="S73:S116" si="28">+K73-I73-O73</f>
        <v>0</v>
      </c>
    </row>
    <row r="74" spans="1:19" s="109" customFormat="1" ht="25.5" x14ac:dyDescent="0.2">
      <c r="A74" s="1630"/>
      <c r="B74" s="1629"/>
      <c r="C74" s="565">
        <v>17010602</v>
      </c>
      <c r="D74" s="326" t="s">
        <v>238</v>
      </c>
      <c r="E74" s="152">
        <v>9.9</v>
      </c>
      <c r="F74" s="385">
        <v>9.9</v>
      </c>
      <c r="G74" s="152">
        <v>9.9</v>
      </c>
      <c r="H74" s="385">
        <v>9.9</v>
      </c>
      <c r="I74" s="152">
        <v>19</v>
      </c>
      <c r="J74" s="385">
        <v>19</v>
      </c>
      <c r="K74" s="152">
        <v>11.8</v>
      </c>
      <c r="L74" s="385">
        <v>11.8</v>
      </c>
      <c r="M74" s="390"/>
      <c r="N74" s="390"/>
      <c r="O74" s="416">
        <f t="shared" si="26"/>
        <v>-7.1999999999999993</v>
      </c>
      <c r="P74" s="416">
        <f t="shared" si="27"/>
        <v>1.9000000000000004</v>
      </c>
      <c r="Q74" s="247"/>
      <c r="S74" s="8">
        <f t="shared" si="28"/>
        <v>0</v>
      </c>
    </row>
    <row r="75" spans="1:19" s="109" customFormat="1" ht="25.5" x14ac:dyDescent="0.2">
      <c r="A75" s="1630"/>
      <c r="B75" s="1629"/>
      <c r="C75" s="565">
        <v>17010701</v>
      </c>
      <c r="D75" s="326" t="s">
        <v>239</v>
      </c>
      <c r="E75" s="152">
        <v>2.9</v>
      </c>
      <c r="F75" s="385">
        <v>2.9</v>
      </c>
      <c r="G75" s="152">
        <v>2.9</v>
      </c>
      <c r="H75" s="385">
        <v>2.9</v>
      </c>
      <c r="I75" s="152">
        <v>5</v>
      </c>
      <c r="J75" s="385">
        <v>5</v>
      </c>
      <c r="K75" s="152">
        <v>2.9</v>
      </c>
      <c r="L75" s="385">
        <v>2.9</v>
      </c>
      <c r="M75" s="390"/>
      <c r="N75" s="390"/>
      <c r="O75" s="416">
        <f t="shared" si="26"/>
        <v>-2.1</v>
      </c>
      <c r="P75" s="416">
        <f t="shared" si="27"/>
        <v>0</v>
      </c>
      <c r="Q75" s="247"/>
      <c r="S75" s="8">
        <f t="shared" si="28"/>
        <v>0</v>
      </c>
    </row>
    <row r="76" spans="1:19" s="109" customFormat="1" ht="25.5" x14ac:dyDescent="0.2">
      <c r="A76" s="1630"/>
      <c r="B76" s="1629"/>
      <c r="C76" s="565">
        <v>17010702</v>
      </c>
      <c r="D76" s="326" t="s">
        <v>240</v>
      </c>
      <c r="E76" s="152">
        <f>13+7.8</f>
        <v>20.8</v>
      </c>
      <c r="F76" s="385">
        <v>7.8</v>
      </c>
      <c r="G76" s="152">
        <f>13+7.8</f>
        <v>20.8</v>
      </c>
      <c r="H76" s="389">
        <v>7.8</v>
      </c>
      <c r="I76" s="152">
        <v>60</v>
      </c>
      <c r="J76" s="389">
        <v>60</v>
      </c>
      <c r="K76" s="152">
        <f>9.5+16.3</f>
        <v>25.8</v>
      </c>
      <c r="L76" s="385">
        <v>9.5</v>
      </c>
      <c r="M76" s="390"/>
      <c r="N76" s="390"/>
      <c r="O76" s="416">
        <f t="shared" si="26"/>
        <v>-34.200000000000003</v>
      </c>
      <c r="P76" s="416">
        <f t="shared" si="27"/>
        <v>5</v>
      </c>
      <c r="Q76" s="247"/>
      <c r="S76" s="8">
        <f t="shared" si="28"/>
        <v>0</v>
      </c>
    </row>
    <row r="77" spans="1:19" s="109" customFormat="1" ht="25.5" x14ac:dyDescent="0.2">
      <c r="A77" s="1630">
        <v>17</v>
      </c>
      <c r="B77" s="1629" t="s">
        <v>226</v>
      </c>
      <c r="C77" s="565">
        <v>17010801</v>
      </c>
      <c r="D77" s="326" t="s">
        <v>241</v>
      </c>
      <c r="E77" s="152">
        <v>2.9</v>
      </c>
      <c r="F77" s="302">
        <v>2.9</v>
      </c>
      <c r="G77" s="152">
        <v>2.9</v>
      </c>
      <c r="H77" s="302">
        <v>2.9</v>
      </c>
      <c r="I77" s="152">
        <v>8</v>
      </c>
      <c r="J77" s="302">
        <v>8</v>
      </c>
      <c r="K77" s="152">
        <v>2.9</v>
      </c>
      <c r="L77" s="385">
        <v>2.9</v>
      </c>
      <c r="M77" s="390"/>
      <c r="N77" s="390"/>
      <c r="O77" s="416">
        <f t="shared" si="26"/>
        <v>-5.0999999999999996</v>
      </c>
      <c r="P77" s="416">
        <f t="shared" si="27"/>
        <v>0</v>
      </c>
      <c r="Q77" s="247"/>
      <c r="S77" s="8">
        <f t="shared" si="28"/>
        <v>0</v>
      </c>
    </row>
    <row r="78" spans="1:19" s="109" customFormat="1" ht="25.5" x14ac:dyDescent="0.2">
      <c r="A78" s="1630"/>
      <c r="B78" s="1629"/>
      <c r="C78" s="565">
        <v>17010802</v>
      </c>
      <c r="D78" s="326" t="s">
        <v>242</v>
      </c>
      <c r="E78" s="152">
        <f>25.6+11.8</f>
        <v>37.400000000000006</v>
      </c>
      <c r="F78" s="302">
        <v>11.8</v>
      </c>
      <c r="G78" s="152">
        <f>25.6+11.8</f>
        <v>37.400000000000006</v>
      </c>
      <c r="H78" s="302">
        <v>11.8</v>
      </c>
      <c r="I78" s="152">
        <v>107</v>
      </c>
      <c r="J78" s="302">
        <v>107</v>
      </c>
      <c r="K78" s="152">
        <v>14.1</v>
      </c>
      <c r="L78" s="385">
        <v>14.1</v>
      </c>
      <c r="M78" s="390"/>
      <c r="N78" s="390"/>
      <c r="O78" s="416">
        <f t="shared" si="26"/>
        <v>-92.9</v>
      </c>
      <c r="P78" s="416">
        <f t="shared" si="27"/>
        <v>-23.300000000000004</v>
      </c>
      <c r="Q78" s="247"/>
      <c r="S78" s="8">
        <f t="shared" si="28"/>
        <v>0</v>
      </c>
    </row>
    <row r="79" spans="1:19" s="109" customFormat="1" ht="25.5" x14ac:dyDescent="0.2">
      <c r="A79" s="1630"/>
      <c r="B79" s="1629"/>
      <c r="C79" s="565">
        <v>17010901</v>
      </c>
      <c r="D79" s="326" t="s">
        <v>243</v>
      </c>
      <c r="E79" s="152">
        <v>2.9</v>
      </c>
      <c r="F79" s="302">
        <v>2.9</v>
      </c>
      <c r="G79" s="152">
        <v>2.9</v>
      </c>
      <c r="H79" s="302">
        <v>2.9</v>
      </c>
      <c r="I79" s="152">
        <v>2.9</v>
      </c>
      <c r="J79" s="302">
        <v>2.9</v>
      </c>
      <c r="K79" s="152">
        <v>2.9</v>
      </c>
      <c r="L79" s="385">
        <v>2.9</v>
      </c>
      <c r="M79" s="390"/>
      <c r="N79" s="390"/>
      <c r="O79" s="416">
        <f t="shared" si="26"/>
        <v>0</v>
      </c>
      <c r="P79" s="416">
        <f t="shared" si="27"/>
        <v>0</v>
      </c>
      <c r="Q79" s="247"/>
      <c r="S79" s="8">
        <f t="shared" si="28"/>
        <v>0</v>
      </c>
    </row>
    <row r="80" spans="1:19" s="109" customFormat="1" ht="25.5" x14ac:dyDescent="0.2">
      <c r="A80" s="1630"/>
      <c r="B80" s="1629"/>
      <c r="C80" s="565">
        <v>17010902</v>
      </c>
      <c r="D80" s="326" t="s">
        <v>244</v>
      </c>
      <c r="E80" s="152">
        <v>12.4</v>
      </c>
      <c r="F80" s="302">
        <v>12.4</v>
      </c>
      <c r="G80" s="152">
        <v>12.4</v>
      </c>
      <c r="H80" s="302">
        <v>12.4</v>
      </c>
      <c r="I80" s="152">
        <v>12.4</v>
      </c>
      <c r="J80" s="302">
        <v>12.4</v>
      </c>
      <c r="K80" s="152">
        <v>14.8</v>
      </c>
      <c r="L80" s="385">
        <v>14.8</v>
      </c>
      <c r="M80" s="390"/>
      <c r="N80" s="390"/>
      <c r="O80" s="416">
        <f t="shared" si="26"/>
        <v>2.4000000000000004</v>
      </c>
      <c r="P80" s="416">
        <f t="shared" si="27"/>
        <v>2.4000000000000004</v>
      </c>
      <c r="Q80" s="247"/>
      <c r="S80" s="8">
        <f t="shared" si="28"/>
        <v>0</v>
      </c>
    </row>
    <row r="81" spans="1:19" s="109" customFormat="1" ht="25.5" x14ac:dyDescent="0.2">
      <c r="A81" s="1630"/>
      <c r="B81" s="1629"/>
      <c r="C81" s="565">
        <v>17011001</v>
      </c>
      <c r="D81" s="326" t="s">
        <v>245</v>
      </c>
      <c r="E81" s="152">
        <v>2.9</v>
      </c>
      <c r="F81" s="302">
        <v>2.9</v>
      </c>
      <c r="G81" s="152">
        <v>2.9</v>
      </c>
      <c r="H81" s="302">
        <v>2.9</v>
      </c>
      <c r="I81" s="152">
        <v>10</v>
      </c>
      <c r="J81" s="302">
        <v>10</v>
      </c>
      <c r="K81" s="152">
        <v>2.9</v>
      </c>
      <c r="L81" s="385">
        <v>2.9</v>
      </c>
      <c r="M81" s="390"/>
      <c r="N81" s="390"/>
      <c r="O81" s="416">
        <f t="shared" si="26"/>
        <v>-7.1</v>
      </c>
      <c r="P81" s="416">
        <f t="shared" si="27"/>
        <v>0</v>
      </c>
      <c r="Q81" s="247"/>
      <c r="S81" s="8">
        <f t="shared" si="28"/>
        <v>0</v>
      </c>
    </row>
    <row r="82" spans="1:19" s="109" customFormat="1" ht="25.5" x14ac:dyDescent="0.2">
      <c r="A82" s="1630"/>
      <c r="B82" s="1629"/>
      <c r="C82" s="565">
        <v>17011002</v>
      </c>
      <c r="D82" s="326" t="s">
        <v>246</v>
      </c>
      <c r="E82" s="152">
        <f>4.2+11.7</f>
        <v>15.899999999999999</v>
      </c>
      <c r="F82" s="302">
        <v>11.7</v>
      </c>
      <c r="G82" s="152">
        <f>4.2+11.7</f>
        <v>15.899999999999999</v>
      </c>
      <c r="H82" s="302">
        <v>11.7</v>
      </c>
      <c r="I82" s="152">
        <v>100</v>
      </c>
      <c r="J82" s="302">
        <v>100</v>
      </c>
      <c r="K82" s="152">
        <f>2.6+14</f>
        <v>16.600000000000001</v>
      </c>
      <c r="L82" s="385">
        <f>14</f>
        <v>14</v>
      </c>
      <c r="M82" s="390"/>
      <c r="N82" s="390"/>
      <c r="O82" s="416">
        <f t="shared" si="26"/>
        <v>-83.4</v>
      </c>
      <c r="P82" s="416">
        <f t="shared" si="27"/>
        <v>0.70000000000000284</v>
      </c>
      <c r="Q82" s="247"/>
      <c r="S82" s="8">
        <f t="shared" si="28"/>
        <v>0</v>
      </c>
    </row>
    <row r="83" spans="1:19" s="109" customFormat="1" ht="25.5" x14ac:dyDescent="0.2">
      <c r="A83" s="1630"/>
      <c r="B83" s="1629"/>
      <c r="C83" s="565">
        <v>17011101</v>
      </c>
      <c r="D83" s="326" t="s">
        <v>247</v>
      </c>
      <c r="E83" s="152">
        <v>2.9</v>
      </c>
      <c r="F83" s="302">
        <v>2.9</v>
      </c>
      <c r="G83" s="152">
        <v>2.9</v>
      </c>
      <c r="H83" s="302">
        <v>2.9</v>
      </c>
      <c r="I83" s="152">
        <v>4.7</v>
      </c>
      <c r="J83" s="302">
        <v>4.7</v>
      </c>
      <c r="K83" s="152">
        <v>2.9</v>
      </c>
      <c r="L83" s="385">
        <v>2.9</v>
      </c>
      <c r="M83" s="390"/>
      <c r="N83" s="390"/>
      <c r="O83" s="416">
        <f t="shared" si="26"/>
        <v>-1.8000000000000003</v>
      </c>
      <c r="P83" s="416">
        <f t="shared" si="27"/>
        <v>0</v>
      </c>
      <c r="Q83" s="247"/>
      <c r="S83" s="8">
        <f t="shared" si="28"/>
        <v>0</v>
      </c>
    </row>
    <row r="84" spans="1:19" s="109" customFormat="1" ht="25.5" x14ac:dyDescent="0.2">
      <c r="A84" s="1630"/>
      <c r="B84" s="1629"/>
      <c r="C84" s="565">
        <v>17011102</v>
      </c>
      <c r="D84" s="326" t="s">
        <v>248</v>
      </c>
      <c r="E84" s="152">
        <f>2.4+8.9</f>
        <v>11.3</v>
      </c>
      <c r="F84" s="302">
        <v>8.9</v>
      </c>
      <c r="G84" s="152">
        <f>2.4+8.9</f>
        <v>11.3</v>
      </c>
      <c r="H84" s="302">
        <v>8.9</v>
      </c>
      <c r="I84" s="152">
        <v>70</v>
      </c>
      <c r="J84" s="302">
        <v>70</v>
      </c>
      <c r="K84" s="152">
        <f>4.5+10.7</f>
        <v>15.2</v>
      </c>
      <c r="L84" s="385">
        <f>10.7</f>
        <v>10.7</v>
      </c>
      <c r="M84" s="390"/>
      <c r="N84" s="390"/>
      <c r="O84" s="416">
        <f t="shared" si="26"/>
        <v>-54.8</v>
      </c>
      <c r="P84" s="416">
        <f t="shared" si="27"/>
        <v>3.8999999999999986</v>
      </c>
      <c r="Q84" s="247"/>
      <c r="S84" s="8">
        <f t="shared" si="28"/>
        <v>0</v>
      </c>
    </row>
    <row r="85" spans="1:19" s="109" customFormat="1" ht="25.5" x14ac:dyDescent="0.2">
      <c r="A85" s="1630"/>
      <c r="B85" s="1629"/>
      <c r="C85" s="565">
        <v>17011201</v>
      </c>
      <c r="D85" s="326" t="s">
        <v>249</v>
      </c>
      <c r="E85" s="152">
        <v>2.9</v>
      </c>
      <c r="F85" s="302">
        <v>2.9</v>
      </c>
      <c r="G85" s="152">
        <v>2.9</v>
      </c>
      <c r="H85" s="302">
        <v>2.9</v>
      </c>
      <c r="I85" s="152">
        <v>3</v>
      </c>
      <c r="J85" s="302">
        <v>3</v>
      </c>
      <c r="K85" s="152">
        <v>2.9</v>
      </c>
      <c r="L85" s="385">
        <v>2.9</v>
      </c>
      <c r="M85" s="390"/>
      <c r="N85" s="390"/>
      <c r="O85" s="416">
        <f t="shared" si="26"/>
        <v>-0.10000000000000009</v>
      </c>
      <c r="P85" s="416">
        <f t="shared" si="27"/>
        <v>0</v>
      </c>
      <c r="Q85" s="247"/>
      <c r="S85" s="8">
        <f t="shared" si="28"/>
        <v>0</v>
      </c>
    </row>
    <row r="86" spans="1:19" s="109" customFormat="1" ht="25.5" x14ac:dyDescent="0.2">
      <c r="A86" s="1630"/>
      <c r="B86" s="1629"/>
      <c r="C86" s="565">
        <v>17011202</v>
      </c>
      <c r="D86" s="326" t="s">
        <v>250</v>
      </c>
      <c r="E86" s="152">
        <v>8.4</v>
      </c>
      <c r="F86" s="302">
        <v>8.4</v>
      </c>
      <c r="G86" s="152">
        <v>8.4</v>
      </c>
      <c r="H86" s="302">
        <v>8.4</v>
      </c>
      <c r="I86" s="152">
        <v>50</v>
      </c>
      <c r="J86" s="302">
        <v>50</v>
      </c>
      <c r="K86" s="152">
        <v>10.3</v>
      </c>
      <c r="L86" s="385">
        <v>10.3</v>
      </c>
      <c r="M86" s="390"/>
      <c r="N86" s="390"/>
      <c r="O86" s="416">
        <f t="shared" si="26"/>
        <v>-39.700000000000003</v>
      </c>
      <c r="P86" s="416">
        <f t="shared" si="27"/>
        <v>1.9000000000000004</v>
      </c>
      <c r="Q86" s="247"/>
      <c r="S86" s="8">
        <f t="shared" si="28"/>
        <v>0</v>
      </c>
    </row>
    <row r="87" spans="1:19" s="109" customFormat="1" ht="13.5" x14ac:dyDescent="0.2">
      <c r="A87" s="1630"/>
      <c r="B87" s="1629"/>
      <c r="C87" s="565">
        <v>17011301</v>
      </c>
      <c r="D87" s="326" t="s">
        <v>251</v>
      </c>
      <c r="E87" s="152">
        <v>2.9</v>
      </c>
      <c r="F87" s="302">
        <v>2.9</v>
      </c>
      <c r="G87" s="152">
        <v>2.9</v>
      </c>
      <c r="H87" s="302">
        <v>2.9</v>
      </c>
      <c r="I87" s="152">
        <v>2.9</v>
      </c>
      <c r="J87" s="302">
        <v>2.9</v>
      </c>
      <c r="K87" s="152">
        <v>2.9</v>
      </c>
      <c r="L87" s="385">
        <v>2.9</v>
      </c>
      <c r="M87" s="390"/>
      <c r="N87" s="390"/>
      <c r="O87" s="416">
        <f t="shared" si="26"/>
        <v>0</v>
      </c>
      <c r="P87" s="416">
        <f t="shared" si="27"/>
        <v>0</v>
      </c>
      <c r="Q87" s="247"/>
      <c r="S87" s="8">
        <f t="shared" si="28"/>
        <v>0</v>
      </c>
    </row>
    <row r="88" spans="1:19" s="109" customFormat="1" ht="25.5" x14ac:dyDescent="0.2">
      <c r="A88" s="1630"/>
      <c r="B88" s="1629"/>
      <c r="C88" s="565">
        <v>17011302</v>
      </c>
      <c r="D88" s="326" t="s">
        <v>252</v>
      </c>
      <c r="E88" s="152">
        <v>7.3</v>
      </c>
      <c r="F88" s="302">
        <v>7.3</v>
      </c>
      <c r="G88" s="152">
        <v>7.3</v>
      </c>
      <c r="H88" s="302">
        <v>7.3</v>
      </c>
      <c r="I88" s="152">
        <v>7.3</v>
      </c>
      <c r="J88" s="302">
        <v>7.3</v>
      </c>
      <c r="K88" s="152">
        <v>8.8000000000000007</v>
      </c>
      <c r="L88" s="385">
        <v>8.8000000000000007</v>
      </c>
      <c r="M88" s="390"/>
      <c r="N88" s="390"/>
      <c r="O88" s="416">
        <f t="shared" si="26"/>
        <v>1.5000000000000009</v>
      </c>
      <c r="P88" s="416">
        <f t="shared" si="27"/>
        <v>1.5000000000000009</v>
      </c>
      <c r="Q88" s="247"/>
      <c r="S88" s="8">
        <f t="shared" si="28"/>
        <v>0</v>
      </c>
    </row>
    <row r="89" spans="1:19" s="109" customFormat="1" ht="25.5" x14ac:dyDescent="0.2">
      <c r="A89" s="1630"/>
      <c r="B89" s="1629"/>
      <c r="C89" s="565">
        <v>17011401</v>
      </c>
      <c r="D89" s="326" t="s">
        <v>253</v>
      </c>
      <c r="E89" s="152">
        <v>2.9</v>
      </c>
      <c r="F89" s="302">
        <v>2.9</v>
      </c>
      <c r="G89" s="152">
        <v>2.9</v>
      </c>
      <c r="H89" s="302">
        <v>2.9</v>
      </c>
      <c r="I89" s="152">
        <v>4</v>
      </c>
      <c r="J89" s="302">
        <v>4</v>
      </c>
      <c r="K89" s="152">
        <v>2.9</v>
      </c>
      <c r="L89" s="385">
        <v>2.9</v>
      </c>
      <c r="M89" s="390"/>
      <c r="N89" s="390"/>
      <c r="O89" s="416">
        <f t="shared" si="26"/>
        <v>-1.1000000000000001</v>
      </c>
      <c r="P89" s="416">
        <f t="shared" si="27"/>
        <v>0</v>
      </c>
      <c r="Q89" s="247"/>
      <c r="S89" s="8">
        <f t="shared" si="28"/>
        <v>0</v>
      </c>
    </row>
    <row r="90" spans="1:19" s="109" customFormat="1" ht="25.5" x14ac:dyDescent="0.2">
      <c r="A90" s="1630"/>
      <c r="B90" s="1629"/>
      <c r="C90" s="565">
        <v>17011402</v>
      </c>
      <c r="D90" s="326" t="s">
        <v>254</v>
      </c>
      <c r="E90" s="152">
        <f>4.9+7.4</f>
        <v>12.3</v>
      </c>
      <c r="F90" s="302">
        <v>7.4</v>
      </c>
      <c r="G90" s="152">
        <f>4.9+7.4</f>
        <v>12.3</v>
      </c>
      <c r="H90" s="302">
        <v>7.4</v>
      </c>
      <c r="I90" s="152">
        <v>16.8</v>
      </c>
      <c r="J90" s="302">
        <v>16.8</v>
      </c>
      <c r="K90" s="152">
        <f>0.5+9</f>
        <v>9.5</v>
      </c>
      <c r="L90" s="385">
        <v>9</v>
      </c>
      <c r="M90" s="390"/>
      <c r="N90" s="390"/>
      <c r="O90" s="416">
        <f t="shared" si="26"/>
        <v>-7.3000000000000007</v>
      </c>
      <c r="P90" s="416">
        <f t="shared" si="27"/>
        <v>-2.8000000000000007</v>
      </c>
      <c r="Q90" s="247"/>
      <c r="S90" s="8">
        <f t="shared" si="28"/>
        <v>0</v>
      </c>
    </row>
    <row r="91" spans="1:19" s="109" customFormat="1" ht="25.5" x14ac:dyDescent="0.2">
      <c r="A91" s="1630"/>
      <c r="B91" s="1629"/>
      <c r="C91" s="565">
        <v>17011501</v>
      </c>
      <c r="D91" s="326" t="s">
        <v>255</v>
      </c>
      <c r="E91" s="152">
        <v>2.9</v>
      </c>
      <c r="F91" s="302">
        <v>2.9</v>
      </c>
      <c r="G91" s="152">
        <v>2.9</v>
      </c>
      <c r="H91" s="302">
        <v>2.9</v>
      </c>
      <c r="I91" s="152">
        <v>4.5</v>
      </c>
      <c r="J91" s="302">
        <v>4.5</v>
      </c>
      <c r="K91" s="152">
        <v>2.9</v>
      </c>
      <c r="L91" s="385">
        <v>2.9</v>
      </c>
      <c r="M91" s="390"/>
      <c r="N91" s="390"/>
      <c r="O91" s="416">
        <f t="shared" si="26"/>
        <v>-1.6</v>
      </c>
      <c r="P91" s="416">
        <f t="shared" si="27"/>
        <v>0</v>
      </c>
      <c r="Q91" s="247"/>
      <c r="S91" s="8">
        <f t="shared" si="28"/>
        <v>0</v>
      </c>
    </row>
    <row r="92" spans="1:19" s="109" customFormat="1" ht="25.5" x14ac:dyDescent="0.2">
      <c r="A92" s="1630"/>
      <c r="B92" s="1629"/>
      <c r="C92" s="565">
        <v>17011502</v>
      </c>
      <c r="D92" s="326" t="s">
        <v>256</v>
      </c>
      <c r="E92" s="152">
        <v>8.6999999999999993</v>
      </c>
      <c r="F92" s="302">
        <v>8.6999999999999993</v>
      </c>
      <c r="G92" s="152">
        <v>8.6999999999999993</v>
      </c>
      <c r="H92" s="302">
        <v>8.6999999999999993</v>
      </c>
      <c r="I92" s="152">
        <v>35</v>
      </c>
      <c r="J92" s="302">
        <v>35</v>
      </c>
      <c r="K92" s="152">
        <f>6.2+10.5</f>
        <v>16.7</v>
      </c>
      <c r="L92" s="385">
        <v>10.5</v>
      </c>
      <c r="M92" s="390"/>
      <c r="N92" s="390"/>
      <c r="O92" s="416">
        <f t="shared" si="26"/>
        <v>-18.3</v>
      </c>
      <c r="P92" s="416">
        <f t="shared" si="27"/>
        <v>8</v>
      </c>
      <c r="Q92" s="247"/>
      <c r="S92" s="8">
        <f t="shared" si="28"/>
        <v>0</v>
      </c>
    </row>
    <row r="93" spans="1:19" s="109" customFormat="1" ht="25.5" x14ac:dyDescent="0.2">
      <c r="A93" s="1630"/>
      <c r="B93" s="1629"/>
      <c r="C93" s="565">
        <v>17011601</v>
      </c>
      <c r="D93" s="326" t="s">
        <v>257</v>
      </c>
      <c r="E93" s="152">
        <v>2.9</v>
      </c>
      <c r="F93" s="302">
        <v>2.9</v>
      </c>
      <c r="G93" s="152">
        <v>2.9</v>
      </c>
      <c r="H93" s="302">
        <v>2.9</v>
      </c>
      <c r="I93" s="152">
        <v>4</v>
      </c>
      <c r="J93" s="302">
        <v>4</v>
      </c>
      <c r="K93" s="152">
        <v>2.9</v>
      </c>
      <c r="L93" s="385">
        <v>2.9</v>
      </c>
      <c r="M93" s="390"/>
      <c r="N93" s="390"/>
      <c r="O93" s="416">
        <f t="shared" si="26"/>
        <v>-1.1000000000000001</v>
      </c>
      <c r="P93" s="416">
        <f t="shared" si="27"/>
        <v>0</v>
      </c>
      <c r="Q93" s="247"/>
      <c r="S93" s="8">
        <f t="shared" si="28"/>
        <v>0</v>
      </c>
    </row>
    <row r="94" spans="1:19" s="109" customFormat="1" ht="25.5" x14ac:dyDescent="0.2">
      <c r="A94" s="1630"/>
      <c r="B94" s="1629"/>
      <c r="C94" s="565">
        <v>17011602</v>
      </c>
      <c r="D94" s="326" t="s">
        <v>258</v>
      </c>
      <c r="E94" s="152">
        <f>20.8+6.9</f>
        <v>27.700000000000003</v>
      </c>
      <c r="F94" s="302">
        <v>6.9</v>
      </c>
      <c r="G94" s="152">
        <f>20.8+6.9</f>
        <v>27.700000000000003</v>
      </c>
      <c r="H94" s="302">
        <v>6.9</v>
      </c>
      <c r="I94" s="152">
        <v>40</v>
      </c>
      <c r="J94" s="302">
        <v>40</v>
      </c>
      <c r="K94" s="152">
        <f>36.3+8.4</f>
        <v>44.699999999999996</v>
      </c>
      <c r="L94" s="385">
        <v>8.4</v>
      </c>
      <c r="M94" s="390"/>
      <c r="N94" s="390"/>
      <c r="O94" s="416">
        <f t="shared" si="26"/>
        <v>4.6999999999999957</v>
      </c>
      <c r="P94" s="416">
        <f t="shared" si="27"/>
        <v>16.999999999999993</v>
      </c>
      <c r="Q94" s="247"/>
      <c r="S94" s="8">
        <f t="shared" si="28"/>
        <v>0</v>
      </c>
    </row>
    <row r="95" spans="1:19" s="109" customFormat="1" ht="25.5" x14ac:dyDescent="0.2">
      <c r="A95" s="1630"/>
      <c r="B95" s="1629"/>
      <c r="C95" s="565">
        <v>17011701</v>
      </c>
      <c r="D95" s="326" t="s">
        <v>259</v>
      </c>
      <c r="E95" s="152">
        <v>2.9</v>
      </c>
      <c r="F95" s="302">
        <v>2.9</v>
      </c>
      <c r="G95" s="152">
        <v>2.9</v>
      </c>
      <c r="H95" s="302">
        <v>2.9</v>
      </c>
      <c r="I95" s="152">
        <v>15.4</v>
      </c>
      <c r="J95" s="302">
        <v>15.4</v>
      </c>
      <c r="K95" s="152">
        <v>2.9</v>
      </c>
      <c r="L95" s="385">
        <v>2.9</v>
      </c>
      <c r="M95" s="390"/>
      <c r="N95" s="390"/>
      <c r="O95" s="416">
        <f t="shared" si="26"/>
        <v>-12.5</v>
      </c>
      <c r="P95" s="416">
        <f t="shared" si="27"/>
        <v>0</v>
      </c>
      <c r="Q95" s="247"/>
      <c r="S95" s="8">
        <f t="shared" si="28"/>
        <v>0</v>
      </c>
    </row>
    <row r="96" spans="1:19" s="109" customFormat="1" ht="25.5" x14ac:dyDescent="0.2">
      <c r="A96" s="1630"/>
      <c r="B96" s="1629"/>
      <c r="C96" s="565">
        <v>17011702</v>
      </c>
      <c r="D96" s="326" t="s">
        <v>260</v>
      </c>
      <c r="E96" s="152">
        <f>26.1+16.5</f>
        <v>42.6</v>
      </c>
      <c r="F96" s="302">
        <v>16.5</v>
      </c>
      <c r="G96" s="152">
        <f>26.1+16.5</f>
        <v>42.6</v>
      </c>
      <c r="H96" s="302">
        <v>16.5</v>
      </c>
      <c r="I96" s="152">
        <v>70.8</v>
      </c>
      <c r="J96" s="302">
        <v>70.8</v>
      </c>
      <c r="K96" s="152">
        <f>19.4+19.3</f>
        <v>38.700000000000003</v>
      </c>
      <c r="L96" s="385">
        <v>19.3</v>
      </c>
      <c r="M96" s="390"/>
      <c r="N96" s="390"/>
      <c r="O96" s="416">
        <f t="shared" si="26"/>
        <v>-32.099999999999994</v>
      </c>
      <c r="P96" s="416">
        <f t="shared" si="27"/>
        <v>-3.8999999999999986</v>
      </c>
      <c r="Q96" s="247"/>
      <c r="S96" s="8">
        <f t="shared" si="28"/>
        <v>0</v>
      </c>
    </row>
    <row r="97" spans="1:19" s="109" customFormat="1" ht="25.5" x14ac:dyDescent="0.2">
      <c r="A97" s="1630"/>
      <c r="B97" s="1629"/>
      <c r="C97" s="565">
        <v>17011801</v>
      </c>
      <c r="D97" s="326" t="s">
        <v>261</v>
      </c>
      <c r="E97" s="152">
        <v>2.9</v>
      </c>
      <c r="F97" s="302">
        <v>2.9</v>
      </c>
      <c r="G97" s="152">
        <v>2.9</v>
      </c>
      <c r="H97" s="302">
        <v>2.9</v>
      </c>
      <c r="I97" s="152">
        <v>10.3</v>
      </c>
      <c r="J97" s="302">
        <v>10.3</v>
      </c>
      <c r="K97" s="152">
        <v>2.9</v>
      </c>
      <c r="L97" s="385">
        <v>2.9</v>
      </c>
      <c r="M97" s="390"/>
      <c r="N97" s="390"/>
      <c r="O97" s="416">
        <f t="shared" si="26"/>
        <v>-7.4</v>
      </c>
      <c r="P97" s="416">
        <f t="shared" si="27"/>
        <v>0</v>
      </c>
      <c r="Q97" s="247"/>
      <c r="S97" s="8">
        <f t="shared" si="28"/>
        <v>0</v>
      </c>
    </row>
    <row r="98" spans="1:19" s="109" customFormat="1" ht="25.5" x14ac:dyDescent="0.2">
      <c r="A98" s="1630"/>
      <c r="B98" s="1629"/>
      <c r="C98" s="565">
        <v>17011802</v>
      </c>
      <c r="D98" s="326" t="s">
        <v>262</v>
      </c>
      <c r="E98" s="152">
        <v>8.5</v>
      </c>
      <c r="F98" s="302">
        <v>8.5</v>
      </c>
      <c r="G98" s="152">
        <v>8.5</v>
      </c>
      <c r="H98" s="302">
        <v>8.5</v>
      </c>
      <c r="I98" s="152">
        <v>100</v>
      </c>
      <c r="J98" s="302">
        <v>100</v>
      </c>
      <c r="K98" s="152">
        <f>0.4+10.3</f>
        <v>10.700000000000001</v>
      </c>
      <c r="L98" s="385">
        <v>10.3</v>
      </c>
      <c r="M98" s="390"/>
      <c r="N98" s="390"/>
      <c r="O98" s="416">
        <f t="shared" si="26"/>
        <v>-89.3</v>
      </c>
      <c r="P98" s="416">
        <f t="shared" si="27"/>
        <v>2.2000000000000011</v>
      </c>
      <c r="Q98" s="247"/>
      <c r="S98" s="8">
        <f t="shared" si="28"/>
        <v>0</v>
      </c>
    </row>
    <row r="99" spans="1:19" s="109" customFormat="1" ht="25.5" x14ac:dyDescent="0.2">
      <c r="A99" s="1630"/>
      <c r="B99" s="1629"/>
      <c r="C99" s="565">
        <v>17011901</v>
      </c>
      <c r="D99" s="326" t="s">
        <v>263</v>
      </c>
      <c r="E99" s="152">
        <v>2.9</v>
      </c>
      <c r="F99" s="302">
        <v>2.9</v>
      </c>
      <c r="G99" s="152">
        <v>2.9</v>
      </c>
      <c r="H99" s="302">
        <v>2.9</v>
      </c>
      <c r="I99" s="152">
        <v>3.6</v>
      </c>
      <c r="J99" s="302">
        <v>3.6</v>
      </c>
      <c r="K99" s="152">
        <v>2.9</v>
      </c>
      <c r="L99" s="385">
        <v>2.9</v>
      </c>
      <c r="M99" s="390"/>
      <c r="N99" s="390"/>
      <c r="O99" s="416">
        <f t="shared" si="26"/>
        <v>-0.70000000000000018</v>
      </c>
      <c r="P99" s="416">
        <f t="shared" si="27"/>
        <v>0</v>
      </c>
      <c r="Q99" s="247"/>
      <c r="S99" s="8">
        <f t="shared" si="28"/>
        <v>0</v>
      </c>
    </row>
    <row r="100" spans="1:19" s="109" customFormat="1" ht="25.5" x14ac:dyDescent="0.2">
      <c r="A100" s="1630"/>
      <c r="B100" s="1629"/>
      <c r="C100" s="565">
        <v>17011902</v>
      </c>
      <c r="D100" s="326" t="s">
        <v>264</v>
      </c>
      <c r="E100" s="152">
        <v>6.8</v>
      </c>
      <c r="F100" s="302">
        <v>6.8</v>
      </c>
      <c r="G100" s="152">
        <v>6.8</v>
      </c>
      <c r="H100" s="302">
        <v>6.8</v>
      </c>
      <c r="I100" s="152">
        <v>8.6</v>
      </c>
      <c r="J100" s="302">
        <v>8.6</v>
      </c>
      <c r="K100" s="152">
        <v>8.3000000000000007</v>
      </c>
      <c r="L100" s="385">
        <v>8.3000000000000007</v>
      </c>
      <c r="M100" s="390"/>
      <c r="N100" s="390"/>
      <c r="O100" s="416">
        <f t="shared" si="26"/>
        <v>-0.29999999999999893</v>
      </c>
      <c r="P100" s="416">
        <f t="shared" si="27"/>
        <v>1.5000000000000009</v>
      </c>
      <c r="Q100" s="247"/>
      <c r="S100" s="8">
        <f t="shared" si="28"/>
        <v>0</v>
      </c>
    </row>
    <row r="101" spans="1:19" s="109" customFormat="1" ht="25.5" x14ac:dyDescent="0.2">
      <c r="A101" s="1630"/>
      <c r="B101" s="1629"/>
      <c r="C101" s="565">
        <v>17012001</v>
      </c>
      <c r="D101" s="326" t="s">
        <v>265</v>
      </c>
      <c r="E101" s="152">
        <v>2.9</v>
      </c>
      <c r="F101" s="302">
        <v>2.9</v>
      </c>
      <c r="G101" s="152">
        <v>2.9</v>
      </c>
      <c r="H101" s="302">
        <v>2.9</v>
      </c>
      <c r="I101" s="152">
        <v>2.9</v>
      </c>
      <c r="J101" s="302">
        <v>2.9</v>
      </c>
      <c r="K101" s="152">
        <v>2.9</v>
      </c>
      <c r="L101" s="385">
        <v>2.9</v>
      </c>
      <c r="M101" s="390"/>
      <c r="N101" s="390"/>
      <c r="O101" s="416">
        <f t="shared" si="26"/>
        <v>0</v>
      </c>
      <c r="P101" s="416">
        <f t="shared" si="27"/>
        <v>0</v>
      </c>
      <c r="Q101" s="247"/>
      <c r="S101" s="8">
        <f t="shared" si="28"/>
        <v>0</v>
      </c>
    </row>
    <row r="102" spans="1:19" s="109" customFormat="1" ht="25.5" x14ac:dyDescent="0.2">
      <c r="A102" s="1630">
        <v>17</v>
      </c>
      <c r="B102" s="1629" t="s">
        <v>226</v>
      </c>
      <c r="C102" s="565">
        <v>17012002</v>
      </c>
      <c r="D102" s="326" t="s">
        <v>266</v>
      </c>
      <c r="E102" s="152">
        <v>10.1</v>
      </c>
      <c r="F102" s="302">
        <v>10.1</v>
      </c>
      <c r="G102" s="152">
        <v>10.1</v>
      </c>
      <c r="H102" s="302">
        <v>10.1</v>
      </c>
      <c r="I102" s="152">
        <v>24</v>
      </c>
      <c r="J102" s="302">
        <v>24</v>
      </c>
      <c r="K102" s="152">
        <v>12.1</v>
      </c>
      <c r="L102" s="385">
        <v>12.1</v>
      </c>
      <c r="M102" s="390"/>
      <c r="N102" s="390"/>
      <c r="O102" s="416">
        <f t="shared" si="26"/>
        <v>-11.9</v>
      </c>
      <c r="P102" s="416">
        <f t="shared" si="27"/>
        <v>2</v>
      </c>
      <c r="Q102" s="247"/>
      <c r="S102" s="8">
        <f t="shared" si="28"/>
        <v>0</v>
      </c>
    </row>
    <row r="103" spans="1:19" s="109" customFormat="1" ht="25.5" x14ac:dyDescent="0.2">
      <c r="A103" s="1630"/>
      <c r="B103" s="1629"/>
      <c r="C103" s="565">
        <v>17012101</v>
      </c>
      <c r="D103" s="326" t="s">
        <v>267</v>
      </c>
      <c r="E103" s="152">
        <v>2.9</v>
      </c>
      <c r="F103" s="302">
        <v>2.9</v>
      </c>
      <c r="G103" s="152">
        <v>2.9</v>
      </c>
      <c r="H103" s="302">
        <v>2.9</v>
      </c>
      <c r="I103" s="152">
        <v>3</v>
      </c>
      <c r="J103" s="302">
        <v>3</v>
      </c>
      <c r="K103" s="152">
        <v>2.9</v>
      </c>
      <c r="L103" s="385">
        <v>2.9</v>
      </c>
      <c r="M103" s="390"/>
      <c r="N103" s="390"/>
      <c r="O103" s="416">
        <f t="shared" si="26"/>
        <v>-0.10000000000000009</v>
      </c>
      <c r="P103" s="416">
        <f t="shared" si="27"/>
        <v>0</v>
      </c>
      <c r="Q103" s="247"/>
      <c r="S103" s="8">
        <f t="shared" si="28"/>
        <v>0</v>
      </c>
    </row>
    <row r="104" spans="1:19" s="109" customFormat="1" ht="25.5" x14ac:dyDescent="0.2">
      <c r="A104" s="1630"/>
      <c r="B104" s="1629"/>
      <c r="C104" s="565">
        <v>17012102</v>
      </c>
      <c r="D104" s="326" t="s">
        <v>268</v>
      </c>
      <c r="E104" s="152">
        <f>9.3+6.5</f>
        <v>15.8</v>
      </c>
      <c r="F104" s="302">
        <v>6.5</v>
      </c>
      <c r="G104" s="152">
        <f>9.3+6.5</f>
        <v>15.8</v>
      </c>
      <c r="H104" s="302">
        <v>6.5</v>
      </c>
      <c r="I104" s="152">
        <v>20</v>
      </c>
      <c r="J104" s="302">
        <v>20</v>
      </c>
      <c r="K104" s="152">
        <v>7.9</v>
      </c>
      <c r="L104" s="385">
        <v>7.9</v>
      </c>
      <c r="M104" s="390"/>
      <c r="N104" s="390"/>
      <c r="O104" s="416">
        <f t="shared" si="26"/>
        <v>-12.1</v>
      </c>
      <c r="P104" s="416">
        <f t="shared" si="27"/>
        <v>-7.9</v>
      </c>
      <c r="Q104" s="247"/>
      <c r="S104" s="8">
        <f t="shared" si="28"/>
        <v>0</v>
      </c>
    </row>
    <row r="105" spans="1:19" s="107" customFormat="1" ht="14.45" customHeight="1" x14ac:dyDescent="0.2">
      <c r="A105" s="1556" t="s">
        <v>269</v>
      </c>
      <c r="B105" s="1556"/>
      <c r="C105" s="1556"/>
      <c r="D105" s="1556"/>
      <c r="E105" s="391">
        <f>SUM(E63:E104)</f>
        <v>378.90000000000009</v>
      </c>
      <c r="F105" s="391">
        <f t="shared" ref="F105:N105" si="29">SUM(F63:F104)</f>
        <v>260.00000000000011</v>
      </c>
      <c r="G105" s="391">
        <f t="shared" si="29"/>
        <v>378.90000000000009</v>
      </c>
      <c r="H105" s="391">
        <f t="shared" si="29"/>
        <v>260.00000000000011</v>
      </c>
      <c r="I105" s="391">
        <f t="shared" si="29"/>
        <v>1015.1999999999998</v>
      </c>
      <c r="J105" s="391">
        <f t="shared" si="29"/>
        <v>1015.1999999999998</v>
      </c>
      <c r="K105" s="391">
        <f t="shared" si="29"/>
        <v>387.39999999999992</v>
      </c>
      <c r="L105" s="391">
        <f t="shared" si="29"/>
        <v>300.00000000000006</v>
      </c>
      <c r="M105" s="391">
        <f t="shared" si="29"/>
        <v>0</v>
      </c>
      <c r="N105" s="391">
        <f t="shared" si="29"/>
        <v>0</v>
      </c>
      <c r="O105" s="391">
        <f>SUM(O63:O104)</f>
        <v>-627.80000000000007</v>
      </c>
      <c r="P105" s="271">
        <f t="shared" si="27"/>
        <v>8.4999999999998295</v>
      </c>
      <c r="Q105" s="108">
        <f>SUM(Q63:Q63)</f>
        <v>0</v>
      </c>
      <c r="S105" s="8"/>
    </row>
    <row r="106" spans="1:19" s="109" customFormat="1" ht="14.45" customHeight="1" x14ac:dyDescent="0.2">
      <c r="A106" s="1626" t="s">
        <v>185</v>
      </c>
      <c r="B106" s="1626"/>
      <c r="C106" s="1626"/>
      <c r="D106" s="1626"/>
      <c r="E106" s="392"/>
      <c r="F106" s="392"/>
      <c r="G106" s="392"/>
      <c r="H106" s="392"/>
      <c r="I106" s="392"/>
      <c r="J106" s="392"/>
      <c r="K106" s="392"/>
      <c r="L106" s="392"/>
      <c r="M106" s="392" t="e">
        <f>+#REF!</f>
        <v>#REF!</v>
      </c>
      <c r="N106" s="392" t="e">
        <f>+#REF!</f>
        <v>#REF!</v>
      </c>
      <c r="O106" s="294">
        <f t="shared" si="19"/>
        <v>0</v>
      </c>
      <c r="P106" s="294">
        <f t="shared" si="27"/>
        <v>0</v>
      </c>
      <c r="Q106" s="165"/>
      <c r="S106" s="8">
        <f t="shared" si="28"/>
        <v>0</v>
      </c>
    </row>
    <row r="107" spans="1:19" s="107" customFormat="1" ht="21" customHeight="1" x14ac:dyDescent="0.2">
      <c r="A107" s="1627" t="s">
        <v>270</v>
      </c>
      <c r="B107" s="1627"/>
      <c r="C107" s="1627"/>
      <c r="D107" s="1627"/>
      <c r="E107" s="388">
        <f>+E8+E18+E23+E26+E37+E61+E105</f>
        <v>83621.299999999988</v>
      </c>
      <c r="F107" s="388">
        <f t="shared" ref="F107:O107" si="30">+F8+F18+F23+F26+F37+F61+F105</f>
        <v>80926.7</v>
      </c>
      <c r="G107" s="152">
        <f t="shared" si="30"/>
        <v>71063.7</v>
      </c>
      <c r="H107" s="152">
        <f t="shared" si="30"/>
        <v>68142.5</v>
      </c>
      <c r="I107" s="152">
        <f t="shared" si="30"/>
        <v>61243.9</v>
      </c>
      <c r="J107" s="152">
        <f t="shared" si="30"/>
        <v>60636.1</v>
      </c>
      <c r="K107" s="152">
        <f t="shared" si="30"/>
        <v>59578.100000000006</v>
      </c>
      <c r="L107" s="152">
        <f>+L8+L18+L23+L26+L37+L61+L105</f>
        <v>58882.9</v>
      </c>
      <c r="M107" s="393">
        <f t="shared" si="30"/>
        <v>3635.1</v>
      </c>
      <c r="N107" s="393">
        <f t="shared" si="30"/>
        <v>-9.3000000000000682</v>
      </c>
      <c r="O107" s="152">
        <f t="shared" si="30"/>
        <v>-1665.8000000000002</v>
      </c>
      <c r="P107" s="146">
        <f t="shared" si="27"/>
        <v>-24043.199999999983</v>
      </c>
      <c r="Q107" s="110"/>
      <c r="S107" s="8"/>
    </row>
    <row r="108" spans="1:19" s="109" customFormat="1" ht="14.45" customHeight="1" x14ac:dyDescent="0.2">
      <c r="A108" s="1551" t="s">
        <v>185</v>
      </c>
      <c r="B108" s="1551"/>
      <c r="C108" s="1551"/>
      <c r="D108" s="1551"/>
      <c r="E108" s="391">
        <f>+E27+E62</f>
        <v>32123.300000000003</v>
      </c>
      <c r="F108" s="391">
        <f t="shared" ref="F108:O108" si="31">+F27+F62</f>
        <v>29921.200000000001</v>
      </c>
      <c r="G108" s="288">
        <f t="shared" si="31"/>
        <v>26427.800000000003</v>
      </c>
      <c r="H108" s="288">
        <f>+H27+H62</f>
        <v>24225.7</v>
      </c>
      <c r="I108" s="288">
        <f t="shared" si="31"/>
        <v>0</v>
      </c>
      <c r="J108" s="288">
        <f t="shared" si="31"/>
        <v>0</v>
      </c>
      <c r="K108" s="288">
        <f t="shared" si="31"/>
        <v>0</v>
      </c>
      <c r="L108" s="288">
        <f t="shared" si="31"/>
        <v>0</v>
      </c>
      <c r="M108" s="581">
        <f t="shared" si="31"/>
        <v>0</v>
      </c>
      <c r="N108" s="581">
        <f t="shared" si="31"/>
        <v>-894.9</v>
      </c>
      <c r="O108" s="288">
        <f t="shared" si="31"/>
        <v>0</v>
      </c>
      <c r="P108" s="271">
        <f t="shared" si="27"/>
        <v>-32123.300000000003</v>
      </c>
      <c r="Q108" s="164"/>
      <c r="S108" s="8">
        <f t="shared" si="28"/>
        <v>0</v>
      </c>
    </row>
    <row r="109" spans="1:19" ht="12.75" x14ac:dyDescent="0.2">
      <c r="A109" s="401"/>
      <c r="B109" s="402"/>
      <c r="C109" s="403"/>
      <c r="D109" s="404"/>
      <c r="E109" s="405"/>
      <c r="F109" s="405"/>
      <c r="G109" s="405"/>
      <c r="H109" s="405"/>
      <c r="I109" s="405"/>
      <c r="J109" s="405"/>
      <c r="K109" s="406"/>
      <c r="L109" s="407"/>
      <c r="M109" s="407"/>
      <c r="N109" s="407"/>
      <c r="O109" s="407"/>
      <c r="P109" s="269">
        <f t="shared" si="27"/>
        <v>0</v>
      </c>
      <c r="Q109" s="408"/>
      <c r="S109" s="8">
        <f t="shared" si="28"/>
        <v>0</v>
      </c>
    </row>
    <row r="110" spans="1:19" ht="12.75" x14ac:dyDescent="0.2">
      <c r="A110" s="1628" t="s">
        <v>271</v>
      </c>
      <c r="B110" s="1628"/>
      <c r="C110" s="1628"/>
      <c r="D110" s="1628"/>
      <c r="E110" s="394">
        <v>289.60000000000002</v>
      </c>
      <c r="F110" s="394">
        <v>289.60000000000002</v>
      </c>
      <c r="G110" s="394">
        <v>289.60000000000002</v>
      </c>
      <c r="H110" s="394">
        <v>289.60000000000002</v>
      </c>
      <c r="I110" s="394">
        <v>300</v>
      </c>
      <c r="J110" s="394">
        <v>300</v>
      </c>
      <c r="K110" s="394">
        <v>300</v>
      </c>
      <c r="L110" s="394">
        <v>300</v>
      </c>
      <c r="M110" s="395"/>
      <c r="N110" s="395"/>
      <c r="O110" s="294">
        <f t="shared" ref="O110" si="32">+K110-I110</f>
        <v>0</v>
      </c>
      <c r="P110" s="271">
        <f t="shared" si="27"/>
        <v>10.399999999999977</v>
      </c>
      <c r="Q110" s="43"/>
      <c r="S110" s="8">
        <f t="shared" si="28"/>
        <v>0</v>
      </c>
    </row>
    <row r="111" spans="1:19" ht="12.75" x14ac:dyDescent="0.2">
      <c r="A111" s="1628" t="s">
        <v>272</v>
      </c>
      <c r="B111" s="1628"/>
      <c r="C111" s="1628"/>
      <c r="D111" s="1628"/>
      <c r="E111" s="394">
        <v>16.3</v>
      </c>
      <c r="F111" s="394"/>
      <c r="G111" s="394">
        <v>16.3</v>
      </c>
      <c r="H111" s="394"/>
      <c r="I111" s="394">
        <v>162.1</v>
      </c>
      <c r="J111" s="394"/>
      <c r="K111" s="394">
        <v>162.1</v>
      </c>
      <c r="L111" s="394"/>
      <c r="M111" s="395"/>
      <c r="N111" s="395"/>
      <c r="O111" s="395"/>
      <c r="P111" s="271">
        <f t="shared" si="27"/>
        <v>145.79999999999998</v>
      </c>
      <c r="Q111" s="43"/>
      <c r="S111" s="8">
        <f t="shared" si="28"/>
        <v>0</v>
      </c>
    </row>
    <row r="112" spans="1:19" ht="12.75" hidden="1" x14ac:dyDescent="0.2">
      <c r="A112" s="1628" t="s">
        <v>944</v>
      </c>
      <c r="B112" s="1628"/>
      <c r="C112" s="1628"/>
      <c r="D112" s="1628"/>
      <c r="E112" s="394"/>
      <c r="F112" s="394"/>
      <c r="G112" s="394"/>
      <c r="H112" s="394"/>
      <c r="I112" s="394"/>
      <c r="J112" s="394"/>
      <c r="K112" s="394"/>
      <c r="L112" s="394"/>
      <c r="M112" s="395"/>
      <c r="N112" s="395"/>
      <c r="O112" s="395"/>
      <c r="P112" s="271">
        <f t="shared" si="27"/>
        <v>0</v>
      </c>
      <c r="Q112" s="43"/>
      <c r="S112" s="8"/>
    </row>
    <row r="113" spans="2:19" ht="12" x14ac:dyDescent="0.2">
      <c r="S113" s="8">
        <f t="shared" si="28"/>
        <v>0</v>
      </c>
    </row>
    <row r="114" spans="2:19" ht="12.75" x14ac:dyDescent="0.2">
      <c r="B114" s="1540" t="s">
        <v>128</v>
      </c>
      <c r="C114" s="1540"/>
      <c r="D114" s="1540"/>
      <c r="S114" s="8">
        <f t="shared" si="28"/>
        <v>0</v>
      </c>
    </row>
    <row r="115" spans="2:19" s="577" customFormat="1" ht="12.75" x14ac:dyDescent="0.2">
      <c r="B115" s="1634" t="s">
        <v>964</v>
      </c>
      <c r="C115" s="1634"/>
      <c r="D115" s="1634"/>
      <c r="E115" s="1634"/>
      <c r="F115" s="1634"/>
      <c r="G115" s="1634"/>
      <c r="H115" s="1634"/>
      <c r="I115" s="1634"/>
      <c r="J115" s="1634"/>
      <c r="K115" s="1634"/>
      <c r="L115" s="1634"/>
      <c r="M115" s="1634"/>
      <c r="N115" s="1634"/>
      <c r="O115" s="1634"/>
      <c r="P115" s="1634"/>
      <c r="Q115" s="1634"/>
      <c r="S115" s="461">
        <f t="shared" si="28"/>
        <v>0</v>
      </c>
    </row>
    <row r="116" spans="2:19" s="577" customFormat="1" ht="12.75" x14ac:dyDescent="0.2">
      <c r="B116" s="1634" t="s">
        <v>965</v>
      </c>
      <c r="C116" s="1634"/>
      <c r="D116" s="1634"/>
      <c r="E116" s="1634"/>
      <c r="F116" s="1634"/>
      <c r="G116" s="1634"/>
      <c r="H116" s="1634"/>
      <c r="I116" s="1634"/>
      <c r="J116" s="1634"/>
      <c r="K116" s="1634"/>
      <c r="L116" s="1634"/>
      <c r="M116" s="1634"/>
      <c r="N116" s="1634"/>
      <c r="O116" s="1634"/>
      <c r="P116" s="1634"/>
      <c r="Q116" s="1634"/>
      <c r="S116" s="461">
        <f t="shared" si="28"/>
        <v>0</v>
      </c>
    </row>
  </sheetData>
  <mergeCells count="60">
    <mergeCell ref="B116:Q116"/>
    <mergeCell ref="B31:B37"/>
    <mergeCell ref="A31:A37"/>
    <mergeCell ref="A7:A8"/>
    <mergeCell ref="B7:B8"/>
    <mergeCell ref="B115:Q115"/>
    <mergeCell ref="C23:D23"/>
    <mergeCell ref="C18:D18"/>
    <mergeCell ref="B9:B13"/>
    <mergeCell ref="A9:A13"/>
    <mergeCell ref="B14:B18"/>
    <mergeCell ref="A14:A18"/>
    <mergeCell ref="B20:B23"/>
    <mergeCell ref="A20:A23"/>
    <mergeCell ref="A111:D111"/>
    <mergeCell ref="A105:D105"/>
    <mergeCell ref="A61:D61"/>
    <mergeCell ref="A62:D62"/>
    <mergeCell ref="A24:A27"/>
    <mergeCell ref="B24:B27"/>
    <mergeCell ref="C26:D26"/>
    <mergeCell ref="B59:B60"/>
    <mergeCell ref="B28:B30"/>
    <mergeCell ref="A28:A30"/>
    <mergeCell ref="C37:D37"/>
    <mergeCell ref="C27:D27"/>
    <mergeCell ref="B38:B52"/>
    <mergeCell ref="A38:A52"/>
    <mergeCell ref="Q56:Q57"/>
    <mergeCell ref="C58:D58"/>
    <mergeCell ref="B114:D114"/>
    <mergeCell ref="A106:D106"/>
    <mergeCell ref="A107:D107"/>
    <mergeCell ref="A108:D108"/>
    <mergeCell ref="A110:D110"/>
    <mergeCell ref="A112:D112"/>
    <mergeCell ref="B53:B58"/>
    <mergeCell ref="A53:A58"/>
    <mergeCell ref="B63:B76"/>
    <mergeCell ref="A63:A76"/>
    <mergeCell ref="B77:B101"/>
    <mergeCell ref="A77:A101"/>
    <mergeCell ref="B102:B104"/>
    <mergeCell ref="A102:A104"/>
    <mergeCell ref="Q38:Q51"/>
    <mergeCell ref="A59:A60"/>
    <mergeCell ref="C8:D8"/>
    <mergeCell ref="B2:Q2"/>
    <mergeCell ref="D3:F3"/>
    <mergeCell ref="A4:B4"/>
    <mergeCell ref="C4:D4"/>
    <mergeCell ref="E4:E5"/>
    <mergeCell ref="G4:G5"/>
    <mergeCell ref="I4:I5"/>
    <mergeCell ref="K4:K5"/>
    <mergeCell ref="M4:M5"/>
    <mergeCell ref="N4:N5"/>
    <mergeCell ref="O4:O5"/>
    <mergeCell ref="Q4:Q5"/>
    <mergeCell ref="P4:P5"/>
  </mergeCells>
  <pageMargins left="0.25" right="0.25" top="0.75" bottom="0.75" header="0.3" footer="0.3"/>
  <pageSetup paperSize="9" scale="70" fitToHeight="0" orientation="landscape" r:id="rId1"/>
  <headerFooter alignWithMargins="0">
    <oddFooter>&amp;C&amp;P</oddFooter>
  </headerFooter>
  <rowBreaks count="1" manualBreakCount="1">
    <brk id="37" max="16" man="1"/>
  </rowBreaks>
  <ignoredErrors>
    <ignoredError sqref="A7 A19 A38" numberStoredAsText="1"/>
    <ignoredError sqref="O8 N26 O61" formula="1"/>
    <ignoredError sqref="E37 G37 J37 L37:M37" formulaRange="1"/>
    <ignoredError sqref="M106:N106" evalError="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4"/>
  <sheetViews>
    <sheetView showZeros="0" zoomScaleNormal="100" zoomScaleSheetLayoutView="55" workbookViewId="0">
      <selection activeCell="F147" sqref="F147"/>
    </sheetView>
  </sheetViews>
  <sheetFormatPr defaultColWidth="8.85546875" defaultRowHeight="12.75" x14ac:dyDescent="0.2"/>
  <cols>
    <col min="1" max="1" width="3.28515625" style="435" customWidth="1"/>
    <col min="2" max="2" width="11" style="435" customWidth="1"/>
    <col min="3" max="3" width="10.5703125" style="435" customWidth="1"/>
    <col min="4" max="4" width="36.28515625" style="435" customWidth="1"/>
    <col min="5" max="14" width="9.7109375" style="435" customWidth="1"/>
    <col min="15" max="15" width="45.7109375" style="435" customWidth="1"/>
    <col min="16" max="16" width="8.85546875" style="435"/>
    <col min="17" max="17" width="9.5703125" style="435" bestFit="1" customWidth="1"/>
    <col min="18" max="241" width="8.85546875" style="435"/>
    <col min="242" max="242" width="3.5703125" style="435" customWidth="1"/>
    <col min="243" max="243" width="11" style="435" customWidth="1"/>
    <col min="244" max="244" width="10.42578125" style="435" customWidth="1"/>
    <col min="245" max="245" width="32.42578125" style="435" customWidth="1"/>
    <col min="246" max="246" width="9.5703125" style="435" customWidth="1"/>
    <col min="247" max="247" width="8.7109375" style="435" customWidth="1"/>
    <col min="248" max="248" width="9.85546875" style="435" customWidth="1"/>
    <col min="249" max="249" width="8.7109375" style="435" customWidth="1"/>
    <col min="250" max="250" width="9.42578125" style="435" customWidth="1"/>
    <col min="251" max="252" width="8.85546875" style="435" customWidth="1"/>
    <col min="253" max="253" width="9.28515625" style="435" customWidth="1"/>
    <col min="254" max="254" width="9.42578125" style="435" customWidth="1"/>
    <col min="255" max="255" width="66.7109375" style="435" customWidth="1"/>
    <col min="256" max="497" width="8.85546875" style="435"/>
    <col min="498" max="498" width="3.5703125" style="435" customWidth="1"/>
    <col min="499" max="499" width="11" style="435" customWidth="1"/>
    <col min="500" max="500" width="10.42578125" style="435" customWidth="1"/>
    <col min="501" max="501" width="32.42578125" style="435" customWidth="1"/>
    <col min="502" max="502" width="9.5703125" style="435" customWidth="1"/>
    <col min="503" max="503" width="8.7109375" style="435" customWidth="1"/>
    <col min="504" max="504" width="9.85546875" style="435" customWidth="1"/>
    <col min="505" max="505" width="8.7109375" style="435" customWidth="1"/>
    <col min="506" max="506" width="9.42578125" style="435" customWidth="1"/>
    <col min="507" max="508" width="8.85546875" style="435" customWidth="1"/>
    <col min="509" max="509" width="9.28515625" style="435" customWidth="1"/>
    <col min="510" max="510" width="9.42578125" style="435" customWidth="1"/>
    <col min="511" max="511" width="66.7109375" style="435" customWidth="1"/>
    <col min="512" max="753" width="8.85546875" style="435"/>
    <col min="754" max="754" width="3.5703125" style="435" customWidth="1"/>
    <col min="755" max="755" width="11" style="435" customWidth="1"/>
    <col min="756" max="756" width="10.42578125" style="435" customWidth="1"/>
    <col min="757" max="757" width="32.42578125" style="435" customWidth="1"/>
    <col min="758" max="758" width="9.5703125" style="435" customWidth="1"/>
    <col min="759" max="759" width="8.7109375" style="435" customWidth="1"/>
    <col min="760" max="760" width="9.85546875" style="435" customWidth="1"/>
    <col min="761" max="761" width="8.7109375" style="435" customWidth="1"/>
    <col min="762" max="762" width="9.42578125" style="435" customWidth="1"/>
    <col min="763" max="764" width="8.85546875" style="435" customWidth="1"/>
    <col min="765" max="765" width="9.28515625" style="435" customWidth="1"/>
    <col min="766" max="766" width="9.42578125" style="435" customWidth="1"/>
    <col min="767" max="767" width="66.7109375" style="435" customWidth="1"/>
    <col min="768" max="1009" width="8.85546875" style="435"/>
    <col min="1010" max="1010" width="3.5703125" style="435" customWidth="1"/>
    <col min="1011" max="1011" width="11" style="435" customWidth="1"/>
    <col min="1012" max="1012" width="10.42578125" style="435" customWidth="1"/>
    <col min="1013" max="1013" width="32.42578125" style="435" customWidth="1"/>
    <col min="1014" max="1014" width="9.5703125" style="435" customWidth="1"/>
    <col min="1015" max="1015" width="8.7109375" style="435" customWidth="1"/>
    <col min="1016" max="1016" width="9.85546875" style="435" customWidth="1"/>
    <col min="1017" max="1017" width="8.7109375" style="435" customWidth="1"/>
    <col min="1018" max="1018" width="9.42578125" style="435" customWidth="1"/>
    <col min="1019" max="1020" width="8.85546875" style="435" customWidth="1"/>
    <col min="1021" max="1021" width="9.28515625" style="435" customWidth="1"/>
    <col min="1022" max="1022" width="9.42578125" style="435" customWidth="1"/>
    <col min="1023" max="1023" width="66.7109375" style="435" customWidth="1"/>
    <col min="1024" max="1265" width="8.85546875" style="435"/>
    <col min="1266" max="1266" width="3.5703125" style="435" customWidth="1"/>
    <col min="1267" max="1267" width="11" style="435" customWidth="1"/>
    <col min="1268" max="1268" width="10.42578125" style="435" customWidth="1"/>
    <col min="1269" max="1269" width="32.42578125" style="435" customWidth="1"/>
    <col min="1270" max="1270" width="9.5703125" style="435" customWidth="1"/>
    <col min="1271" max="1271" width="8.7109375" style="435" customWidth="1"/>
    <col min="1272" max="1272" width="9.85546875" style="435" customWidth="1"/>
    <col min="1273" max="1273" width="8.7109375" style="435" customWidth="1"/>
    <col min="1274" max="1274" width="9.42578125" style="435" customWidth="1"/>
    <col min="1275" max="1276" width="8.85546875" style="435" customWidth="1"/>
    <col min="1277" max="1277" width="9.28515625" style="435" customWidth="1"/>
    <col min="1278" max="1278" width="9.42578125" style="435" customWidth="1"/>
    <col min="1279" max="1279" width="66.7109375" style="435" customWidth="1"/>
    <col min="1280" max="1521" width="8.85546875" style="435"/>
    <col min="1522" max="1522" width="3.5703125" style="435" customWidth="1"/>
    <col min="1523" max="1523" width="11" style="435" customWidth="1"/>
    <col min="1524" max="1524" width="10.42578125" style="435" customWidth="1"/>
    <col min="1525" max="1525" width="32.42578125" style="435" customWidth="1"/>
    <col min="1526" max="1526" width="9.5703125" style="435" customWidth="1"/>
    <col min="1527" max="1527" width="8.7109375" style="435" customWidth="1"/>
    <col min="1528" max="1528" width="9.85546875" style="435" customWidth="1"/>
    <col min="1529" max="1529" width="8.7109375" style="435" customWidth="1"/>
    <col min="1530" max="1530" width="9.42578125" style="435" customWidth="1"/>
    <col min="1531" max="1532" width="8.85546875" style="435" customWidth="1"/>
    <col min="1533" max="1533" width="9.28515625" style="435" customWidth="1"/>
    <col min="1534" max="1534" width="9.42578125" style="435" customWidth="1"/>
    <col min="1535" max="1535" width="66.7109375" style="435" customWidth="1"/>
    <col min="1536" max="1777" width="8.85546875" style="435"/>
    <col min="1778" max="1778" width="3.5703125" style="435" customWidth="1"/>
    <col min="1779" max="1779" width="11" style="435" customWidth="1"/>
    <col min="1780" max="1780" width="10.42578125" style="435" customWidth="1"/>
    <col min="1781" max="1781" width="32.42578125" style="435" customWidth="1"/>
    <col min="1782" max="1782" width="9.5703125" style="435" customWidth="1"/>
    <col min="1783" max="1783" width="8.7109375" style="435" customWidth="1"/>
    <col min="1784" max="1784" width="9.85546875" style="435" customWidth="1"/>
    <col min="1785" max="1785" width="8.7109375" style="435" customWidth="1"/>
    <col min="1786" max="1786" width="9.42578125" style="435" customWidth="1"/>
    <col min="1787" max="1788" width="8.85546875" style="435" customWidth="1"/>
    <col min="1789" max="1789" width="9.28515625" style="435" customWidth="1"/>
    <col min="1790" max="1790" width="9.42578125" style="435" customWidth="1"/>
    <col min="1791" max="1791" width="66.7109375" style="435" customWidth="1"/>
    <col min="1792" max="2033" width="8.85546875" style="435"/>
    <col min="2034" max="2034" width="3.5703125" style="435" customWidth="1"/>
    <col min="2035" max="2035" width="11" style="435" customWidth="1"/>
    <col min="2036" max="2036" width="10.42578125" style="435" customWidth="1"/>
    <col min="2037" max="2037" width="32.42578125" style="435" customWidth="1"/>
    <col min="2038" max="2038" width="9.5703125" style="435" customWidth="1"/>
    <col min="2039" max="2039" width="8.7109375" style="435" customWidth="1"/>
    <col min="2040" max="2040" width="9.85546875" style="435" customWidth="1"/>
    <col min="2041" max="2041" width="8.7109375" style="435" customWidth="1"/>
    <col min="2042" max="2042" width="9.42578125" style="435" customWidth="1"/>
    <col min="2043" max="2044" width="8.85546875" style="435" customWidth="1"/>
    <col min="2045" max="2045" width="9.28515625" style="435" customWidth="1"/>
    <col min="2046" max="2046" width="9.42578125" style="435" customWidth="1"/>
    <col min="2047" max="2047" width="66.7109375" style="435" customWidth="1"/>
    <col min="2048" max="2289" width="8.85546875" style="435"/>
    <col min="2290" max="2290" width="3.5703125" style="435" customWidth="1"/>
    <col min="2291" max="2291" width="11" style="435" customWidth="1"/>
    <col min="2292" max="2292" width="10.42578125" style="435" customWidth="1"/>
    <col min="2293" max="2293" width="32.42578125" style="435" customWidth="1"/>
    <col min="2294" max="2294" width="9.5703125" style="435" customWidth="1"/>
    <col min="2295" max="2295" width="8.7109375" style="435" customWidth="1"/>
    <col min="2296" max="2296" width="9.85546875" style="435" customWidth="1"/>
    <col min="2297" max="2297" width="8.7109375" style="435" customWidth="1"/>
    <col min="2298" max="2298" width="9.42578125" style="435" customWidth="1"/>
    <col min="2299" max="2300" width="8.85546875" style="435" customWidth="1"/>
    <col min="2301" max="2301" width="9.28515625" style="435" customWidth="1"/>
    <col min="2302" max="2302" width="9.42578125" style="435" customWidth="1"/>
    <col min="2303" max="2303" width="66.7109375" style="435" customWidth="1"/>
    <col min="2304" max="2545" width="8.85546875" style="435"/>
    <col min="2546" max="2546" width="3.5703125" style="435" customWidth="1"/>
    <col min="2547" max="2547" width="11" style="435" customWidth="1"/>
    <col min="2548" max="2548" width="10.42578125" style="435" customWidth="1"/>
    <col min="2549" max="2549" width="32.42578125" style="435" customWidth="1"/>
    <col min="2550" max="2550" width="9.5703125" style="435" customWidth="1"/>
    <col min="2551" max="2551" width="8.7109375" style="435" customWidth="1"/>
    <col min="2552" max="2552" width="9.85546875" style="435" customWidth="1"/>
    <col min="2553" max="2553" width="8.7109375" style="435" customWidth="1"/>
    <col min="2554" max="2554" width="9.42578125" style="435" customWidth="1"/>
    <col min="2555" max="2556" width="8.85546875" style="435" customWidth="1"/>
    <col min="2557" max="2557" width="9.28515625" style="435" customWidth="1"/>
    <col min="2558" max="2558" width="9.42578125" style="435" customWidth="1"/>
    <col min="2559" max="2559" width="66.7109375" style="435" customWidth="1"/>
    <col min="2560" max="2801" width="8.85546875" style="435"/>
    <col min="2802" max="2802" width="3.5703125" style="435" customWidth="1"/>
    <col min="2803" max="2803" width="11" style="435" customWidth="1"/>
    <col min="2804" max="2804" width="10.42578125" style="435" customWidth="1"/>
    <col min="2805" max="2805" width="32.42578125" style="435" customWidth="1"/>
    <col min="2806" max="2806" width="9.5703125" style="435" customWidth="1"/>
    <col min="2807" max="2807" width="8.7109375" style="435" customWidth="1"/>
    <col min="2808" max="2808" width="9.85546875" style="435" customWidth="1"/>
    <col min="2809" max="2809" width="8.7109375" style="435" customWidth="1"/>
    <col min="2810" max="2810" width="9.42578125" style="435" customWidth="1"/>
    <col min="2811" max="2812" width="8.85546875" style="435" customWidth="1"/>
    <col min="2813" max="2813" width="9.28515625" style="435" customWidth="1"/>
    <col min="2814" max="2814" width="9.42578125" style="435" customWidth="1"/>
    <col min="2815" max="2815" width="66.7109375" style="435" customWidth="1"/>
    <col min="2816" max="3057" width="8.85546875" style="435"/>
    <col min="3058" max="3058" width="3.5703125" style="435" customWidth="1"/>
    <col min="3059" max="3059" width="11" style="435" customWidth="1"/>
    <col min="3060" max="3060" width="10.42578125" style="435" customWidth="1"/>
    <col min="3061" max="3061" width="32.42578125" style="435" customWidth="1"/>
    <col min="3062" max="3062" width="9.5703125" style="435" customWidth="1"/>
    <col min="3063" max="3063" width="8.7109375" style="435" customWidth="1"/>
    <col min="3064" max="3064" width="9.85546875" style="435" customWidth="1"/>
    <col min="3065" max="3065" width="8.7109375" style="435" customWidth="1"/>
    <col min="3066" max="3066" width="9.42578125" style="435" customWidth="1"/>
    <col min="3067" max="3068" width="8.85546875" style="435" customWidth="1"/>
    <col min="3069" max="3069" width="9.28515625" style="435" customWidth="1"/>
    <col min="3070" max="3070" width="9.42578125" style="435" customWidth="1"/>
    <col min="3071" max="3071" width="66.7109375" style="435" customWidth="1"/>
    <col min="3072" max="3313" width="8.85546875" style="435"/>
    <col min="3314" max="3314" width="3.5703125" style="435" customWidth="1"/>
    <col min="3315" max="3315" width="11" style="435" customWidth="1"/>
    <col min="3316" max="3316" width="10.42578125" style="435" customWidth="1"/>
    <col min="3317" max="3317" width="32.42578125" style="435" customWidth="1"/>
    <col min="3318" max="3318" width="9.5703125" style="435" customWidth="1"/>
    <col min="3319" max="3319" width="8.7109375" style="435" customWidth="1"/>
    <col min="3320" max="3320" width="9.85546875" style="435" customWidth="1"/>
    <col min="3321" max="3321" width="8.7109375" style="435" customWidth="1"/>
    <col min="3322" max="3322" width="9.42578125" style="435" customWidth="1"/>
    <col min="3323" max="3324" width="8.85546875" style="435" customWidth="1"/>
    <col min="3325" max="3325" width="9.28515625" style="435" customWidth="1"/>
    <col min="3326" max="3326" width="9.42578125" style="435" customWidth="1"/>
    <col min="3327" max="3327" width="66.7109375" style="435" customWidth="1"/>
    <col min="3328" max="3569" width="8.85546875" style="435"/>
    <col min="3570" max="3570" width="3.5703125" style="435" customWidth="1"/>
    <col min="3571" max="3571" width="11" style="435" customWidth="1"/>
    <col min="3572" max="3572" width="10.42578125" style="435" customWidth="1"/>
    <col min="3573" max="3573" width="32.42578125" style="435" customWidth="1"/>
    <col min="3574" max="3574" width="9.5703125" style="435" customWidth="1"/>
    <col min="3575" max="3575" width="8.7109375" style="435" customWidth="1"/>
    <col min="3576" max="3576" width="9.85546875" style="435" customWidth="1"/>
    <col min="3577" max="3577" width="8.7109375" style="435" customWidth="1"/>
    <col min="3578" max="3578" width="9.42578125" style="435" customWidth="1"/>
    <col min="3579" max="3580" width="8.85546875" style="435" customWidth="1"/>
    <col min="3581" max="3581" width="9.28515625" style="435" customWidth="1"/>
    <col min="3582" max="3582" width="9.42578125" style="435" customWidth="1"/>
    <col min="3583" max="3583" width="66.7109375" style="435" customWidth="1"/>
    <col min="3584" max="3825" width="8.85546875" style="435"/>
    <col min="3826" max="3826" width="3.5703125" style="435" customWidth="1"/>
    <col min="3827" max="3827" width="11" style="435" customWidth="1"/>
    <col min="3828" max="3828" width="10.42578125" style="435" customWidth="1"/>
    <col min="3829" max="3829" width="32.42578125" style="435" customWidth="1"/>
    <col min="3830" max="3830" width="9.5703125" style="435" customWidth="1"/>
    <col min="3831" max="3831" width="8.7109375" style="435" customWidth="1"/>
    <col min="3832" max="3832" width="9.85546875" style="435" customWidth="1"/>
    <col min="3833" max="3833" width="8.7109375" style="435" customWidth="1"/>
    <col min="3834" max="3834" width="9.42578125" style="435" customWidth="1"/>
    <col min="3835" max="3836" width="8.85546875" style="435" customWidth="1"/>
    <col min="3837" max="3837" width="9.28515625" style="435" customWidth="1"/>
    <col min="3838" max="3838" width="9.42578125" style="435" customWidth="1"/>
    <col min="3839" max="3839" width="66.7109375" style="435" customWidth="1"/>
    <col min="3840" max="4081" width="8.85546875" style="435"/>
    <col min="4082" max="4082" width="3.5703125" style="435" customWidth="1"/>
    <col min="4083" max="4083" width="11" style="435" customWidth="1"/>
    <col min="4084" max="4084" width="10.42578125" style="435" customWidth="1"/>
    <col min="4085" max="4085" width="32.42578125" style="435" customWidth="1"/>
    <col min="4086" max="4086" width="9.5703125" style="435" customWidth="1"/>
    <col min="4087" max="4087" width="8.7109375" style="435" customWidth="1"/>
    <col min="4088" max="4088" width="9.85546875" style="435" customWidth="1"/>
    <col min="4089" max="4089" width="8.7109375" style="435" customWidth="1"/>
    <col min="4090" max="4090" width="9.42578125" style="435" customWidth="1"/>
    <col min="4091" max="4092" width="8.85546875" style="435" customWidth="1"/>
    <col min="4093" max="4093" width="9.28515625" style="435" customWidth="1"/>
    <col min="4094" max="4094" width="9.42578125" style="435" customWidth="1"/>
    <col min="4095" max="4095" width="66.7109375" style="435" customWidth="1"/>
    <col min="4096" max="4337" width="8.85546875" style="435"/>
    <col min="4338" max="4338" width="3.5703125" style="435" customWidth="1"/>
    <col min="4339" max="4339" width="11" style="435" customWidth="1"/>
    <col min="4340" max="4340" width="10.42578125" style="435" customWidth="1"/>
    <col min="4341" max="4341" width="32.42578125" style="435" customWidth="1"/>
    <col min="4342" max="4342" width="9.5703125" style="435" customWidth="1"/>
    <col min="4343" max="4343" width="8.7109375" style="435" customWidth="1"/>
    <col min="4344" max="4344" width="9.85546875" style="435" customWidth="1"/>
    <col min="4345" max="4345" width="8.7109375" style="435" customWidth="1"/>
    <col min="4346" max="4346" width="9.42578125" style="435" customWidth="1"/>
    <col min="4347" max="4348" width="8.85546875" style="435" customWidth="1"/>
    <col min="4349" max="4349" width="9.28515625" style="435" customWidth="1"/>
    <col min="4350" max="4350" width="9.42578125" style="435" customWidth="1"/>
    <col min="4351" max="4351" width="66.7109375" style="435" customWidth="1"/>
    <col min="4352" max="4593" width="8.85546875" style="435"/>
    <col min="4594" max="4594" width="3.5703125" style="435" customWidth="1"/>
    <col min="4595" max="4595" width="11" style="435" customWidth="1"/>
    <col min="4596" max="4596" width="10.42578125" style="435" customWidth="1"/>
    <col min="4597" max="4597" width="32.42578125" style="435" customWidth="1"/>
    <col min="4598" max="4598" width="9.5703125" style="435" customWidth="1"/>
    <col min="4599" max="4599" width="8.7109375" style="435" customWidth="1"/>
    <col min="4600" max="4600" width="9.85546875" style="435" customWidth="1"/>
    <col min="4601" max="4601" width="8.7109375" style="435" customWidth="1"/>
    <col min="4602" max="4602" width="9.42578125" style="435" customWidth="1"/>
    <col min="4603" max="4604" width="8.85546875" style="435" customWidth="1"/>
    <col min="4605" max="4605" width="9.28515625" style="435" customWidth="1"/>
    <col min="4606" max="4606" width="9.42578125" style="435" customWidth="1"/>
    <col min="4607" max="4607" width="66.7109375" style="435" customWidth="1"/>
    <col min="4608" max="4849" width="8.85546875" style="435"/>
    <col min="4850" max="4850" width="3.5703125" style="435" customWidth="1"/>
    <col min="4851" max="4851" width="11" style="435" customWidth="1"/>
    <col min="4852" max="4852" width="10.42578125" style="435" customWidth="1"/>
    <col min="4853" max="4853" width="32.42578125" style="435" customWidth="1"/>
    <col min="4854" max="4854" width="9.5703125" style="435" customWidth="1"/>
    <col min="4855" max="4855" width="8.7109375" style="435" customWidth="1"/>
    <col min="4856" max="4856" width="9.85546875" style="435" customWidth="1"/>
    <col min="4857" max="4857" width="8.7109375" style="435" customWidth="1"/>
    <col min="4858" max="4858" width="9.42578125" style="435" customWidth="1"/>
    <col min="4859" max="4860" width="8.85546875" style="435" customWidth="1"/>
    <col min="4861" max="4861" width="9.28515625" style="435" customWidth="1"/>
    <col min="4862" max="4862" width="9.42578125" style="435" customWidth="1"/>
    <col min="4863" max="4863" width="66.7109375" style="435" customWidth="1"/>
    <col min="4864" max="5105" width="8.85546875" style="435"/>
    <col min="5106" max="5106" width="3.5703125" style="435" customWidth="1"/>
    <col min="5107" max="5107" width="11" style="435" customWidth="1"/>
    <col min="5108" max="5108" width="10.42578125" style="435" customWidth="1"/>
    <col min="5109" max="5109" width="32.42578125" style="435" customWidth="1"/>
    <col min="5110" max="5110" width="9.5703125" style="435" customWidth="1"/>
    <col min="5111" max="5111" width="8.7109375" style="435" customWidth="1"/>
    <col min="5112" max="5112" width="9.85546875" style="435" customWidth="1"/>
    <col min="5113" max="5113" width="8.7109375" style="435" customWidth="1"/>
    <col min="5114" max="5114" width="9.42578125" style="435" customWidth="1"/>
    <col min="5115" max="5116" width="8.85546875" style="435" customWidth="1"/>
    <col min="5117" max="5117" width="9.28515625" style="435" customWidth="1"/>
    <col min="5118" max="5118" width="9.42578125" style="435" customWidth="1"/>
    <col min="5119" max="5119" width="66.7109375" style="435" customWidth="1"/>
    <col min="5120" max="5361" width="8.85546875" style="435"/>
    <col min="5362" max="5362" width="3.5703125" style="435" customWidth="1"/>
    <col min="5363" max="5363" width="11" style="435" customWidth="1"/>
    <col min="5364" max="5364" width="10.42578125" style="435" customWidth="1"/>
    <col min="5365" max="5365" width="32.42578125" style="435" customWidth="1"/>
    <col min="5366" max="5366" width="9.5703125" style="435" customWidth="1"/>
    <col min="5367" max="5367" width="8.7109375" style="435" customWidth="1"/>
    <col min="5368" max="5368" width="9.85546875" style="435" customWidth="1"/>
    <col min="5369" max="5369" width="8.7109375" style="435" customWidth="1"/>
    <col min="5370" max="5370" width="9.42578125" style="435" customWidth="1"/>
    <col min="5371" max="5372" width="8.85546875" style="435" customWidth="1"/>
    <col min="5373" max="5373" width="9.28515625" style="435" customWidth="1"/>
    <col min="5374" max="5374" width="9.42578125" style="435" customWidth="1"/>
    <col min="5375" max="5375" width="66.7109375" style="435" customWidth="1"/>
    <col min="5376" max="5617" width="8.85546875" style="435"/>
    <col min="5618" max="5618" width="3.5703125" style="435" customWidth="1"/>
    <col min="5619" max="5619" width="11" style="435" customWidth="1"/>
    <col min="5620" max="5620" width="10.42578125" style="435" customWidth="1"/>
    <col min="5621" max="5621" width="32.42578125" style="435" customWidth="1"/>
    <col min="5622" max="5622" width="9.5703125" style="435" customWidth="1"/>
    <col min="5623" max="5623" width="8.7109375" style="435" customWidth="1"/>
    <col min="5624" max="5624" width="9.85546875" style="435" customWidth="1"/>
    <col min="5625" max="5625" width="8.7109375" style="435" customWidth="1"/>
    <col min="5626" max="5626" width="9.42578125" style="435" customWidth="1"/>
    <col min="5627" max="5628" width="8.85546875" style="435" customWidth="1"/>
    <col min="5629" max="5629" width="9.28515625" style="435" customWidth="1"/>
    <col min="5630" max="5630" width="9.42578125" style="435" customWidth="1"/>
    <col min="5631" max="5631" width="66.7109375" style="435" customWidth="1"/>
    <col min="5632" max="5873" width="8.85546875" style="435"/>
    <col min="5874" max="5874" width="3.5703125" style="435" customWidth="1"/>
    <col min="5875" max="5875" width="11" style="435" customWidth="1"/>
    <col min="5876" max="5876" width="10.42578125" style="435" customWidth="1"/>
    <col min="5877" max="5877" width="32.42578125" style="435" customWidth="1"/>
    <col min="5878" max="5878" width="9.5703125" style="435" customWidth="1"/>
    <col min="5879" max="5879" width="8.7109375" style="435" customWidth="1"/>
    <col min="5880" max="5880" width="9.85546875" style="435" customWidth="1"/>
    <col min="5881" max="5881" width="8.7109375" style="435" customWidth="1"/>
    <col min="5882" max="5882" width="9.42578125" style="435" customWidth="1"/>
    <col min="5883" max="5884" width="8.85546875" style="435" customWidth="1"/>
    <col min="5885" max="5885" width="9.28515625" style="435" customWidth="1"/>
    <col min="5886" max="5886" width="9.42578125" style="435" customWidth="1"/>
    <col min="5887" max="5887" width="66.7109375" style="435" customWidth="1"/>
    <col min="5888" max="6129" width="8.85546875" style="435"/>
    <col min="6130" max="6130" width="3.5703125" style="435" customWidth="1"/>
    <col min="6131" max="6131" width="11" style="435" customWidth="1"/>
    <col min="6132" max="6132" width="10.42578125" style="435" customWidth="1"/>
    <col min="6133" max="6133" width="32.42578125" style="435" customWidth="1"/>
    <col min="6134" max="6134" width="9.5703125" style="435" customWidth="1"/>
    <col min="6135" max="6135" width="8.7109375" style="435" customWidth="1"/>
    <col min="6136" max="6136" width="9.85546875" style="435" customWidth="1"/>
    <col min="6137" max="6137" width="8.7109375" style="435" customWidth="1"/>
    <col min="6138" max="6138" width="9.42578125" style="435" customWidth="1"/>
    <col min="6139" max="6140" width="8.85546875" style="435" customWidth="1"/>
    <col min="6141" max="6141" width="9.28515625" style="435" customWidth="1"/>
    <col min="6142" max="6142" width="9.42578125" style="435" customWidth="1"/>
    <col min="6143" max="6143" width="66.7109375" style="435" customWidth="1"/>
    <col min="6144" max="6385" width="8.85546875" style="435"/>
    <col min="6386" max="6386" width="3.5703125" style="435" customWidth="1"/>
    <col min="6387" max="6387" width="11" style="435" customWidth="1"/>
    <col min="6388" max="6388" width="10.42578125" style="435" customWidth="1"/>
    <col min="6389" max="6389" width="32.42578125" style="435" customWidth="1"/>
    <col min="6390" max="6390" width="9.5703125" style="435" customWidth="1"/>
    <col min="6391" max="6391" width="8.7109375" style="435" customWidth="1"/>
    <col min="6392" max="6392" width="9.85546875" style="435" customWidth="1"/>
    <col min="6393" max="6393" width="8.7109375" style="435" customWidth="1"/>
    <col min="6394" max="6394" width="9.42578125" style="435" customWidth="1"/>
    <col min="6395" max="6396" width="8.85546875" style="435" customWidth="1"/>
    <col min="6397" max="6397" width="9.28515625" style="435" customWidth="1"/>
    <col min="6398" max="6398" width="9.42578125" style="435" customWidth="1"/>
    <col min="6399" max="6399" width="66.7109375" style="435" customWidth="1"/>
    <col min="6400" max="6641" width="8.85546875" style="435"/>
    <col min="6642" max="6642" width="3.5703125" style="435" customWidth="1"/>
    <col min="6643" max="6643" width="11" style="435" customWidth="1"/>
    <col min="6644" max="6644" width="10.42578125" style="435" customWidth="1"/>
    <col min="6645" max="6645" width="32.42578125" style="435" customWidth="1"/>
    <col min="6646" max="6646" width="9.5703125" style="435" customWidth="1"/>
    <col min="6647" max="6647" width="8.7109375" style="435" customWidth="1"/>
    <col min="6648" max="6648" width="9.85546875" style="435" customWidth="1"/>
    <col min="6649" max="6649" width="8.7109375" style="435" customWidth="1"/>
    <col min="6650" max="6650" width="9.42578125" style="435" customWidth="1"/>
    <col min="6651" max="6652" width="8.85546875" style="435" customWidth="1"/>
    <col min="6653" max="6653" width="9.28515625" style="435" customWidth="1"/>
    <col min="6654" max="6654" width="9.42578125" style="435" customWidth="1"/>
    <col min="6655" max="6655" width="66.7109375" style="435" customWidth="1"/>
    <col min="6656" max="6897" width="8.85546875" style="435"/>
    <col min="6898" max="6898" width="3.5703125" style="435" customWidth="1"/>
    <col min="6899" max="6899" width="11" style="435" customWidth="1"/>
    <col min="6900" max="6900" width="10.42578125" style="435" customWidth="1"/>
    <col min="6901" max="6901" width="32.42578125" style="435" customWidth="1"/>
    <col min="6902" max="6902" width="9.5703125" style="435" customWidth="1"/>
    <col min="6903" max="6903" width="8.7109375" style="435" customWidth="1"/>
    <col min="6904" max="6904" width="9.85546875" style="435" customWidth="1"/>
    <col min="6905" max="6905" width="8.7109375" style="435" customWidth="1"/>
    <col min="6906" max="6906" width="9.42578125" style="435" customWidth="1"/>
    <col min="6907" max="6908" width="8.85546875" style="435" customWidth="1"/>
    <col min="6909" max="6909" width="9.28515625" style="435" customWidth="1"/>
    <col min="6910" max="6910" width="9.42578125" style="435" customWidth="1"/>
    <col min="6911" max="6911" width="66.7109375" style="435" customWidth="1"/>
    <col min="6912" max="7153" width="8.85546875" style="435"/>
    <col min="7154" max="7154" width="3.5703125" style="435" customWidth="1"/>
    <col min="7155" max="7155" width="11" style="435" customWidth="1"/>
    <col min="7156" max="7156" width="10.42578125" style="435" customWidth="1"/>
    <col min="7157" max="7157" width="32.42578125" style="435" customWidth="1"/>
    <col min="7158" max="7158" width="9.5703125" style="435" customWidth="1"/>
    <col min="7159" max="7159" width="8.7109375" style="435" customWidth="1"/>
    <col min="7160" max="7160" width="9.85546875" style="435" customWidth="1"/>
    <col min="7161" max="7161" width="8.7109375" style="435" customWidth="1"/>
    <col min="7162" max="7162" width="9.42578125" style="435" customWidth="1"/>
    <col min="7163" max="7164" width="8.85546875" style="435" customWidth="1"/>
    <col min="7165" max="7165" width="9.28515625" style="435" customWidth="1"/>
    <col min="7166" max="7166" width="9.42578125" style="435" customWidth="1"/>
    <col min="7167" max="7167" width="66.7109375" style="435" customWidth="1"/>
    <col min="7168" max="7409" width="8.85546875" style="435"/>
    <col min="7410" max="7410" width="3.5703125" style="435" customWidth="1"/>
    <col min="7411" max="7411" width="11" style="435" customWidth="1"/>
    <col min="7412" max="7412" width="10.42578125" style="435" customWidth="1"/>
    <col min="7413" max="7413" width="32.42578125" style="435" customWidth="1"/>
    <col min="7414" max="7414" width="9.5703125" style="435" customWidth="1"/>
    <col min="7415" max="7415" width="8.7109375" style="435" customWidth="1"/>
    <col min="7416" max="7416" width="9.85546875" style="435" customWidth="1"/>
    <col min="7417" max="7417" width="8.7109375" style="435" customWidth="1"/>
    <col min="7418" max="7418" width="9.42578125" style="435" customWidth="1"/>
    <col min="7419" max="7420" width="8.85546875" style="435" customWidth="1"/>
    <col min="7421" max="7421" width="9.28515625" style="435" customWidth="1"/>
    <col min="7422" max="7422" width="9.42578125" style="435" customWidth="1"/>
    <col min="7423" max="7423" width="66.7109375" style="435" customWidth="1"/>
    <col min="7424" max="7665" width="8.85546875" style="435"/>
    <col min="7666" max="7666" width="3.5703125" style="435" customWidth="1"/>
    <col min="7667" max="7667" width="11" style="435" customWidth="1"/>
    <col min="7668" max="7668" width="10.42578125" style="435" customWidth="1"/>
    <col min="7669" max="7669" width="32.42578125" style="435" customWidth="1"/>
    <col min="7670" max="7670" width="9.5703125" style="435" customWidth="1"/>
    <col min="7671" max="7671" width="8.7109375" style="435" customWidth="1"/>
    <col min="7672" max="7672" width="9.85546875" style="435" customWidth="1"/>
    <col min="7673" max="7673" width="8.7109375" style="435" customWidth="1"/>
    <col min="7674" max="7674" width="9.42578125" style="435" customWidth="1"/>
    <col min="7675" max="7676" width="8.85546875" style="435" customWidth="1"/>
    <col min="7677" max="7677" width="9.28515625" style="435" customWidth="1"/>
    <col min="7678" max="7678" width="9.42578125" style="435" customWidth="1"/>
    <col min="7679" max="7679" width="66.7109375" style="435" customWidth="1"/>
    <col min="7680" max="7921" width="8.85546875" style="435"/>
    <col min="7922" max="7922" width="3.5703125" style="435" customWidth="1"/>
    <col min="7923" max="7923" width="11" style="435" customWidth="1"/>
    <col min="7924" max="7924" width="10.42578125" style="435" customWidth="1"/>
    <col min="7925" max="7925" width="32.42578125" style="435" customWidth="1"/>
    <col min="7926" max="7926" width="9.5703125" style="435" customWidth="1"/>
    <col min="7927" max="7927" width="8.7109375" style="435" customWidth="1"/>
    <col min="7928" max="7928" width="9.85546875" style="435" customWidth="1"/>
    <col min="7929" max="7929" width="8.7109375" style="435" customWidth="1"/>
    <col min="7930" max="7930" width="9.42578125" style="435" customWidth="1"/>
    <col min="7931" max="7932" width="8.85546875" style="435" customWidth="1"/>
    <col min="7933" max="7933" width="9.28515625" style="435" customWidth="1"/>
    <col min="7934" max="7934" width="9.42578125" style="435" customWidth="1"/>
    <col min="7935" max="7935" width="66.7109375" style="435" customWidth="1"/>
    <col min="7936" max="8177" width="8.85546875" style="435"/>
    <col min="8178" max="8178" width="3.5703125" style="435" customWidth="1"/>
    <col min="8179" max="8179" width="11" style="435" customWidth="1"/>
    <col min="8180" max="8180" width="10.42578125" style="435" customWidth="1"/>
    <col min="8181" max="8181" width="32.42578125" style="435" customWidth="1"/>
    <col min="8182" max="8182" width="9.5703125" style="435" customWidth="1"/>
    <col min="8183" max="8183" width="8.7109375" style="435" customWidth="1"/>
    <col min="8184" max="8184" width="9.85546875" style="435" customWidth="1"/>
    <col min="8185" max="8185" width="8.7109375" style="435" customWidth="1"/>
    <col min="8186" max="8186" width="9.42578125" style="435" customWidth="1"/>
    <col min="8187" max="8188" width="8.85546875" style="435" customWidth="1"/>
    <col min="8189" max="8189" width="9.28515625" style="435" customWidth="1"/>
    <col min="8190" max="8190" width="9.42578125" style="435" customWidth="1"/>
    <col min="8191" max="8191" width="66.7109375" style="435" customWidth="1"/>
    <col min="8192" max="8433" width="8.85546875" style="435"/>
    <col min="8434" max="8434" width="3.5703125" style="435" customWidth="1"/>
    <col min="8435" max="8435" width="11" style="435" customWidth="1"/>
    <col min="8436" max="8436" width="10.42578125" style="435" customWidth="1"/>
    <col min="8437" max="8437" width="32.42578125" style="435" customWidth="1"/>
    <col min="8438" max="8438" width="9.5703125" style="435" customWidth="1"/>
    <col min="8439" max="8439" width="8.7109375" style="435" customWidth="1"/>
    <col min="8440" max="8440" width="9.85546875" style="435" customWidth="1"/>
    <col min="8441" max="8441" width="8.7109375" style="435" customWidth="1"/>
    <col min="8442" max="8442" width="9.42578125" style="435" customWidth="1"/>
    <col min="8443" max="8444" width="8.85546875" style="435" customWidth="1"/>
    <col min="8445" max="8445" width="9.28515625" style="435" customWidth="1"/>
    <col min="8446" max="8446" width="9.42578125" style="435" customWidth="1"/>
    <col min="8447" max="8447" width="66.7109375" style="435" customWidth="1"/>
    <col min="8448" max="8689" width="8.85546875" style="435"/>
    <col min="8690" max="8690" width="3.5703125" style="435" customWidth="1"/>
    <col min="8691" max="8691" width="11" style="435" customWidth="1"/>
    <col min="8692" max="8692" width="10.42578125" style="435" customWidth="1"/>
    <col min="8693" max="8693" width="32.42578125" style="435" customWidth="1"/>
    <col min="8694" max="8694" width="9.5703125" style="435" customWidth="1"/>
    <col min="8695" max="8695" width="8.7109375" style="435" customWidth="1"/>
    <col min="8696" max="8696" width="9.85546875" style="435" customWidth="1"/>
    <col min="8697" max="8697" width="8.7109375" style="435" customWidth="1"/>
    <col min="8698" max="8698" width="9.42578125" style="435" customWidth="1"/>
    <col min="8699" max="8700" width="8.85546875" style="435" customWidth="1"/>
    <col min="8701" max="8701" width="9.28515625" style="435" customWidth="1"/>
    <col min="8702" max="8702" width="9.42578125" style="435" customWidth="1"/>
    <col min="8703" max="8703" width="66.7109375" style="435" customWidth="1"/>
    <col min="8704" max="8945" width="8.85546875" style="435"/>
    <col min="8946" max="8946" width="3.5703125" style="435" customWidth="1"/>
    <col min="8947" max="8947" width="11" style="435" customWidth="1"/>
    <col min="8948" max="8948" width="10.42578125" style="435" customWidth="1"/>
    <col min="8949" max="8949" width="32.42578125" style="435" customWidth="1"/>
    <col min="8950" max="8950" width="9.5703125" style="435" customWidth="1"/>
    <col min="8951" max="8951" width="8.7109375" style="435" customWidth="1"/>
    <col min="8952" max="8952" width="9.85546875" style="435" customWidth="1"/>
    <col min="8953" max="8953" width="8.7109375" style="435" customWidth="1"/>
    <col min="8954" max="8954" width="9.42578125" style="435" customWidth="1"/>
    <col min="8955" max="8956" width="8.85546875" style="435" customWidth="1"/>
    <col min="8957" max="8957" width="9.28515625" style="435" customWidth="1"/>
    <col min="8958" max="8958" width="9.42578125" style="435" customWidth="1"/>
    <col min="8959" max="8959" width="66.7109375" style="435" customWidth="1"/>
    <col min="8960" max="9201" width="8.85546875" style="435"/>
    <col min="9202" max="9202" width="3.5703125" style="435" customWidth="1"/>
    <col min="9203" max="9203" width="11" style="435" customWidth="1"/>
    <col min="9204" max="9204" width="10.42578125" style="435" customWidth="1"/>
    <col min="9205" max="9205" width="32.42578125" style="435" customWidth="1"/>
    <col min="9206" max="9206" width="9.5703125" style="435" customWidth="1"/>
    <col min="9207" max="9207" width="8.7109375" style="435" customWidth="1"/>
    <col min="9208" max="9208" width="9.85546875" style="435" customWidth="1"/>
    <col min="9209" max="9209" width="8.7109375" style="435" customWidth="1"/>
    <col min="9210" max="9210" width="9.42578125" style="435" customWidth="1"/>
    <col min="9211" max="9212" width="8.85546875" style="435" customWidth="1"/>
    <col min="9213" max="9213" width="9.28515625" style="435" customWidth="1"/>
    <col min="9214" max="9214" width="9.42578125" style="435" customWidth="1"/>
    <col min="9215" max="9215" width="66.7109375" style="435" customWidth="1"/>
    <col min="9216" max="9457" width="8.85546875" style="435"/>
    <col min="9458" max="9458" width="3.5703125" style="435" customWidth="1"/>
    <col min="9459" max="9459" width="11" style="435" customWidth="1"/>
    <col min="9460" max="9460" width="10.42578125" style="435" customWidth="1"/>
    <col min="9461" max="9461" width="32.42578125" style="435" customWidth="1"/>
    <col min="9462" max="9462" width="9.5703125" style="435" customWidth="1"/>
    <col min="9463" max="9463" width="8.7109375" style="435" customWidth="1"/>
    <col min="9464" max="9464" width="9.85546875" style="435" customWidth="1"/>
    <col min="9465" max="9465" width="8.7109375" style="435" customWidth="1"/>
    <col min="9466" max="9466" width="9.42578125" style="435" customWidth="1"/>
    <col min="9467" max="9468" width="8.85546875" style="435" customWidth="1"/>
    <col min="9469" max="9469" width="9.28515625" style="435" customWidth="1"/>
    <col min="9470" max="9470" width="9.42578125" style="435" customWidth="1"/>
    <col min="9471" max="9471" width="66.7109375" style="435" customWidth="1"/>
    <col min="9472" max="9713" width="8.85546875" style="435"/>
    <col min="9714" max="9714" width="3.5703125" style="435" customWidth="1"/>
    <col min="9715" max="9715" width="11" style="435" customWidth="1"/>
    <col min="9716" max="9716" width="10.42578125" style="435" customWidth="1"/>
    <col min="9717" max="9717" width="32.42578125" style="435" customWidth="1"/>
    <col min="9718" max="9718" width="9.5703125" style="435" customWidth="1"/>
    <col min="9719" max="9719" width="8.7109375" style="435" customWidth="1"/>
    <col min="9720" max="9720" width="9.85546875" style="435" customWidth="1"/>
    <col min="9721" max="9721" width="8.7109375" style="435" customWidth="1"/>
    <col min="9722" max="9722" width="9.42578125" style="435" customWidth="1"/>
    <col min="9723" max="9724" width="8.85546875" style="435" customWidth="1"/>
    <col min="9725" max="9725" width="9.28515625" style="435" customWidth="1"/>
    <col min="9726" max="9726" width="9.42578125" style="435" customWidth="1"/>
    <col min="9727" max="9727" width="66.7109375" style="435" customWidth="1"/>
    <col min="9728" max="9969" width="8.85546875" style="435"/>
    <col min="9970" max="9970" width="3.5703125" style="435" customWidth="1"/>
    <col min="9971" max="9971" width="11" style="435" customWidth="1"/>
    <col min="9972" max="9972" width="10.42578125" style="435" customWidth="1"/>
    <col min="9973" max="9973" width="32.42578125" style="435" customWidth="1"/>
    <col min="9974" max="9974" width="9.5703125" style="435" customWidth="1"/>
    <col min="9975" max="9975" width="8.7109375" style="435" customWidth="1"/>
    <col min="9976" max="9976" width="9.85546875" style="435" customWidth="1"/>
    <col min="9977" max="9977" width="8.7109375" style="435" customWidth="1"/>
    <col min="9978" max="9978" width="9.42578125" style="435" customWidth="1"/>
    <col min="9979" max="9980" width="8.85546875" style="435" customWidth="1"/>
    <col min="9981" max="9981" width="9.28515625" style="435" customWidth="1"/>
    <col min="9982" max="9982" width="9.42578125" style="435" customWidth="1"/>
    <col min="9983" max="9983" width="66.7109375" style="435" customWidth="1"/>
    <col min="9984" max="10225" width="8.85546875" style="435"/>
    <col min="10226" max="10226" width="3.5703125" style="435" customWidth="1"/>
    <col min="10227" max="10227" width="11" style="435" customWidth="1"/>
    <col min="10228" max="10228" width="10.42578125" style="435" customWidth="1"/>
    <col min="10229" max="10229" width="32.42578125" style="435" customWidth="1"/>
    <col min="10230" max="10230" width="9.5703125" style="435" customWidth="1"/>
    <col min="10231" max="10231" width="8.7109375" style="435" customWidth="1"/>
    <col min="10232" max="10232" width="9.85546875" style="435" customWidth="1"/>
    <col min="10233" max="10233" width="8.7109375" style="435" customWidth="1"/>
    <col min="10234" max="10234" width="9.42578125" style="435" customWidth="1"/>
    <col min="10235" max="10236" width="8.85546875" style="435" customWidth="1"/>
    <col min="10237" max="10237" width="9.28515625" style="435" customWidth="1"/>
    <col min="10238" max="10238" width="9.42578125" style="435" customWidth="1"/>
    <col min="10239" max="10239" width="66.7109375" style="435" customWidth="1"/>
    <col min="10240" max="10481" width="8.85546875" style="435"/>
    <col min="10482" max="10482" width="3.5703125" style="435" customWidth="1"/>
    <col min="10483" max="10483" width="11" style="435" customWidth="1"/>
    <col min="10484" max="10484" width="10.42578125" style="435" customWidth="1"/>
    <col min="10485" max="10485" width="32.42578125" style="435" customWidth="1"/>
    <col min="10486" max="10486" width="9.5703125" style="435" customWidth="1"/>
    <col min="10487" max="10487" width="8.7109375" style="435" customWidth="1"/>
    <col min="10488" max="10488" width="9.85546875" style="435" customWidth="1"/>
    <col min="10489" max="10489" width="8.7109375" style="435" customWidth="1"/>
    <col min="10490" max="10490" width="9.42578125" style="435" customWidth="1"/>
    <col min="10491" max="10492" width="8.85546875" style="435" customWidth="1"/>
    <col min="10493" max="10493" width="9.28515625" style="435" customWidth="1"/>
    <col min="10494" max="10494" width="9.42578125" style="435" customWidth="1"/>
    <col min="10495" max="10495" width="66.7109375" style="435" customWidth="1"/>
    <col min="10496" max="10737" width="8.85546875" style="435"/>
    <col min="10738" max="10738" width="3.5703125" style="435" customWidth="1"/>
    <col min="10739" max="10739" width="11" style="435" customWidth="1"/>
    <col min="10740" max="10740" width="10.42578125" style="435" customWidth="1"/>
    <col min="10741" max="10741" width="32.42578125" style="435" customWidth="1"/>
    <col min="10742" max="10742" width="9.5703125" style="435" customWidth="1"/>
    <col min="10743" max="10743" width="8.7109375" style="435" customWidth="1"/>
    <col min="10744" max="10744" width="9.85546875" style="435" customWidth="1"/>
    <col min="10745" max="10745" width="8.7109375" style="435" customWidth="1"/>
    <col min="10746" max="10746" width="9.42578125" style="435" customWidth="1"/>
    <col min="10747" max="10748" width="8.85546875" style="435" customWidth="1"/>
    <col min="10749" max="10749" width="9.28515625" style="435" customWidth="1"/>
    <col min="10750" max="10750" width="9.42578125" style="435" customWidth="1"/>
    <col min="10751" max="10751" width="66.7109375" style="435" customWidth="1"/>
    <col min="10752" max="10993" width="8.85546875" style="435"/>
    <col min="10994" max="10994" width="3.5703125" style="435" customWidth="1"/>
    <col min="10995" max="10995" width="11" style="435" customWidth="1"/>
    <col min="10996" max="10996" width="10.42578125" style="435" customWidth="1"/>
    <col min="10997" max="10997" width="32.42578125" style="435" customWidth="1"/>
    <col min="10998" max="10998" width="9.5703125" style="435" customWidth="1"/>
    <col min="10999" max="10999" width="8.7109375" style="435" customWidth="1"/>
    <col min="11000" max="11000" width="9.85546875" style="435" customWidth="1"/>
    <col min="11001" max="11001" width="8.7109375" style="435" customWidth="1"/>
    <col min="11002" max="11002" width="9.42578125" style="435" customWidth="1"/>
    <col min="11003" max="11004" width="8.85546875" style="435" customWidth="1"/>
    <col min="11005" max="11005" width="9.28515625" style="435" customWidth="1"/>
    <col min="11006" max="11006" width="9.42578125" style="435" customWidth="1"/>
    <col min="11007" max="11007" width="66.7109375" style="435" customWidth="1"/>
    <col min="11008" max="11249" width="8.85546875" style="435"/>
    <col min="11250" max="11250" width="3.5703125" style="435" customWidth="1"/>
    <col min="11251" max="11251" width="11" style="435" customWidth="1"/>
    <col min="11252" max="11252" width="10.42578125" style="435" customWidth="1"/>
    <col min="11253" max="11253" width="32.42578125" style="435" customWidth="1"/>
    <col min="11254" max="11254" width="9.5703125" style="435" customWidth="1"/>
    <col min="11255" max="11255" width="8.7109375" style="435" customWidth="1"/>
    <col min="11256" max="11256" width="9.85546875" style="435" customWidth="1"/>
    <col min="11257" max="11257" width="8.7109375" style="435" customWidth="1"/>
    <col min="11258" max="11258" width="9.42578125" style="435" customWidth="1"/>
    <col min="11259" max="11260" width="8.85546875" style="435" customWidth="1"/>
    <col min="11261" max="11261" width="9.28515625" style="435" customWidth="1"/>
    <col min="11262" max="11262" width="9.42578125" style="435" customWidth="1"/>
    <col min="11263" max="11263" width="66.7109375" style="435" customWidth="1"/>
    <col min="11264" max="11505" width="8.85546875" style="435"/>
    <col min="11506" max="11506" width="3.5703125" style="435" customWidth="1"/>
    <col min="11507" max="11507" width="11" style="435" customWidth="1"/>
    <col min="11508" max="11508" width="10.42578125" style="435" customWidth="1"/>
    <col min="11509" max="11509" width="32.42578125" style="435" customWidth="1"/>
    <col min="11510" max="11510" width="9.5703125" style="435" customWidth="1"/>
    <col min="11511" max="11511" width="8.7109375" style="435" customWidth="1"/>
    <col min="11512" max="11512" width="9.85546875" style="435" customWidth="1"/>
    <col min="11513" max="11513" width="8.7109375" style="435" customWidth="1"/>
    <col min="11514" max="11514" width="9.42578125" style="435" customWidth="1"/>
    <col min="11515" max="11516" width="8.85546875" style="435" customWidth="1"/>
    <col min="11517" max="11517" width="9.28515625" style="435" customWidth="1"/>
    <col min="11518" max="11518" width="9.42578125" style="435" customWidth="1"/>
    <col min="11519" max="11519" width="66.7109375" style="435" customWidth="1"/>
    <col min="11520" max="11761" width="8.85546875" style="435"/>
    <col min="11762" max="11762" width="3.5703125" style="435" customWidth="1"/>
    <col min="11763" max="11763" width="11" style="435" customWidth="1"/>
    <col min="11764" max="11764" width="10.42578125" style="435" customWidth="1"/>
    <col min="11765" max="11765" width="32.42578125" style="435" customWidth="1"/>
    <col min="11766" max="11766" width="9.5703125" style="435" customWidth="1"/>
    <col min="11767" max="11767" width="8.7109375" style="435" customWidth="1"/>
    <col min="11768" max="11768" width="9.85546875" style="435" customWidth="1"/>
    <col min="11769" max="11769" width="8.7109375" style="435" customWidth="1"/>
    <col min="11770" max="11770" width="9.42578125" style="435" customWidth="1"/>
    <col min="11771" max="11772" width="8.85546875" style="435" customWidth="1"/>
    <col min="11773" max="11773" width="9.28515625" style="435" customWidth="1"/>
    <col min="11774" max="11774" width="9.42578125" style="435" customWidth="1"/>
    <col min="11775" max="11775" width="66.7109375" style="435" customWidth="1"/>
    <col min="11776" max="12017" width="8.85546875" style="435"/>
    <col min="12018" max="12018" width="3.5703125" style="435" customWidth="1"/>
    <col min="12019" max="12019" width="11" style="435" customWidth="1"/>
    <col min="12020" max="12020" width="10.42578125" style="435" customWidth="1"/>
    <col min="12021" max="12021" width="32.42578125" style="435" customWidth="1"/>
    <col min="12022" max="12022" width="9.5703125" style="435" customWidth="1"/>
    <col min="12023" max="12023" width="8.7109375" style="435" customWidth="1"/>
    <col min="12024" max="12024" width="9.85546875" style="435" customWidth="1"/>
    <col min="12025" max="12025" width="8.7109375" style="435" customWidth="1"/>
    <col min="12026" max="12026" width="9.42578125" style="435" customWidth="1"/>
    <col min="12027" max="12028" width="8.85546875" style="435" customWidth="1"/>
    <col min="12029" max="12029" width="9.28515625" style="435" customWidth="1"/>
    <col min="12030" max="12030" width="9.42578125" style="435" customWidth="1"/>
    <col min="12031" max="12031" width="66.7109375" style="435" customWidth="1"/>
    <col min="12032" max="12273" width="8.85546875" style="435"/>
    <col min="12274" max="12274" width="3.5703125" style="435" customWidth="1"/>
    <col min="12275" max="12275" width="11" style="435" customWidth="1"/>
    <col min="12276" max="12276" width="10.42578125" style="435" customWidth="1"/>
    <col min="12277" max="12277" width="32.42578125" style="435" customWidth="1"/>
    <col min="12278" max="12278" width="9.5703125" style="435" customWidth="1"/>
    <col min="12279" max="12279" width="8.7109375" style="435" customWidth="1"/>
    <col min="12280" max="12280" width="9.85546875" style="435" customWidth="1"/>
    <col min="12281" max="12281" width="8.7109375" style="435" customWidth="1"/>
    <col min="12282" max="12282" width="9.42578125" style="435" customWidth="1"/>
    <col min="12283" max="12284" width="8.85546875" style="435" customWidth="1"/>
    <col min="12285" max="12285" width="9.28515625" style="435" customWidth="1"/>
    <col min="12286" max="12286" width="9.42578125" style="435" customWidth="1"/>
    <col min="12287" max="12287" width="66.7109375" style="435" customWidth="1"/>
    <col min="12288" max="12529" width="8.85546875" style="435"/>
    <col min="12530" max="12530" width="3.5703125" style="435" customWidth="1"/>
    <col min="12531" max="12531" width="11" style="435" customWidth="1"/>
    <col min="12532" max="12532" width="10.42578125" style="435" customWidth="1"/>
    <col min="12533" max="12533" width="32.42578125" style="435" customWidth="1"/>
    <col min="12534" max="12534" width="9.5703125" style="435" customWidth="1"/>
    <col min="12535" max="12535" width="8.7109375" style="435" customWidth="1"/>
    <col min="12536" max="12536" width="9.85546875" style="435" customWidth="1"/>
    <col min="12537" max="12537" width="8.7109375" style="435" customWidth="1"/>
    <col min="12538" max="12538" width="9.42578125" style="435" customWidth="1"/>
    <col min="12539" max="12540" width="8.85546875" style="435" customWidth="1"/>
    <col min="12541" max="12541" width="9.28515625" style="435" customWidth="1"/>
    <col min="12542" max="12542" width="9.42578125" style="435" customWidth="1"/>
    <col min="12543" max="12543" width="66.7109375" style="435" customWidth="1"/>
    <col min="12544" max="12785" width="8.85546875" style="435"/>
    <col min="12786" max="12786" width="3.5703125" style="435" customWidth="1"/>
    <col min="12787" max="12787" width="11" style="435" customWidth="1"/>
    <col min="12788" max="12788" width="10.42578125" style="435" customWidth="1"/>
    <col min="12789" max="12789" width="32.42578125" style="435" customWidth="1"/>
    <col min="12790" max="12790" width="9.5703125" style="435" customWidth="1"/>
    <col min="12791" max="12791" width="8.7109375" style="435" customWidth="1"/>
    <col min="12792" max="12792" width="9.85546875" style="435" customWidth="1"/>
    <col min="12793" max="12793" width="8.7109375" style="435" customWidth="1"/>
    <col min="12794" max="12794" width="9.42578125" style="435" customWidth="1"/>
    <col min="12795" max="12796" width="8.85546875" style="435" customWidth="1"/>
    <col min="12797" max="12797" width="9.28515625" style="435" customWidth="1"/>
    <col min="12798" max="12798" width="9.42578125" style="435" customWidth="1"/>
    <col min="12799" max="12799" width="66.7109375" style="435" customWidth="1"/>
    <col min="12800" max="13041" width="8.85546875" style="435"/>
    <col min="13042" max="13042" width="3.5703125" style="435" customWidth="1"/>
    <col min="13043" max="13043" width="11" style="435" customWidth="1"/>
    <col min="13044" max="13044" width="10.42578125" style="435" customWidth="1"/>
    <col min="13045" max="13045" width="32.42578125" style="435" customWidth="1"/>
    <col min="13046" max="13046" width="9.5703125" style="435" customWidth="1"/>
    <col min="13047" max="13047" width="8.7109375" style="435" customWidth="1"/>
    <col min="13048" max="13048" width="9.85546875" style="435" customWidth="1"/>
    <col min="13049" max="13049" width="8.7109375" style="435" customWidth="1"/>
    <col min="13050" max="13050" width="9.42578125" style="435" customWidth="1"/>
    <col min="13051" max="13052" width="8.85546875" style="435" customWidth="1"/>
    <col min="13053" max="13053" width="9.28515625" style="435" customWidth="1"/>
    <col min="13054" max="13054" width="9.42578125" style="435" customWidth="1"/>
    <col min="13055" max="13055" width="66.7109375" style="435" customWidth="1"/>
    <col min="13056" max="13297" width="8.85546875" style="435"/>
    <col min="13298" max="13298" width="3.5703125" style="435" customWidth="1"/>
    <col min="13299" max="13299" width="11" style="435" customWidth="1"/>
    <col min="13300" max="13300" width="10.42578125" style="435" customWidth="1"/>
    <col min="13301" max="13301" width="32.42578125" style="435" customWidth="1"/>
    <col min="13302" max="13302" width="9.5703125" style="435" customWidth="1"/>
    <col min="13303" max="13303" width="8.7109375" style="435" customWidth="1"/>
    <col min="13304" max="13304" width="9.85546875" style="435" customWidth="1"/>
    <col min="13305" max="13305" width="8.7109375" style="435" customWidth="1"/>
    <col min="13306" max="13306" width="9.42578125" style="435" customWidth="1"/>
    <col min="13307" max="13308" width="8.85546875" style="435" customWidth="1"/>
    <col min="13309" max="13309" width="9.28515625" style="435" customWidth="1"/>
    <col min="13310" max="13310" width="9.42578125" style="435" customWidth="1"/>
    <col min="13311" max="13311" width="66.7109375" style="435" customWidth="1"/>
    <col min="13312" max="13553" width="8.85546875" style="435"/>
    <col min="13554" max="13554" width="3.5703125" style="435" customWidth="1"/>
    <col min="13555" max="13555" width="11" style="435" customWidth="1"/>
    <col min="13556" max="13556" width="10.42578125" style="435" customWidth="1"/>
    <col min="13557" max="13557" width="32.42578125" style="435" customWidth="1"/>
    <col min="13558" max="13558" width="9.5703125" style="435" customWidth="1"/>
    <col min="13559" max="13559" width="8.7109375" style="435" customWidth="1"/>
    <col min="13560" max="13560" width="9.85546875" style="435" customWidth="1"/>
    <col min="13561" max="13561" width="8.7109375" style="435" customWidth="1"/>
    <col min="13562" max="13562" width="9.42578125" style="435" customWidth="1"/>
    <col min="13563" max="13564" width="8.85546875" style="435" customWidth="1"/>
    <col min="13565" max="13565" width="9.28515625" style="435" customWidth="1"/>
    <col min="13566" max="13566" width="9.42578125" style="435" customWidth="1"/>
    <col min="13567" max="13567" width="66.7109375" style="435" customWidth="1"/>
    <col min="13568" max="13809" width="8.85546875" style="435"/>
    <col min="13810" max="13810" width="3.5703125" style="435" customWidth="1"/>
    <col min="13811" max="13811" width="11" style="435" customWidth="1"/>
    <col min="13812" max="13812" width="10.42578125" style="435" customWidth="1"/>
    <col min="13813" max="13813" width="32.42578125" style="435" customWidth="1"/>
    <col min="13814" max="13814" width="9.5703125" style="435" customWidth="1"/>
    <col min="13815" max="13815" width="8.7109375" style="435" customWidth="1"/>
    <col min="13816" max="13816" width="9.85546875" style="435" customWidth="1"/>
    <col min="13817" max="13817" width="8.7109375" style="435" customWidth="1"/>
    <col min="13818" max="13818" width="9.42578125" style="435" customWidth="1"/>
    <col min="13819" max="13820" width="8.85546875" style="435" customWidth="1"/>
    <col min="13821" max="13821" width="9.28515625" style="435" customWidth="1"/>
    <col min="13822" max="13822" width="9.42578125" style="435" customWidth="1"/>
    <col min="13823" max="13823" width="66.7109375" style="435" customWidth="1"/>
    <col min="13824" max="14065" width="8.85546875" style="435"/>
    <col min="14066" max="14066" width="3.5703125" style="435" customWidth="1"/>
    <col min="14067" max="14067" width="11" style="435" customWidth="1"/>
    <col min="14068" max="14068" width="10.42578125" style="435" customWidth="1"/>
    <col min="14069" max="14069" width="32.42578125" style="435" customWidth="1"/>
    <col min="14070" max="14070" width="9.5703125" style="435" customWidth="1"/>
    <col min="14071" max="14071" width="8.7109375" style="435" customWidth="1"/>
    <col min="14072" max="14072" width="9.85546875" style="435" customWidth="1"/>
    <col min="14073" max="14073" width="8.7109375" style="435" customWidth="1"/>
    <col min="14074" max="14074" width="9.42578125" style="435" customWidth="1"/>
    <col min="14075" max="14076" width="8.85546875" style="435" customWidth="1"/>
    <col min="14077" max="14077" width="9.28515625" style="435" customWidth="1"/>
    <col min="14078" max="14078" width="9.42578125" style="435" customWidth="1"/>
    <col min="14079" max="14079" width="66.7109375" style="435" customWidth="1"/>
    <col min="14080" max="14321" width="8.85546875" style="435"/>
    <col min="14322" max="14322" width="3.5703125" style="435" customWidth="1"/>
    <col min="14323" max="14323" width="11" style="435" customWidth="1"/>
    <col min="14324" max="14324" width="10.42578125" style="435" customWidth="1"/>
    <col min="14325" max="14325" width="32.42578125" style="435" customWidth="1"/>
    <col min="14326" max="14326" width="9.5703125" style="435" customWidth="1"/>
    <col min="14327" max="14327" width="8.7109375" style="435" customWidth="1"/>
    <col min="14328" max="14328" width="9.85546875" style="435" customWidth="1"/>
    <col min="14329" max="14329" width="8.7109375" style="435" customWidth="1"/>
    <col min="14330" max="14330" width="9.42578125" style="435" customWidth="1"/>
    <col min="14331" max="14332" width="8.85546875" style="435" customWidth="1"/>
    <col min="14333" max="14333" width="9.28515625" style="435" customWidth="1"/>
    <col min="14334" max="14334" width="9.42578125" style="435" customWidth="1"/>
    <col min="14335" max="14335" width="66.7109375" style="435" customWidth="1"/>
    <col min="14336" max="14577" width="8.85546875" style="435"/>
    <col min="14578" max="14578" width="3.5703125" style="435" customWidth="1"/>
    <col min="14579" max="14579" width="11" style="435" customWidth="1"/>
    <col min="14580" max="14580" width="10.42578125" style="435" customWidth="1"/>
    <col min="14581" max="14581" width="32.42578125" style="435" customWidth="1"/>
    <col min="14582" max="14582" width="9.5703125" style="435" customWidth="1"/>
    <col min="14583" max="14583" width="8.7109375" style="435" customWidth="1"/>
    <col min="14584" max="14584" width="9.85546875" style="435" customWidth="1"/>
    <col min="14585" max="14585" width="8.7109375" style="435" customWidth="1"/>
    <col min="14586" max="14586" width="9.42578125" style="435" customWidth="1"/>
    <col min="14587" max="14588" width="8.85546875" style="435" customWidth="1"/>
    <col min="14589" max="14589" width="9.28515625" style="435" customWidth="1"/>
    <col min="14590" max="14590" width="9.42578125" style="435" customWidth="1"/>
    <col min="14591" max="14591" width="66.7109375" style="435" customWidth="1"/>
    <col min="14592" max="14833" width="8.85546875" style="435"/>
    <col min="14834" max="14834" width="3.5703125" style="435" customWidth="1"/>
    <col min="14835" max="14835" width="11" style="435" customWidth="1"/>
    <col min="14836" max="14836" width="10.42578125" style="435" customWidth="1"/>
    <col min="14837" max="14837" width="32.42578125" style="435" customWidth="1"/>
    <col min="14838" max="14838" width="9.5703125" style="435" customWidth="1"/>
    <col min="14839" max="14839" width="8.7109375" style="435" customWidth="1"/>
    <col min="14840" max="14840" width="9.85546875" style="435" customWidth="1"/>
    <col min="14841" max="14841" width="8.7109375" style="435" customWidth="1"/>
    <col min="14842" max="14842" width="9.42578125" style="435" customWidth="1"/>
    <col min="14843" max="14844" width="8.85546875" style="435" customWidth="1"/>
    <col min="14845" max="14845" width="9.28515625" style="435" customWidth="1"/>
    <col min="14846" max="14846" width="9.42578125" style="435" customWidth="1"/>
    <col min="14847" max="14847" width="66.7109375" style="435" customWidth="1"/>
    <col min="14848" max="15089" width="8.85546875" style="435"/>
    <col min="15090" max="15090" width="3.5703125" style="435" customWidth="1"/>
    <col min="15091" max="15091" width="11" style="435" customWidth="1"/>
    <col min="15092" max="15092" width="10.42578125" style="435" customWidth="1"/>
    <col min="15093" max="15093" width="32.42578125" style="435" customWidth="1"/>
    <col min="15094" max="15094" width="9.5703125" style="435" customWidth="1"/>
    <col min="15095" max="15095" width="8.7109375" style="435" customWidth="1"/>
    <col min="15096" max="15096" width="9.85546875" style="435" customWidth="1"/>
    <col min="15097" max="15097" width="8.7109375" style="435" customWidth="1"/>
    <col min="15098" max="15098" width="9.42578125" style="435" customWidth="1"/>
    <col min="15099" max="15100" width="8.85546875" style="435" customWidth="1"/>
    <col min="15101" max="15101" width="9.28515625" style="435" customWidth="1"/>
    <col min="15102" max="15102" width="9.42578125" style="435" customWidth="1"/>
    <col min="15103" max="15103" width="66.7109375" style="435" customWidth="1"/>
    <col min="15104" max="15345" width="8.85546875" style="435"/>
    <col min="15346" max="15346" width="3.5703125" style="435" customWidth="1"/>
    <col min="15347" max="15347" width="11" style="435" customWidth="1"/>
    <col min="15348" max="15348" width="10.42578125" style="435" customWidth="1"/>
    <col min="15349" max="15349" width="32.42578125" style="435" customWidth="1"/>
    <col min="15350" max="15350" width="9.5703125" style="435" customWidth="1"/>
    <col min="15351" max="15351" width="8.7109375" style="435" customWidth="1"/>
    <col min="15352" max="15352" width="9.85546875" style="435" customWidth="1"/>
    <col min="15353" max="15353" width="8.7109375" style="435" customWidth="1"/>
    <col min="15354" max="15354" width="9.42578125" style="435" customWidth="1"/>
    <col min="15355" max="15356" width="8.85546875" style="435" customWidth="1"/>
    <col min="15357" max="15357" width="9.28515625" style="435" customWidth="1"/>
    <col min="15358" max="15358" width="9.42578125" style="435" customWidth="1"/>
    <col min="15359" max="15359" width="66.7109375" style="435" customWidth="1"/>
    <col min="15360" max="15601" width="8.85546875" style="435"/>
    <col min="15602" max="15602" width="3.5703125" style="435" customWidth="1"/>
    <col min="15603" max="15603" width="11" style="435" customWidth="1"/>
    <col min="15604" max="15604" width="10.42578125" style="435" customWidth="1"/>
    <col min="15605" max="15605" width="32.42578125" style="435" customWidth="1"/>
    <col min="15606" max="15606" width="9.5703125" style="435" customWidth="1"/>
    <col min="15607" max="15607" width="8.7109375" style="435" customWidth="1"/>
    <col min="15608" max="15608" width="9.85546875" style="435" customWidth="1"/>
    <col min="15609" max="15609" width="8.7109375" style="435" customWidth="1"/>
    <col min="15610" max="15610" width="9.42578125" style="435" customWidth="1"/>
    <col min="15611" max="15612" width="8.85546875" style="435" customWidth="1"/>
    <col min="15613" max="15613" width="9.28515625" style="435" customWidth="1"/>
    <col min="15614" max="15614" width="9.42578125" style="435" customWidth="1"/>
    <col min="15615" max="15615" width="66.7109375" style="435" customWidth="1"/>
    <col min="15616" max="15857" width="8.85546875" style="435"/>
    <col min="15858" max="15858" width="3.5703125" style="435" customWidth="1"/>
    <col min="15859" max="15859" width="11" style="435" customWidth="1"/>
    <col min="15860" max="15860" width="10.42578125" style="435" customWidth="1"/>
    <col min="15861" max="15861" width="32.42578125" style="435" customWidth="1"/>
    <col min="15862" max="15862" width="9.5703125" style="435" customWidth="1"/>
    <col min="15863" max="15863" width="8.7109375" style="435" customWidth="1"/>
    <col min="15864" max="15864" width="9.85546875" style="435" customWidth="1"/>
    <col min="15865" max="15865" width="8.7109375" style="435" customWidth="1"/>
    <col min="15866" max="15866" width="9.42578125" style="435" customWidth="1"/>
    <col min="15867" max="15868" width="8.85546875" style="435" customWidth="1"/>
    <col min="15869" max="15869" width="9.28515625" style="435" customWidth="1"/>
    <col min="15870" max="15870" width="9.42578125" style="435" customWidth="1"/>
    <col min="15871" max="15871" width="66.7109375" style="435" customWidth="1"/>
    <col min="15872" max="16113" width="8.85546875" style="435"/>
    <col min="16114" max="16114" width="3.5703125" style="435" customWidth="1"/>
    <col min="16115" max="16115" width="11" style="435" customWidth="1"/>
    <col min="16116" max="16116" width="10.42578125" style="435" customWidth="1"/>
    <col min="16117" max="16117" width="32.42578125" style="435" customWidth="1"/>
    <col min="16118" max="16118" width="9.5703125" style="435" customWidth="1"/>
    <col min="16119" max="16119" width="8.7109375" style="435" customWidth="1"/>
    <col min="16120" max="16120" width="9.85546875" style="435" customWidth="1"/>
    <col min="16121" max="16121" width="8.7109375" style="435" customWidth="1"/>
    <col min="16122" max="16122" width="9.42578125" style="435" customWidth="1"/>
    <col min="16123" max="16124" width="8.85546875" style="435" customWidth="1"/>
    <col min="16125" max="16125" width="9.28515625" style="435" customWidth="1"/>
    <col min="16126" max="16126" width="9.42578125" style="435" customWidth="1"/>
    <col min="16127" max="16127" width="66.7109375" style="435" customWidth="1"/>
    <col min="16128" max="16384" width="8.85546875" style="435"/>
  </cols>
  <sheetData>
    <row r="1" spans="1:17" x14ac:dyDescent="0.2">
      <c r="O1" s="436" t="s">
        <v>1009</v>
      </c>
    </row>
    <row r="2" spans="1:17" ht="31.5" customHeight="1" x14ac:dyDescent="0.2">
      <c r="A2" s="1658" t="s">
        <v>785</v>
      </c>
      <c r="B2" s="1658"/>
      <c r="C2" s="1658"/>
      <c r="D2" s="1658"/>
      <c r="E2" s="1658"/>
      <c r="F2" s="1658"/>
      <c r="G2" s="1658"/>
      <c r="H2" s="1658"/>
      <c r="I2" s="1658"/>
      <c r="J2" s="1658"/>
      <c r="K2" s="1658"/>
      <c r="L2" s="1658"/>
      <c r="M2" s="1658"/>
      <c r="N2" s="1658"/>
      <c r="O2" s="1658"/>
    </row>
    <row r="3" spans="1:17" ht="14.25" customHeight="1" x14ac:dyDescent="0.25">
      <c r="B3" s="1659"/>
      <c r="C3" s="1659"/>
      <c r="D3" s="1659"/>
      <c r="E3" s="437"/>
      <c r="F3" s="437"/>
      <c r="G3" s="437"/>
      <c r="H3" s="438"/>
      <c r="O3" s="439" t="s">
        <v>0</v>
      </c>
    </row>
    <row r="4" spans="1:17" ht="17.100000000000001" customHeight="1" x14ac:dyDescent="0.2">
      <c r="A4" s="1647" t="s">
        <v>1</v>
      </c>
      <c r="B4" s="1647"/>
      <c r="C4" s="1647" t="s">
        <v>77</v>
      </c>
      <c r="D4" s="1647"/>
      <c r="E4" s="1660" t="s">
        <v>562</v>
      </c>
      <c r="F4" s="440" t="s">
        <v>187</v>
      </c>
      <c r="G4" s="1661" t="s">
        <v>563</v>
      </c>
      <c r="H4" s="440" t="s">
        <v>187</v>
      </c>
      <c r="I4" s="1660" t="s">
        <v>564</v>
      </c>
      <c r="J4" s="440" t="s">
        <v>187</v>
      </c>
      <c r="K4" s="1660" t="s">
        <v>64</v>
      </c>
      <c r="L4" s="440" t="s">
        <v>187</v>
      </c>
      <c r="M4" s="1662" t="s">
        <v>798</v>
      </c>
      <c r="N4" s="1662" t="s">
        <v>807</v>
      </c>
      <c r="O4" s="1663" t="s">
        <v>190</v>
      </c>
    </row>
    <row r="5" spans="1:17" ht="44.25" customHeight="1" x14ac:dyDescent="0.2">
      <c r="A5" s="441" t="s">
        <v>78</v>
      </c>
      <c r="B5" s="442" t="s">
        <v>81</v>
      </c>
      <c r="C5" s="441" t="s">
        <v>78</v>
      </c>
      <c r="D5" s="442" t="s">
        <v>81</v>
      </c>
      <c r="E5" s="1660"/>
      <c r="F5" s="443" t="s">
        <v>59</v>
      </c>
      <c r="G5" s="1661"/>
      <c r="H5" s="443" t="s">
        <v>59</v>
      </c>
      <c r="I5" s="1660"/>
      <c r="J5" s="443" t="s">
        <v>59</v>
      </c>
      <c r="K5" s="1660"/>
      <c r="L5" s="443" t="s">
        <v>59</v>
      </c>
      <c r="M5" s="1662"/>
      <c r="N5" s="1662"/>
      <c r="O5" s="1663"/>
    </row>
    <row r="6" spans="1:17" s="447" customFormat="1" ht="12" customHeight="1" x14ac:dyDescent="0.2">
      <c r="A6" s="569">
        <v>1</v>
      </c>
      <c r="B6" s="569">
        <v>2</v>
      </c>
      <c r="C6" s="569">
        <v>3</v>
      </c>
      <c r="D6" s="569">
        <v>4</v>
      </c>
      <c r="E6" s="444">
        <v>5</v>
      </c>
      <c r="F6" s="442">
        <v>6</v>
      </c>
      <c r="G6" s="444">
        <v>7</v>
      </c>
      <c r="H6" s="442">
        <v>8</v>
      </c>
      <c r="I6" s="444">
        <v>9</v>
      </c>
      <c r="J6" s="442">
        <v>10</v>
      </c>
      <c r="K6" s="444">
        <v>11</v>
      </c>
      <c r="L6" s="442">
        <v>12</v>
      </c>
      <c r="M6" s="445">
        <v>13</v>
      </c>
      <c r="N6" s="445">
        <v>14</v>
      </c>
      <c r="O6" s="446">
        <v>15</v>
      </c>
    </row>
    <row r="7" spans="1:17" s="452" customFormat="1" ht="14.25" customHeight="1" x14ac:dyDescent="0.2">
      <c r="A7" s="1639" t="s">
        <v>419</v>
      </c>
      <c r="B7" s="1638" t="s">
        <v>637</v>
      </c>
      <c r="C7" s="1641" t="s">
        <v>784</v>
      </c>
      <c r="D7" s="1641"/>
      <c r="E7" s="448"/>
      <c r="F7" s="449"/>
      <c r="G7" s="448"/>
      <c r="H7" s="449"/>
      <c r="I7" s="448"/>
      <c r="J7" s="449"/>
      <c r="K7" s="448"/>
      <c r="L7" s="449"/>
      <c r="M7" s="450"/>
      <c r="N7" s="450"/>
      <c r="O7" s="451"/>
    </row>
    <row r="8" spans="1:17" s="452" customFormat="1" ht="12.75" customHeight="1" x14ac:dyDescent="0.2">
      <c r="A8" s="1639"/>
      <c r="B8" s="1638"/>
      <c r="C8" s="1638" t="s">
        <v>638</v>
      </c>
      <c r="D8" s="453" t="s">
        <v>783</v>
      </c>
      <c r="E8" s="454">
        <f>+F8</f>
        <v>39657.199999999997</v>
      </c>
      <c r="F8" s="455">
        <v>39657.199999999997</v>
      </c>
      <c r="G8" s="456">
        <f>+H8</f>
        <v>43213.4</v>
      </c>
      <c r="H8" s="457">
        <v>43213.4</v>
      </c>
      <c r="I8" s="456">
        <f t="shared" ref="I8:I28" si="0">+J8</f>
        <v>66400</v>
      </c>
      <c r="J8" s="458">
        <v>66400</v>
      </c>
      <c r="K8" s="459">
        <v>60000</v>
      </c>
      <c r="L8" s="455">
        <v>60000</v>
      </c>
      <c r="M8" s="573">
        <f>+K8-I8</f>
        <v>-6400</v>
      </c>
      <c r="N8" s="573">
        <f>+K8-E8</f>
        <v>20342.800000000003</v>
      </c>
      <c r="O8" s="460" t="s">
        <v>949</v>
      </c>
      <c r="Q8" s="461">
        <f>+K8-I8-M8</f>
        <v>0</v>
      </c>
    </row>
    <row r="9" spans="1:17" s="452" customFormat="1" x14ac:dyDescent="0.2">
      <c r="A9" s="1639"/>
      <c r="B9" s="1638"/>
      <c r="C9" s="1638"/>
      <c r="D9" s="453" t="s">
        <v>639</v>
      </c>
      <c r="E9" s="454">
        <f t="shared" ref="E9:E18" si="1">+F9</f>
        <v>12285.8</v>
      </c>
      <c r="F9" s="455">
        <v>12285.8</v>
      </c>
      <c r="G9" s="456">
        <f t="shared" ref="G9:G18" si="2">+H9</f>
        <v>13066.2</v>
      </c>
      <c r="H9" s="457">
        <v>13066.2</v>
      </c>
      <c r="I9" s="456">
        <f t="shared" si="0"/>
        <v>20200</v>
      </c>
      <c r="J9" s="458">
        <v>20200</v>
      </c>
      <c r="K9" s="459">
        <v>18287.8</v>
      </c>
      <c r="L9" s="455">
        <v>18287.8</v>
      </c>
      <c r="M9" s="573">
        <f t="shared" ref="M9:M35" si="3">+K9-I9</f>
        <v>-1912.2000000000007</v>
      </c>
      <c r="N9" s="573">
        <f t="shared" ref="N9:N71" si="4">+K9-E9</f>
        <v>6002</v>
      </c>
      <c r="O9" s="460" t="s">
        <v>950</v>
      </c>
      <c r="Q9" s="461">
        <f t="shared" ref="Q9:Q71" si="5">+K9-I9-M9</f>
        <v>0</v>
      </c>
    </row>
    <row r="10" spans="1:17" s="452" customFormat="1" ht="33.75" x14ac:dyDescent="0.2">
      <c r="A10" s="1639"/>
      <c r="B10" s="1638"/>
      <c r="C10" s="1638"/>
      <c r="D10" s="453" t="s">
        <v>640</v>
      </c>
      <c r="E10" s="454">
        <f t="shared" si="1"/>
        <v>1512</v>
      </c>
      <c r="F10" s="455">
        <v>1512</v>
      </c>
      <c r="G10" s="456">
        <f t="shared" si="2"/>
        <v>1524.5</v>
      </c>
      <c r="H10" s="457">
        <v>1524.5</v>
      </c>
      <c r="I10" s="456">
        <f t="shared" si="0"/>
        <v>1558.2</v>
      </c>
      <c r="J10" s="458">
        <v>1558.2</v>
      </c>
      <c r="K10" s="459">
        <f t="shared" ref="K10:K19" si="6">+L10</f>
        <v>1000</v>
      </c>
      <c r="L10" s="455">
        <v>1000</v>
      </c>
      <c r="M10" s="573">
        <f t="shared" si="3"/>
        <v>-558.20000000000005</v>
      </c>
      <c r="N10" s="573">
        <f t="shared" si="4"/>
        <v>-512</v>
      </c>
      <c r="O10" s="460" t="s">
        <v>814</v>
      </c>
      <c r="Q10" s="461">
        <f t="shared" si="5"/>
        <v>0</v>
      </c>
    </row>
    <row r="11" spans="1:17" s="452" customFormat="1" ht="101.25" x14ac:dyDescent="0.2">
      <c r="A11" s="1639"/>
      <c r="B11" s="1638"/>
      <c r="C11" s="1638"/>
      <c r="D11" s="453" t="s">
        <v>641</v>
      </c>
      <c r="E11" s="454">
        <f t="shared" si="1"/>
        <v>60.8</v>
      </c>
      <c r="F11" s="455">
        <v>60.8</v>
      </c>
      <c r="G11" s="456">
        <f t="shared" si="2"/>
        <v>67.900000000000006</v>
      </c>
      <c r="H11" s="457">
        <v>67.900000000000006</v>
      </c>
      <c r="I11" s="456">
        <f t="shared" si="0"/>
        <v>61.6</v>
      </c>
      <c r="J11" s="458">
        <v>61.6</v>
      </c>
      <c r="K11" s="459">
        <v>61.6</v>
      </c>
      <c r="L11" s="455">
        <v>61.6</v>
      </c>
      <c r="M11" s="573">
        <f t="shared" si="3"/>
        <v>0</v>
      </c>
      <c r="N11" s="573">
        <f t="shared" si="4"/>
        <v>0.80000000000000426</v>
      </c>
      <c r="O11" s="460" t="s">
        <v>815</v>
      </c>
      <c r="Q11" s="461">
        <f t="shared" si="5"/>
        <v>0</v>
      </c>
    </row>
    <row r="12" spans="1:17" s="452" customFormat="1" ht="67.5" x14ac:dyDescent="0.2">
      <c r="A12" s="1639"/>
      <c r="B12" s="1638"/>
      <c r="C12" s="1638"/>
      <c r="D12" s="453" t="s">
        <v>642</v>
      </c>
      <c r="E12" s="454">
        <f t="shared" si="1"/>
        <v>14.8</v>
      </c>
      <c r="F12" s="455">
        <v>14.8</v>
      </c>
      <c r="G12" s="456">
        <f t="shared" si="2"/>
        <v>21.1</v>
      </c>
      <c r="H12" s="457">
        <v>21.1</v>
      </c>
      <c r="I12" s="456">
        <f t="shared" si="0"/>
        <v>21.3</v>
      </c>
      <c r="J12" s="458">
        <v>21.3</v>
      </c>
      <c r="K12" s="459">
        <f t="shared" si="6"/>
        <v>21.3</v>
      </c>
      <c r="L12" s="455">
        <v>21.3</v>
      </c>
      <c r="M12" s="573">
        <f t="shared" si="3"/>
        <v>0</v>
      </c>
      <c r="N12" s="573">
        <f t="shared" si="4"/>
        <v>6.5</v>
      </c>
      <c r="O12" s="460" t="s">
        <v>816</v>
      </c>
      <c r="Q12" s="461">
        <f t="shared" si="5"/>
        <v>0</v>
      </c>
    </row>
    <row r="13" spans="1:17" s="452" customFormat="1" ht="22.5" x14ac:dyDescent="0.2">
      <c r="A13" s="1639"/>
      <c r="B13" s="1638"/>
      <c r="C13" s="1638"/>
      <c r="D13" s="453" t="s">
        <v>643</v>
      </c>
      <c r="E13" s="454">
        <f t="shared" si="1"/>
        <v>0</v>
      </c>
      <c r="F13" s="455"/>
      <c r="G13" s="456">
        <f t="shared" si="2"/>
        <v>23.3</v>
      </c>
      <c r="H13" s="457">
        <v>23.3</v>
      </c>
      <c r="I13" s="456">
        <f t="shared" si="0"/>
        <v>104</v>
      </c>
      <c r="J13" s="458">
        <v>104</v>
      </c>
      <c r="K13" s="459">
        <f t="shared" si="6"/>
        <v>0</v>
      </c>
      <c r="L13" s="462"/>
      <c r="M13" s="573">
        <f t="shared" si="3"/>
        <v>-104</v>
      </c>
      <c r="N13" s="573">
        <f t="shared" si="4"/>
        <v>0</v>
      </c>
      <c r="O13" s="460" t="s">
        <v>817</v>
      </c>
      <c r="Q13" s="461">
        <f t="shared" si="5"/>
        <v>0</v>
      </c>
    </row>
    <row r="14" spans="1:17" s="452" customFormat="1" ht="22.5" x14ac:dyDescent="0.2">
      <c r="A14" s="1639"/>
      <c r="B14" s="1638"/>
      <c r="C14" s="1638"/>
      <c r="D14" s="453" t="s">
        <v>644</v>
      </c>
      <c r="E14" s="454">
        <f t="shared" si="1"/>
        <v>4317.7</v>
      </c>
      <c r="F14" s="455">
        <v>4317.7</v>
      </c>
      <c r="G14" s="456">
        <f t="shared" si="2"/>
        <v>4509.5</v>
      </c>
      <c r="H14" s="457">
        <v>4509.5</v>
      </c>
      <c r="I14" s="456">
        <f t="shared" si="0"/>
        <v>8058.9</v>
      </c>
      <c r="J14" s="458">
        <v>8058.9</v>
      </c>
      <c r="K14" s="459">
        <v>3405</v>
      </c>
      <c r="L14" s="455">
        <v>3405</v>
      </c>
      <c r="M14" s="573">
        <f t="shared" si="3"/>
        <v>-4653.8999999999996</v>
      </c>
      <c r="N14" s="573">
        <f t="shared" si="4"/>
        <v>-912.69999999999982</v>
      </c>
      <c r="O14" s="460" t="s">
        <v>818</v>
      </c>
      <c r="Q14" s="461">
        <f t="shared" si="5"/>
        <v>0</v>
      </c>
    </row>
    <row r="15" spans="1:17" s="452" customFormat="1" ht="25.5" x14ac:dyDescent="0.2">
      <c r="A15" s="1639"/>
      <c r="B15" s="1638"/>
      <c r="C15" s="1638"/>
      <c r="D15" s="453" t="s">
        <v>645</v>
      </c>
      <c r="E15" s="454">
        <f t="shared" si="1"/>
        <v>1601</v>
      </c>
      <c r="F15" s="455">
        <v>1601</v>
      </c>
      <c r="G15" s="456">
        <f t="shared" si="2"/>
        <v>6097.7</v>
      </c>
      <c r="H15" s="457">
        <v>6097.7</v>
      </c>
      <c r="I15" s="456">
        <f t="shared" si="0"/>
        <v>4579.1000000000004</v>
      </c>
      <c r="J15" s="458">
        <v>4579.1000000000004</v>
      </c>
      <c r="K15" s="459">
        <v>4579.1000000000004</v>
      </c>
      <c r="L15" s="455">
        <v>4579.1000000000004</v>
      </c>
      <c r="M15" s="573">
        <f t="shared" si="3"/>
        <v>0</v>
      </c>
      <c r="N15" s="573">
        <f t="shared" si="4"/>
        <v>2978.1000000000004</v>
      </c>
      <c r="O15" s="460" t="s">
        <v>819</v>
      </c>
      <c r="Q15" s="461">
        <f t="shared" si="5"/>
        <v>0</v>
      </c>
    </row>
    <row r="16" spans="1:17" s="452" customFormat="1" ht="12.75" customHeight="1" x14ac:dyDescent="0.2">
      <c r="A16" s="1639"/>
      <c r="B16" s="1638"/>
      <c r="C16" s="1638"/>
      <c r="D16" s="453" t="s">
        <v>646</v>
      </c>
      <c r="E16" s="454">
        <f t="shared" si="1"/>
        <v>213.9</v>
      </c>
      <c r="F16" s="455">
        <v>213.9</v>
      </c>
      <c r="G16" s="456">
        <f t="shared" si="2"/>
        <v>255.7</v>
      </c>
      <c r="H16" s="457">
        <v>255.7</v>
      </c>
      <c r="I16" s="456">
        <f t="shared" si="0"/>
        <v>0</v>
      </c>
      <c r="J16" s="458"/>
      <c r="K16" s="459">
        <f t="shared" si="6"/>
        <v>0</v>
      </c>
      <c r="L16" s="455"/>
      <c r="M16" s="573">
        <f t="shared" si="3"/>
        <v>0</v>
      </c>
      <c r="N16" s="573">
        <f t="shared" si="4"/>
        <v>-213.9</v>
      </c>
      <c r="O16" s="460"/>
      <c r="Q16" s="461">
        <f t="shared" si="5"/>
        <v>0</v>
      </c>
    </row>
    <row r="17" spans="1:17" s="452" customFormat="1" ht="333" customHeight="1" x14ac:dyDescent="0.2">
      <c r="A17" s="1639" t="s">
        <v>419</v>
      </c>
      <c r="B17" s="1638" t="s">
        <v>637</v>
      </c>
      <c r="C17" s="1638" t="s">
        <v>638</v>
      </c>
      <c r="D17" s="453" t="s">
        <v>647</v>
      </c>
      <c r="E17" s="454">
        <f t="shared" si="1"/>
        <v>206.7</v>
      </c>
      <c r="F17" s="455">
        <v>206.7</v>
      </c>
      <c r="G17" s="456">
        <f t="shared" si="2"/>
        <v>123.1</v>
      </c>
      <c r="H17" s="457">
        <v>123.1</v>
      </c>
      <c r="I17" s="456">
        <f t="shared" si="0"/>
        <v>206.7</v>
      </c>
      <c r="J17" s="458">
        <v>206.7</v>
      </c>
      <c r="K17" s="459">
        <f t="shared" si="6"/>
        <v>206.7</v>
      </c>
      <c r="L17" s="455">
        <v>206.7</v>
      </c>
      <c r="M17" s="573">
        <f t="shared" si="3"/>
        <v>0</v>
      </c>
      <c r="N17" s="573">
        <f t="shared" si="4"/>
        <v>0</v>
      </c>
      <c r="O17" s="460" t="s">
        <v>820</v>
      </c>
      <c r="Q17" s="461">
        <f t="shared" si="5"/>
        <v>0</v>
      </c>
    </row>
    <row r="18" spans="1:17" s="452" customFormat="1" ht="146.25" x14ac:dyDescent="0.2">
      <c r="A18" s="1639"/>
      <c r="B18" s="1638"/>
      <c r="C18" s="1638"/>
      <c r="D18" s="453" t="s">
        <v>648</v>
      </c>
      <c r="E18" s="454">
        <f t="shared" si="1"/>
        <v>136.30000000000001</v>
      </c>
      <c r="F18" s="455">
        <v>136.30000000000001</v>
      </c>
      <c r="G18" s="456">
        <f t="shared" si="2"/>
        <v>128.6</v>
      </c>
      <c r="H18" s="457">
        <v>128.6</v>
      </c>
      <c r="I18" s="456">
        <f t="shared" si="0"/>
        <v>261</v>
      </c>
      <c r="J18" s="458">
        <v>261</v>
      </c>
      <c r="K18" s="459">
        <v>261</v>
      </c>
      <c r="L18" s="455">
        <v>261</v>
      </c>
      <c r="M18" s="573">
        <f t="shared" si="3"/>
        <v>0</v>
      </c>
      <c r="N18" s="573">
        <f t="shared" si="4"/>
        <v>124.69999999999999</v>
      </c>
      <c r="O18" s="460" t="s">
        <v>821</v>
      </c>
      <c r="Q18" s="461">
        <f t="shared" si="5"/>
        <v>0</v>
      </c>
    </row>
    <row r="19" spans="1:17" s="452" customFormat="1" x14ac:dyDescent="0.2">
      <c r="A19" s="1639"/>
      <c r="B19" s="1638"/>
      <c r="C19" s="1638"/>
      <c r="D19" s="453" t="s">
        <v>649</v>
      </c>
      <c r="E19" s="454">
        <f>+E21+E22+E23+E24</f>
        <v>8215.2000000000007</v>
      </c>
      <c r="F19" s="455">
        <f>+F21+F22+F23+F24</f>
        <v>8215.2000000000007</v>
      </c>
      <c r="G19" s="456">
        <f>+H19</f>
        <v>8735.4</v>
      </c>
      <c r="H19" s="457">
        <f>+H21+H22+H23+H24</f>
        <v>8735.4</v>
      </c>
      <c r="I19" s="456">
        <f t="shared" si="0"/>
        <v>11168.3</v>
      </c>
      <c r="J19" s="458">
        <f>+J21+J22+J23+J24</f>
        <v>11168.3</v>
      </c>
      <c r="K19" s="459">
        <f t="shared" si="6"/>
        <v>8368.3000000000011</v>
      </c>
      <c r="L19" s="455">
        <f>+L21+L22+L23+L24</f>
        <v>8368.3000000000011</v>
      </c>
      <c r="M19" s="573">
        <f t="shared" si="3"/>
        <v>-2799.9999999999982</v>
      </c>
      <c r="N19" s="573">
        <f t="shared" si="4"/>
        <v>153.10000000000036</v>
      </c>
      <c r="O19" s="463"/>
      <c r="Q19" s="461">
        <f t="shared" si="5"/>
        <v>0</v>
      </c>
    </row>
    <row r="20" spans="1:17" s="452" customFormat="1" x14ac:dyDescent="0.2">
      <c r="A20" s="1639"/>
      <c r="B20" s="1638"/>
      <c r="C20" s="1638"/>
      <c r="D20" s="453" t="s">
        <v>5</v>
      </c>
      <c r="E20" s="456"/>
      <c r="F20" s="455"/>
      <c r="G20" s="456"/>
      <c r="H20" s="457"/>
      <c r="I20" s="456">
        <f t="shared" si="0"/>
        <v>0</v>
      </c>
      <c r="J20" s="458"/>
      <c r="K20" s="459">
        <f t="shared" ref="K20:K31" si="7">SUM(L20)</f>
        <v>0</v>
      </c>
      <c r="L20" s="455"/>
      <c r="M20" s="573">
        <f t="shared" si="3"/>
        <v>0</v>
      </c>
      <c r="N20" s="573">
        <f t="shared" si="4"/>
        <v>0</v>
      </c>
      <c r="O20" s="463"/>
      <c r="Q20" s="461">
        <f t="shared" si="5"/>
        <v>0</v>
      </c>
    </row>
    <row r="21" spans="1:17" s="452" customFormat="1" x14ac:dyDescent="0.2">
      <c r="A21" s="1639"/>
      <c r="B21" s="1638"/>
      <c r="C21" s="1638"/>
      <c r="D21" s="453" t="s">
        <v>650</v>
      </c>
      <c r="E21" s="456">
        <f>+F21</f>
        <v>4424.6000000000004</v>
      </c>
      <c r="F21" s="455">
        <v>4424.6000000000004</v>
      </c>
      <c r="G21" s="456">
        <f t="shared" ref="G21:G27" si="8">+H21</f>
        <v>4361.8999999999996</v>
      </c>
      <c r="H21" s="457">
        <v>4361.8999999999996</v>
      </c>
      <c r="I21" s="456">
        <f t="shared" si="0"/>
        <v>5916.8</v>
      </c>
      <c r="J21" s="458">
        <v>5916.8</v>
      </c>
      <c r="K21" s="459">
        <v>4516.8</v>
      </c>
      <c r="L21" s="455">
        <v>4516.8</v>
      </c>
      <c r="M21" s="573">
        <f t="shared" si="3"/>
        <v>-1400</v>
      </c>
      <c r="N21" s="573">
        <f t="shared" si="4"/>
        <v>92.199999999999818</v>
      </c>
      <c r="O21" s="535" t="s">
        <v>822</v>
      </c>
      <c r="Q21" s="461">
        <f t="shared" si="5"/>
        <v>0</v>
      </c>
    </row>
    <row r="22" spans="1:17" s="452" customFormat="1" x14ac:dyDescent="0.2">
      <c r="A22" s="1639"/>
      <c r="B22" s="1638"/>
      <c r="C22" s="1638"/>
      <c r="D22" s="453" t="s">
        <v>651</v>
      </c>
      <c r="E22" s="456">
        <f>+F22</f>
        <v>2013.4</v>
      </c>
      <c r="F22" s="455">
        <v>2013.4</v>
      </c>
      <c r="G22" s="456">
        <f t="shared" si="8"/>
        <v>2093.8000000000002</v>
      </c>
      <c r="H22" s="457">
        <v>2093.8000000000002</v>
      </c>
      <c r="I22" s="456">
        <f t="shared" si="0"/>
        <v>2378</v>
      </c>
      <c r="J22" s="458">
        <v>2378</v>
      </c>
      <c r="K22" s="459">
        <v>2378</v>
      </c>
      <c r="L22" s="455">
        <v>2378</v>
      </c>
      <c r="M22" s="573">
        <f t="shared" si="3"/>
        <v>0</v>
      </c>
      <c r="N22" s="573">
        <f t="shared" si="4"/>
        <v>364.59999999999991</v>
      </c>
      <c r="O22" s="535" t="s">
        <v>823</v>
      </c>
      <c r="Q22" s="461">
        <f t="shared" si="5"/>
        <v>0</v>
      </c>
    </row>
    <row r="23" spans="1:17" s="452" customFormat="1" x14ac:dyDescent="0.2">
      <c r="A23" s="1639"/>
      <c r="B23" s="1638"/>
      <c r="C23" s="1638"/>
      <c r="D23" s="453" t="s">
        <v>652</v>
      </c>
      <c r="E23" s="456">
        <f>+F23</f>
        <v>1381.2</v>
      </c>
      <c r="F23" s="455">
        <v>1381.2</v>
      </c>
      <c r="G23" s="456">
        <f t="shared" si="8"/>
        <v>1828.6</v>
      </c>
      <c r="H23" s="457">
        <v>1828.6</v>
      </c>
      <c r="I23" s="456">
        <f t="shared" si="0"/>
        <v>2329.1</v>
      </c>
      <c r="J23" s="458">
        <v>2329.1</v>
      </c>
      <c r="K23" s="459">
        <f t="shared" si="7"/>
        <v>929.1</v>
      </c>
      <c r="L23" s="455">
        <v>929.1</v>
      </c>
      <c r="M23" s="573">
        <f t="shared" si="3"/>
        <v>-1400</v>
      </c>
      <c r="N23" s="573">
        <f t="shared" si="4"/>
        <v>-452.1</v>
      </c>
      <c r="O23" s="536" t="s">
        <v>822</v>
      </c>
      <c r="Q23" s="461"/>
    </row>
    <row r="24" spans="1:17" s="452" customFormat="1" x14ac:dyDescent="0.2">
      <c r="A24" s="1639"/>
      <c r="B24" s="1638"/>
      <c r="C24" s="1638"/>
      <c r="D24" s="453" t="s">
        <v>653</v>
      </c>
      <c r="E24" s="456">
        <f>+F24</f>
        <v>396</v>
      </c>
      <c r="F24" s="455">
        <v>396</v>
      </c>
      <c r="G24" s="456">
        <f t="shared" si="8"/>
        <v>451.1</v>
      </c>
      <c r="H24" s="457">
        <v>451.1</v>
      </c>
      <c r="I24" s="456">
        <f t="shared" si="0"/>
        <v>544.4</v>
      </c>
      <c r="J24" s="458">
        <v>544.4</v>
      </c>
      <c r="K24" s="459">
        <v>544.4</v>
      </c>
      <c r="L24" s="455">
        <v>544.4</v>
      </c>
      <c r="M24" s="573">
        <f t="shared" si="3"/>
        <v>0</v>
      </c>
      <c r="N24" s="573">
        <f t="shared" si="4"/>
        <v>148.39999999999998</v>
      </c>
      <c r="O24" s="535" t="s">
        <v>823</v>
      </c>
      <c r="Q24" s="461">
        <f t="shared" si="5"/>
        <v>0</v>
      </c>
    </row>
    <row r="25" spans="1:17" s="452" customFormat="1" ht="12.75" hidden="1" customHeight="1" x14ac:dyDescent="0.2">
      <c r="A25" s="547"/>
      <c r="B25" s="548"/>
      <c r="C25" s="576"/>
      <c r="D25" s="453" t="s">
        <v>654</v>
      </c>
      <c r="E25" s="456">
        <f>+F25</f>
        <v>0</v>
      </c>
      <c r="F25" s="455"/>
      <c r="G25" s="456">
        <f t="shared" si="8"/>
        <v>0</v>
      </c>
      <c r="H25" s="457"/>
      <c r="I25" s="456">
        <f t="shared" si="0"/>
        <v>0</v>
      </c>
      <c r="J25" s="458"/>
      <c r="K25" s="459">
        <f t="shared" si="7"/>
        <v>0</v>
      </c>
      <c r="L25" s="455"/>
      <c r="M25" s="573">
        <f t="shared" si="3"/>
        <v>0</v>
      </c>
      <c r="N25" s="573">
        <f t="shared" si="4"/>
        <v>0</v>
      </c>
      <c r="O25" s="460"/>
      <c r="Q25" s="461">
        <f t="shared" si="5"/>
        <v>0</v>
      </c>
    </row>
    <row r="26" spans="1:17" s="452" customFormat="1" ht="326.25" x14ac:dyDescent="0.2">
      <c r="A26" s="1639" t="s">
        <v>848</v>
      </c>
      <c r="B26" s="1638" t="s">
        <v>637</v>
      </c>
      <c r="C26" s="576"/>
      <c r="D26" s="453" t="s">
        <v>655</v>
      </c>
      <c r="E26" s="456">
        <f t="shared" ref="E26:E33" si="9">+F26</f>
        <v>3233.2</v>
      </c>
      <c r="F26" s="458">
        <v>3233.2</v>
      </c>
      <c r="G26" s="456">
        <f t="shared" si="8"/>
        <v>838</v>
      </c>
      <c r="H26" s="458">
        <f>2438-1600</f>
        <v>838</v>
      </c>
      <c r="I26" s="456">
        <f t="shared" si="0"/>
        <v>1607.5</v>
      </c>
      <c r="J26" s="458">
        <v>1607.5</v>
      </c>
      <c r="K26" s="459">
        <f t="shared" si="7"/>
        <v>1607.5</v>
      </c>
      <c r="L26" s="458">
        <v>1607.5</v>
      </c>
      <c r="M26" s="573">
        <f t="shared" si="3"/>
        <v>0</v>
      </c>
      <c r="N26" s="573">
        <f t="shared" si="4"/>
        <v>-1625.6999999999998</v>
      </c>
      <c r="O26" s="460" t="s">
        <v>825</v>
      </c>
      <c r="Q26" s="461">
        <f t="shared" si="5"/>
        <v>0</v>
      </c>
    </row>
    <row r="27" spans="1:17" s="452" customFormat="1" ht="22.5" x14ac:dyDescent="0.2">
      <c r="A27" s="1639"/>
      <c r="B27" s="1638"/>
      <c r="C27" s="576"/>
      <c r="D27" s="453" t="s">
        <v>654</v>
      </c>
      <c r="E27" s="456">
        <f t="shared" si="9"/>
        <v>251.3</v>
      </c>
      <c r="F27" s="458">
        <v>251.3</v>
      </c>
      <c r="G27" s="456">
        <f t="shared" si="8"/>
        <v>320.10000000000002</v>
      </c>
      <c r="H27" s="458">
        <v>320.10000000000002</v>
      </c>
      <c r="I27" s="456">
        <f>+J27</f>
        <v>203.5</v>
      </c>
      <c r="J27" s="458">
        <v>203.5</v>
      </c>
      <c r="K27" s="459">
        <f t="shared" si="7"/>
        <v>203.5</v>
      </c>
      <c r="L27" s="458">
        <v>203.5</v>
      </c>
      <c r="M27" s="573">
        <f t="shared" si="3"/>
        <v>0</v>
      </c>
      <c r="N27" s="573">
        <f t="shared" si="4"/>
        <v>-47.800000000000011</v>
      </c>
      <c r="O27" s="460" t="s">
        <v>824</v>
      </c>
      <c r="Q27" s="461">
        <f t="shared" si="5"/>
        <v>0</v>
      </c>
    </row>
    <row r="28" spans="1:17" s="452" customFormat="1" ht="12.75" hidden="1" customHeight="1" x14ac:dyDescent="0.2">
      <c r="A28" s="1639"/>
      <c r="B28" s="1638"/>
      <c r="C28" s="576"/>
      <c r="D28" s="453" t="s">
        <v>656</v>
      </c>
      <c r="E28" s="456">
        <f t="shared" si="9"/>
        <v>0</v>
      </c>
      <c r="F28" s="458">
        <v>0</v>
      </c>
      <c r="G28" s="456">
        <v>0</v>
      </c>
      <c r="H28" s="458">
        <v>0</v>
      </c>
      <c r="I28" s="456">
        <f t="shared" si="0"/>
        <v>0</v>
      </c>
      <c r="J28" s="458"/>
      <c r="K28" s="459">
        <f t="shared" si="7"/>
        <v>0</v>
      </c>
      <c r="L28" s="458"/>
      <c r="M28" s="573">
        <f t="shared" si="3"/>
        <v>0</v>
      </c>
      <c r="N28" s="573">
        <f t="shared" si="4"/>
        <v>0</v>
      </c>
      <c r="O28" s="460"/>
      <c r="Q28" s="461">
        <f t="shared" si="5"/>
        <v>0</v>
      </c>
    </row>
    <row r="29" spans="1:17" s="452" customFormat="1" ht="25.5" x14ac:dyDescent="0.2">
      <c r="A29" s="1639"/>
      <c r="B29" s="1638"/>
      <c r="C29" s="576"/>
      <c r="D29" s="453" t="s">
        <v>657</v>
      </c>
      <c r="E29" s="456">
        <f t="shared" si="9"/>
        <v>6400</v>
      </c>
      <c r="F29" s="455">
        <v>6400</v>
      </c>
      <c r="G29" s="456">
        <f>+H29</f>
        <v>6672.6</v>
      </c>
      <c r="H29" s="458">
        <v>6672.6</v>
      </c>
      <c r="I29" s="456">
        <f>+J29</f>
        <v>5788.8</v>
      </c>
      <c r="J29" s="458">
        <v>5788.8</v>
      </c>
      <c r="K29" s="459">
        <v>4500</v>
      </c>
      <c r="L29" s="458">
        <v>4500</v>
      </c>
      <c r="M29" s="573">
        <f t="shared" si="3"/>
        <v>-1288.8000000000002</v>
      </c>
      <c r="N29" s="573">
        <f t="shared" si="4"/>
        <v>-1900</v>
      </c>
      <c r="O29" s="460" t="s">
        <v>1011</v>
      </c>
      <c r="Q29" s="461">
        <f t="shared" si="5"/>
        <v>0</v>
      </c>
    </row>
    <row r="30" spans="1:17" s="452" customFormat="1" ht="33.75" x14ac:dyDescent="0.2">
      <c r="A30" s="1639"/>
      <c r="B30" s="1638"/>
      <c r="C30" s="464" t="s">
        <v>851</v>
      </c>
      <c r="D30" s="465" t="s">
        <v>742</v>
      </c>
      <c r="E30" s="456">
        <v>595.6</v>
      </c>
      <c r="F30" s="458"/>
      <c r="G30" s="456">
        <v>595.6</v>
      </c>
      <c r="H30" s="458"/>
      <c r="I30" s="456">
        <v>4251</v>
      </c>
      <c r="J30" s="458"/>
      <c r="K30" s="459">
        <v>4251</v>
      </c>
      <c r="L30" s="458"/>
      <c r="M30" s="573">
        <f t="shared" si="3"/>
        <v>0</v>
      </c>
      <c r="N30" s="573">
        <f t="shared" si="4"/>
        <v>3655.4</v>
      </c>
      <c r="O30" s="460" t="s">
        <v>945</v>
      </c>
      <c r="Q30" s="461">
        <f t="shared" si="5"/>
        <v>0</v>
      </c>
    </row>
    <row r="31" spans="1:17" s="452" customFormat="1" ht="25.5" x14ac:dyDescent="0.2">
      <c r="A31" s="1639"/>
      <c r="B31" s="1638"/>
      <c r="C31" s="464" t="s">
        <v>658</v>
      </c>
      <c r="D31" s="466" t="s">
        <v>421</v>
      </c>
      <c r="E31" s="456">
        <f t="shared" si="9"/>
        <v>527</v>
      </c>
      <c r="F31" s="458">
        <v>527</v>
      </c>
      <c r="G31" s="456">
        <f>+H31</f>
        <v>527</v>
      </c>
      <c r="H31" s="458">
        <v>527</v>
      </c>
      <c r="I31" s="456">
        <v>545</v>
      </c>
      <c r="J31" s="458">
        <v>545</v>
      </c>
      <c r="K31" s="459">
        <f t="shared" si="7"/>
        <v>545</v>
      </c>
      <c r="L31" s="458">
        <v>545</v>
      </c>
      <c r="M31" s="573">
        <f t="shared" si="3"/>
        <v>0</v>
      </c>
      <c r="N31" s="573">
        <f t="shared" si="4"/>
        <v>18</v>
      </c>
      <c r="O31" s="460" t="s">
        <v>826</v>
      </c>
      <c r="Q31" s="461">
        <f t="shared" si="5"/>
        <v>0</v>
      </c>
    </row>
    <row r="32" spans="1:17" s="452" customFormat="1" ht="33.75" x14ac:dyDescent="0.2">
      <c r="A32" s="1639"/>
      <c r="B32" s="1638"/>
      <c r="C32" s="467" t="s">
        <v>854</v>
      </c>
      <c r="D32" s="453" t="s">
        <v>659</v>
      </c>
      <c r="E32" s="456">
        <f>+F32+8389.1+325.2</f>
        <v>13293.800000000001</v>
      </c>
      <c r="F32" s="458">
        <v>4579.5</v>
      </c>
      <c r="G32" s="456">
        <f>6957+12139.1+325.2</f>
        <v>19421.3</v>
      </c>
      <c r="H32" s="458">
        <v>6957</v>
      </c>
      <c r="I32" s="456">
        <f>+J32+361.5</f>
        <v>52491.5</v>
      </c>
      <c r="J32" s="458">
        <v>52130</v>
      </c>
      <c r="K32" s="459">
        <f>SUM(L32)+361.5</f>
        <v>16557.099999999999</v>
      </c>
      <c r="L32" s="458">
        <v>16195.6</v>
      </c>
      <c r="M32" s="573">
        <f t="shared" si="3"/>
        <v>-35934.400000000001</v>
      </c>
      <c r="N32" s="573">
        <f t="shared" si="4"/>
        <v>3263.2999999999975</v>
      </c>
      <c r="O32" s="460"/>
      <c r="Q32" s="461">
        <f t="shared" si="5"/>
        <v>0</v>
      </c>
    </row>
    <row r="33" spans="1:17" s="452" customFormat="1" ht="12.75" hidden="1" customHeight="1" x14ac:dyDescent="0.2">
      <c r="A33" s="547"/>
      <c r="B33" s="548"/>
      <c r="C33" s="467"/>
      <c r="D33" s="453" t="s">
        <v>660</v>
      </c>
      <c r="E33" s="456">
        <f t="shared" si="9"/>
        <v>0</v>
      </c>
      <c r="F33" s="458">
        <v>0</v>
      </c>
      <c r="G33" s="456"/>
      <c r="H33" s="458">
        <v>0</v>
      </c>
      <c r="I33" s="456">
        <v>0</v>
      </c>
      <c r="J33" s="458">
        <v>0</v>
      </c>
      <c r="K33" s="468"/>
      <c r="L33" s="458"/>
      <c r="M33" s="573">
        <f t="shared" si="3"/>
        <v>0</v>
      </c>
      <c r="N33" s="573">
        <f t="shared" si="4"/>
        <v>0</v>
      </c>
      <c r="O33" s="460"/>
      <c r="Q33" s="461">
        <f t="shared" si="5"/>
        <v>0</v>
      </c>
    </row>
    <row r="34" spans="1:17" s="452" customFormat="1" ht="48" customHeight="1" x14ac:dyDescent="0.2">
      <c r="A34" s="1639" t="s">
        <v>419</v>
      </c>
      <c r="B34" s="1638" t="s">
        <v>637</v>
      </c>
      <c r="C34" s="467">
        <v>1100101</v>
      </c>
      <c r="D34" s="453" t="s">
        <v>661</v>
      </c>
      <c r="E34" s="456">
        <v>650.6</v>
      </c>
      <c r="F34" s="458">
        <v>0</v>
      </c>
      <c r="G34" s="456">
        <v>747.5</v>
      </c>
      <c r="H34" s="458">
        <v>0</v>
      </c>
      <c r="I34" s="456">
        <v>704.5</v>
      </c>
      <c r="J34" s="458">
        <v>0</v>
      </c>
      <c r="K34" s="456">
        <v>704.5</v>
      </c>
      <c r="L34" s="458">
        <v>0</v>
      </c>
      <c r="M34" s="573">
        <f t="shared" si="3"/>
        <v>0</v>
      </c>
      <c r="N34" s="573">
        <f t="shared" si="4"/>
        <v>53.899999999999977</v>
      </c>
      <c r="O34" s="460"/>
      <c r="Q34" s="461">
        <f t="shared" si="5"/>
        <v>0</v>
      </c>
    </row>
    <row r="35" spans="1:17" s="452" customFormat="1" ht="25.5" customHeight="1" x14ac:dyDescent="0.2">
      <c r="A35" s="1639"/>
      <c r="B35" s="1638"/>
      <c r="C35" s="467">
        <v>1100201</v>
      </c>
      <c r="D35" s="453" t="s">
        <v>662</v>
      </c>
      <c r="E35" s="456">
        <v>13990.2</v>
      </c>
      <c r="F35" s="458">
        <v>0</v>
      </c>
      <c r="G35" s="456">
        <v>13954.3</v>
      </c>
      <c r="H35" s="458">
        <v>0</v>
      </c>
      <c r="I35" s="456">
        <v>14035.6</v>
      </c>
      <c r="J35" s="458">
        <v>0</v>
      </c>
      <c r="K35" s="456">
        <v>14035.6</v>
      </c>
      <c r="L35" s="458">
        <v>0</v>
      </c>
      <c r="M35" s="573">
        <f t="shared" si="3"/>
        <v>0</v>
      </c>
      <c r="N35" s="573">
        <f t="shared" si="4"/>
        <v>45.399999999999636</v>
      </c>
      <c r="O35" s="460"/>
      <c r="Q35" s="461">
        <f t="shared" si="5"/>
        <v>0</v>
      </c>
    </row>
    <row r="36" spans="1:17" s="452" customFormat="1" hidden="1" x14ac:dyDescent="0.2">
      <c r="A36" s="1639"/>
      <c r="B36" s="1638"/>
      <c r="C36" s="467"/>
      <c r="D36" s="453"/>
      <c r="E36" s="456"/>
      <c r="F36" s="458"/>
      <c r="G36" s="456"/>
      <c r="H36" s="458"/>
      <c r="I36" s="456"/>
      <c r="J36" s="458"/>
      <c r="K36" s="456"/>
      <c r="L36" s="458"/>
      <c r="M36" s="573"/>
      <c r="N36" s="573">
        <f t="shared" si="4"/>
        <v>0</v>
      </c>
      <c r="O36" s="460"/>
      <c r="Q36" s="461">
        <f t="shared" si="5"/>
        <v>0</v>
      </c>
    </row>
    <row r="37" spans="1:17" s="452" customFormat="1" ht="33.75" x14ac:dyDescent="0.2">
      <c r="A37" s="1639"/>
      <c r="B37" s="1638"/>
      <c r="C37" s="467" t="s">
        <v>852</v>
      </c>
      <c r="D37" s="453" t="s">
        <v>853</v>
      </c>
      <c r="E37" s="456">
        <f>2500.2+163.8+47.8</f>
        <v>2711.8</v>
      </c>
      <c r="F37" s="458"/>
      <c r="G37" s="456">
        <f>2290+163.2+47.8</f>
        <v>2501</v>
      </c>
      <c r="H37" s="458"/>
      <c r="I37" s="456">
        <f>5400.4+354.4</f>
        <v>5754.7999999999993</v>
      </c>
      <c r="J37" s="458"/>
      <c r="K37" s="456">
        <f>5400.4+354.4</f>
        <v>5754.7999999999993</v>
      </c>
      <c r="L37" s="458"/>
      <c r="M37" s="573"/>
      <c r="N37" s="573">
        <f t="shared" si="4"/>
        <v>3042.9999999999991</v>
      </c>
      <c r="O37" s="460"/>
      <c r="Q37" s="461">
        <f t="shared" si="5"/>
        <v>0</v>
      </c>
    </row>
    <row r="38" spans="1:17" s="452" customFormat="1" hidden="1" x14ac:dyDescent="0.2">
      <c r="A38" s="1639"/>
      <c r="B38" s="1638"/>
      <c r="C38" s="467"/>
      <c r="D38" s="453"/>
      <c r="E38" s="456"/>
      <c r="F38" s="458"/>
      <c r="G38" s="456"/>
      <c r="H38" s="458"/>
      <c r="I38" s="456"/>
      <c r="J38" s="458"/>
      <c r="K38" s="456"/>
      <c r="L38" s="458"/>
      <c r="M38" s="573"/>
      <c r="N38" s="573"/>
      <c r="O38" s="460"/>
      <c r="Q38" s="461">
        <f t="shared" si="5"/>
        <v>0</v>
      </c>
    </row>
    <row r="39" spans="1:17" s="452" customFormat="1" hidden="1" x14ac:dyDescent="0.2">
      <c r="A39" s="1639"/>
      <c r="B39" s="1638"/>
      <c r="C39" s="467"/>
      <c r="D39" s="453"/>
      <c r="E39" s="456"/>
      <c r="F39" s="458"/>
      <c r="G39" s="456"/>
      <c r="H39" s="458"/>
      <c r="I39" s="456"/>
      <c r="J39" s="458"/>
      <c r="K39" s="456"/>
      <c r="L39" s="458"/>
      <c r="M39" s="573"/>
      <c r="N39" s="573"/>
      <c r="O39" s="460"/>
      <c r="Q39" s="461">
        <f t="shared" si="5"/>
        <v>0</v>
      </c>
    </row>
    <row r="40" spans="1:17" s="452" customFormat="1" hidden="1" x14ac:dyDescent="0.2">
      <c r="A40" s="1639"/>
      <c r="B40" s="1638"/>
      <c r="C40" s="467"/>
      <c r="D40" s="453"/>
      <c r="E40" s="456"/>
      <c r="F40" s="458"/>
      <c r="G40" s="456"/>
      <c r="H40" s="458"/>
      <c r="I40" s="456"/>
      <c r="J40" s="458"/>
      <c r="K40" s="456"/>
      <c r="L40" s="458"/>
      <c r="M40" s="573"/>
      <c r="N40" s="573">
        <f t="shared" si="4"/>
        <v>0</v>
      </c>
      <c r="O40" s="460"/>
      <c r="Q40" s="461">
        <f t="shared" si="5"/>
        <v>0</v>
      </c>
    </row>
    <row r="41" spans="1:17" s="452" customFormat="1" hidden="1" x14ac:dyDescent="0.2">
      <c r="A41" s="1639"/>
      <c r="B41" s="1638"/>
      <c r="C41" s="467"/>
      <c r="D41" s="453"/>
      <c r="E41" s="456"/>
      <c r="F41" s="458"/>
      <c r="G41" s="456"/>
      <c r="H41" s="458"/>
      <c r="I41" s="456"/>
      <c r="J41" s="458"/>
      <c r="K41" s="456"/>
      <c r="L41" s="458"/>
      <c r="M41" s="573"/>
      <c r="N41" s="573">
        <f t="shared" si="4"/>
        <v>0</v>
      </c>
      <c r="O41" s="460"/>
      <c r="Q41" s="461">
        <f t="shared" si="5"/>
        <v>0</v>
      </c>
    </row>
    <row r="42" spans="1:17" s="452" customFormat="1" x14ac:dyDescent="0.2">
      <c r="A42" s="1639"/>
      <c r="B42" s="1638"/>
      <c r="C42" s="1642" t="s">
        <v>663</v>
      </c>
      <c r="D42" s="1642"/>
      <c r="E42" s="469">
        <f t="shared" ref="E42:L42" si="10">+E8+E9+E10+E11+E12+E13+E14+E15+E17+E16+E18+E19+E25+E26+E28+E29+E30+E31+E32+E34+E35+E36+E37+E38+E39+E40+E41+E27</f>
        <v>109874.90000000002</v>
      </c>
      <c r="F42" s="469">
        <f t="shared" si="10"/>
        <v>83212.400000000009</v>
      </c>
      <c r="G42" s="469">
        <f t="shared" si="10"/>
        <v>123343.80000000003</v>
      </c>
      <c r="H42" s="469">
        <f t="shared" si="10"/>
        <v>93081.10000000002</v>
      </c>
      <c r="I42" s="469">
        <f t="shared" si="10"/>
        <v>198001.30000000002</v>
      </c>
      <c r="J42" s="469">
        <f t="shared" si="10"/>
        <v>172893.90000000002</v>
      </c>
      <c r="K42" s="469">
        <f t="shared" si="10"/>
        <v>144349.80000000002</v>
      </c>
      <c r="L42" s="469">
        <f t="shared" si="10"/>
        <v>119242.40000000002</v>
      </c>
      <c r="M42" s="469">
        <f>+M8+M9+M10+M11+M12+M13+M14+M15+M17+M16+M18+M19+M25+M26+M28+M29+M30+M31+M32+M34+M35</f>
        <v>-53651.5</v>
      </c>
      <c r="N42" s="470">
        <f t="shared" si="4"/>
        <v>34474.899999999994</v>
      </c>
      <c r="O42" s="471">
        <v>0</v>
      </c>
      <c r="Q42" s="461">
        <f t="shared" si="5"/>
        <v>0</v>
      </c>
    </row>
    <row r="43" spans="1:17" s="452" customFormat="1" x14ac:dyDescent="0.2">
      <c r="A43" s="1639"/>
      <c r="B43" s="1638"/>
      <c r="C43" s="1642" t="s">
        <v>185</v>
      </c>
      <c r="D43" s="1642"/>
      <c r="E43" s="469">
        <f>+E30+E33+E36+F43</f>
        <v>2303.5</v>
      </c>
      <c r="F43" s="469">
        <v>1707.9</v>
      </c>
      <c r="G43" s="469">
        <f>+G30+G33+G36+H43</f>
        <v>2303.5</v>
      </c>
      <c r="H43" s="469">
        <v>1707.9</v>
      </c>
      <c r="I43" s="469">
        <f>12100</f>
        <v>12100</v>
      </c>
      <c r="J43" s="469">
        <v>12100</v>
      </c>
      <c r="K43" s="469">
        <f>4200+51</f>
        <v>4251</v>
      </c>
      <c r="L43" s="469"/>
      <c r="M43" s="469">
        <f>+K43-I43</f>
        <v>-7849</v>
      </c>
      <c r="N43" s="470">
        <f t="shared" si="4"/>
        <v>1947.5</v>
      </c>
      <c r="O43" s="471">
        <v>0</v>
      </c>
      <c r="Q43" s="461">
        <f t="shared" si="5"/>
        <v>0</v>
      </c>
    </row>
    <row r="44" spans="1:17" ht="108" x14ac:dyDescent="0.2">
      <c r="A44" s="1646" t="s">
        <v>80</v>
      </c>
      <c r="B44" s="1647" t="s">
        <v>79</v>
      </c>
      <c r="C44" s="569">
        <v>2040101</v>
      </c>
      <c r="D44" s="472" t="s">
        <v>565</v>
      </c>
      <c r="E44" s="571">
        <v>71.8</v>
      </c>
      <c r="F44" s="572">
        <v>71.8</v>
      </c>
      <c r="G44" s="571">
        <v>71.8</v>
      </c>
      <c r="H44" s="572">
        <v>71.8</v>
      </c>
      <c r="I44" s="571">
        <v>71.8</v>
      </c>
      <c r="J44" s="572">
        <v>71.8</v>
      </c>
      <c r="K44" s="571">
        <v>71.8</v>
      </c>
      <c r="L44" s="572">
        <v>71.8</v>
      </c>
      <c r="M44" s="573">
        <f t="shared" ref="M44:M111" si="11">+K44-I44</f>
        <v>0</v>
      </c>
      <c r="N44" s="573">
        <f t="shared" si="4"/>
        <v>0</v>
      </c>
      <c r="O44" s="473" t="s">
        <v>566</v>
      </c>
      <c r="Q44" s="461">
        <f t="shared" si="5"/>
        <v>0</v>
      </c>
    </row>
    <row r="45" spans="1:17" ht="60" x14ac:dyDescent="0.2">
      <c r="A45" s="1646"/>
      <c r="B45" s="1647"/>
      <c r="C45" s="569">
        <v>2040404</v>
      </c>
      <c r="D45" s="575" t="s">
        <v>567</v>
      </c>
      <c r="E45" s="571">
        <v>130</v>
      </c>
      <c r="F45" s="572">
        <v>130</v>
      </c>
      <c r="G45" s="571">
        <v>130</v>
      </c>
      <c r="H45" s="572">
        <v>130</v>
      </c>
      <c r="I45" s="571">
        <v>119.7</v>
      </c>
      <c r="J45" s="572">
        <v>119.7</v>
      </c>
      <c r="K45" s="571">
        <v>119.7</v>
      </c>
      <c r="L45" s="572">
        <v>119.7</v>
      </c>
      <c r="M45" s="573">
        <f t="shared" si="11"/>
        <v>0</v>
      </c>
      <c r="N45" s="573">
        <f t="shared" si="4"/>
        <v>-10.299999999999997</v>
      </c>
      <c r="O45" s="474" t="s">
        <v>786</v>
      </c>
      <c r="Q45" s="461">
        <f t="shared" si="5"/>
        <v>0</v>
      </c>
    </row>
    <row r="46" spans="1:17" ht="36" x14ac:dyDescent="0.2">
      <c r="A46" s="1646"/>
      <c r="B46" s="1647"/>
      <c r="C46" s="569">
        <v>2020106</v>
      </c>
      <c r="D46" s="472" t="s">
        <v>568</v>
      </c>
      <c r="E46" s="571">
        <v>466.2</v>
      </c>
      <c r="F46" s="572">
        <v>466.2</v>
      </c>
      <c r="G46" s="571">
        <v>466.2</v>
      </c>
      <c r="H46" s="572">
        <v>466.2</v>
      </c>
      <c r="I46" s="571">
        <f>505.5+4.7</f>
        <v>510.2</v>
      </c>
      <c r="J46" s="572">
        <f>505.5+4.7</f>
        <v>510.2</v>
      </c>
      <c r="K46" s="571">
        <f>505.5+4.7</f>
        <v>510.2</v>
      </c>
      <c r="L46" s="572">
        <f>505.5+4.7</f>
        <v>510.2</v>
      </c>
      <c r="M46" s="573">
        <f t="shared" si="11"/>
        <v>0</v>
      </c>
      <c r="N46" s="573">
        <f t="shared" si="4"/>
        <v>44</v>
      </c>
      <c r="O46" s="474" t="s">
        <v>787</v>
      </c>
      <c r="Q46" s="461">
        <f t="shared" si="5"/>
        <v>0</v>
      </c>
    </row>
    <row r="47" spans="1:17" x14ac:dyDescent="0.2">
      <c r="A47" s="1646"/>
      <c r="B47" s="1647"/>
      <c r="C47" s="1648" t="s">
        <v>186</v>
      </c>
      <c r="D47" s="1648"/>
      <c r="E47" s="475">
        <f t="shared" ref="E47:L47" si="12">SUM(E44:E46)</f>
        <v>668</v>
      </c>
      <c r="F47" s="475">
        <f t="shared" si="12"/>
        <v>668</v>
      </c>
      <c r="G47" s="475">
        <f t="shared" si="12"/>
        <v>668</v>
      </c>
      <c r="H47" s="475">
        <f t="shared" si="12"/>
        <v>668</v>
      </c>
      <c r="I47" s="475">
        <f t="shared" si="12"/>
        <v>701.7</v>
      </c>
      <c r="J47" s="475">
        <f t="shared" si="12"/>
        <v>701.7</v>
      </c>
      <c r="K47" s="475">
        <f t="shared" si="12"/>
        <v>701.7</v>
      </c>
      <c r="L47" s="475">
        <f t="shared" si="12"/>
        <v>701.7</v>
      </c>
      <c r="M47" s="476">
        <f t="shared" si="11"/>
        <v>0</v>
      </c>
      <c r="N47" s="470">
        <f t="shared" si="4"/>
        <v>33.700000000000045</v>
      </c>
      <c r="O47" s="477"/>
      <c r="Q47" s="461">
        <f t="shared" si="5"/>
        <v>0</v>
      </c>
    </row>
    <row r="48" spans="1:17" x14ac:dyDescent="0.2">
      <c r="A48" s="1646"/>
      <c r="B48" s="1647"/>
      <c r="C48" s="1649" t="s">
        <v>185</v>
      </c>
      <c r="D48" s="1649"/>
      <c r="E48" s="478"/>
      <c r="F48" s="478"/>
      <c r="G48" s="478"/>
      <c r="H48" s="478"/>
      <c r="I48" s="478"/>
      <c r="J48" s="478"/>
      <c r="K48" s="478">
        <f>+I48-E48</f>
        <v>0</v>
      </c>
      <c r="L48" s="478"/>
      <c r="M48" s="476">
        <f t="shared" si="11"/>
        <v>0</v>
      </c>
      <c r="N48" s="476">
        <f t="shared" si="4"/>
        <v>0</v>
      </c>
      <c r="O48" s="477"/>
      <c r="Q48" s="461">
        <f t="shared" si="5"/>
        <v>0</v>
      </c>
    </row>
    <row r="49" spans="1:17" x14ac:dyDescent="0.2">
      <c r="A49" s="1646" t="s">
        <v>195</v>
      </c>
      <c r="B49" s="1647" t="s">
        <v>196</v>
      </c>
      <c r="C49" s="569">
        <v>4020101</v>
      </c>
      <c r="D49" s="479" t="s">
        <v>569</v>
      </c>
      <c r="E49" s="571">
        <v>127</v>
      </c>
      <c r="F49" s="572">
        <v>127</v>
      </c>
      <c r="G49" s="571">
        <v>127</v>
      </c>
      <c r="H49" s="572">
        <v>127</v>
      </c>
      <c r="I49" s="571">
        <v>130</v>
      </c>
      <c r="J49" s="572">
        <v>130</v>
      </c>
      <c r="K49" s="571">
        <v>130</v>
      </c>
      <c r="L49" s="572">
        <v>130</v>
      </c>
      <c r="M49" s="573">
        <f t="shared" si="11"/>
        <v>0</v>
      </c>
      <c r="N49" s="573">
        <f t="shared" si="4"/>
        <v>3</v>
      </c>
      <c r="O49" s="480" t="s">
        <v>711</v>
      </c>
      <c r="Q49" s="461">
        <f t="shared" si="5"/>
        <v>0</v>
      </c>
    </row>
    <row r="50" spans="1:17" ht="312" x14ac:dyDescent="0.2">
      <c r="A50" s="1646"/>
      <c r="B50" s="1647"/>
      <c r="C50" s="1647">
        <v>4020101</v>
      </c>
      <c r="D50" s="1650" t="s">
        <v>570</v>
      </c>
      <c r="E50" s="1656">
        <v>63</v>
      </c>
      <c r="F50" s="1657">
        <v>63</v>
      </c>
      <c r="G50" s="1656">
        <v>63</v>
      </c>
      <c r="H50" s="1657">
        <v>63</v>
      </c>
      <c r="I50" s="1656">
        <v>1538.2</v>
      </c>
      <c r="J50" s="1657">
        <v>1538.2</v>
      </c>
      <c r="K50" s="1656">
        <f>80+1400</f>
        <v>1480</v>
      </c>
      <c r="L50" s="1657">
        <f>80+1400</f>
        <v>1480</v>
      </c>
      <c r="M50" s="1640">
        <f>+K50-I50</f>
        <v>-58.200000000000045</v>
      </c>
      <c r="N50" s="1640">
        <f t="shared" si="4"/>
        <v>1417</v>
      </c>
      <c r="O50" s="481" t="s">
        <v>850</v>
      </c>
      <c r="Q50" s="461">
        <f t="shared" si="5"/>
        <v>0</v>
      </c>
    </row>
    <row r="51" spans="1:17" ht="226.5" customHeight="1" x14ac:dyDescent="0.2">
      <c r="A51" s="1646"/>
      <c r="B51" s="1647"/>
      <c r="C51" s="1647"/>
      <c r="D51" s="1650"/>
      <c r="E51" s="1656"/>
      <c r="F51" s="1657"/>
      <c r="G51" s="1656"/>
      <c r="H51" s="1657"/>
      <c r="I51" s="1656"/>
      <c r="J51" s="1657"/>
      <c r="K51" s="1656"/>
      <c r="L51" s="1657"/>
      <c r="M51" s="1640"/>
      <c r="N51" s="1640"/>
      <c r="O51" s="481" t="s">
        <v>849</v>
      </c>
      <c r="Q51" s="461">
        <f t="shared" si="5"/>
        <v>0</v>
      </c>
    </row>
    <row r="52" spans="1:17" x14ac:dyDescent="0.2">
      <c r="A52" s="1646"/>
      <c r="B52" s="1647"/>
      <c r="C52" s="1648" t="s">
        <v>208</v>
      </c>
      <c r="D52" s="1648"/>
      <c r="E52" s="475">
        <f t="shared" ref="E52:M52" si="13">SUM(E49:E50)</f>
        <v>190</v>
      </c>
      <c r="F52" s="475">
        <f t="shared" si="13"/>
        <v>190</v>
      </c>
      <c r="G52" s="475">
        <f t="shared" si="13"/>
        <v>190</v>
      </c>
      <c r="H52" s="475">
        <f t="shared" si="13"/>
        <v>190</v>
      </c>
      <c r="I52" s="475">
        <f t="shared" si="13"/>
        <v>1668.2</v>
      </c>
      <c r="J52" s="475">
        <f t="shared" si="13"/>
        <v>1668.2</v>
      </c>
      <c r="K52" s="475">
        <f t="shared" si="13"/>
        <v>1610</v>
      </c>
      <c r="L52" s="475">
        <f t="shared" si="13"/>
        <v>1610</v>
      </c>
      <c r="M52" s="475">
        <f t="shared" si="13"/>
        <v>-58.200000000000045</v>
      </c>
      <c r="N52" s="470">
        <f t="shared" si="4"/>
        <v>1420</v>
      </c>
      <c r="O52" s="477"/>
      <c r="Q52" s="461">
        <f t="shared" si="5"/>
        <v>0</v>
      </c>
    </row>
    <row r="53" spans="1:17" x14ac:dyDescent="0.2">
      <c r="A53" s="1646"/>
      <c r="B53" s="1647"/>
      <c r="C53" s="1649" t="s">
        <v>185</v>
      </c>
      <c r="D53" s="1649"/>
      <c r="E53" s="475">
        <f>SUM(G53:G53)</f>
        <v>0</v>
      </c>
      <c r="F53" s="475"/>
      <c r="G53" s="475"/>
      <c r="H53" s="478"/>
      <c r="I53" s="475"/>
      <c r="J53" s="475"/>
      <c r="K53" s="475"/>
      <c r="L53" s="475"/>
      <c r="M53" s="476">
        <f t="shared" si="11"/>
        <v>0</v>
      </c>
      <c r="N53" s="476">
        <f t="shared" si="4"/>
        <v>0</v>
      </c>
      <c r="O53" s="477"/>
      <c r="Q53" s="461">
        <f t="shared" si="5"/>
        <v>0</v>
      </c>
    </row>
    <row r="54" spans="1:17" ht="144" x14ac:dyDescent="0.2">
      <c r="A54" s="1651" t="s">
        <v>283</v>
      </c>
      <c r="B54" s="1647" t="s">
        <v>571</v>
      </c>
      <c r="C54" s="569">
        <v>6010101</v>
      </c>
      <c r="D54" s="479" t="s">
        <v>572</v>
      </c>
      <c r="E54" s="571">
        <f>4279.1</f>
        <v>4279.1000000000004</v>
      </c>
      <c r="F54" s="572">
        <v>4279.1000000000004</v>
      </c>
      <c r="G54" s="571">
        <f>4482.8</f>
        <v>4482.8</v>
      </c>
      <c r="H54" s="572">
        <v>4482.8</v>
      </c>
      <c r="I54" s="571">
        <f>4688.9+44</f>
        <v>4732.8999999999996</v>
      </c>
      <c r="J54" s="572">
        <f>4688.9+44</f>
        <v>4732.8999999999996</v>
      </c>
      <c r="K54" s="571">
        <f>4688.9+44</f>
        <v>4732.8999999999996</v>
      </c>
      <c r="L54" s="572">
        <f>4688.9+44</f>
        <v>4732.8999999999996</v>
      </c>
      <c r="M54" s="573">
        <f t="shared" si="11"/>
        <v>0</v>
      </c>
      <c r="N54" s="573">
        <f t="shared" si="4"/>
        <v>453.79999999999927</v>
      </c>
      <c r="O54" s="570" t="s">
        <v>778</v>
      </c>
      <c r="Q54" s="461">
        <f t="shared" si="5"/>
        <v>0</v>
      </c>
    </row>
    <row r="55" spans="1:17" ht="25.5" x14ac:dyDescent="0.2">
      <c r="A55" s="1651"/>
      <c r="B55" s="1647"/>
      <c r="C55" s="482">
        <v>6010102</v>
      </c>
      <c r="D55" s="483" t="s">
        <v>573</v>
      </c>
      <c r="E55" s="571">
        <f>221.4+42.9</f>
        <v>264.3</v>
      </c>
      <c r="F55" s="572"/>
      <c r="G55" s="571">
        <f>310.1+42.9</f>
        <v>353</v>
      </c>
      <c r="H55" s="572"/>
      <c r="I55" s="571">
        <v>517</v>
      </c>
      <c r="J55" s="572"/>
      <c r="K55" s="571">
        <v>517</v>
      </c>
      <c r="L55" s="572"/>
      <c r="M55" s="573"/>
      <c r="N55" s="573">
        <f t="shared" si="4"/>
        <v>252.7</v>
      </c>
      <c r="O55" s="570" t="s">
        <v>811</v>
      </c>
      <c r="Q55" s="461">
        <f t="shared" si="5"/>
        <v>0</v>
      </c>
    </row>
    <row r="56" spans="1:17" x14ac:dyDescent="0.2">
      <c r="A56" s="1651"/>
      <c r="B56" s="1647"/>
      <c r="C56" s="484">
        <v>6010103</v>
      </c>
      <c r="D56" s="483" t="s">
        <v>574</v>
      </c>
      <c r="E56" s="571">
        <f>40+22.5</f>
        <v>62.5</v>
      </c>
      <c r="F56" s="572"/>
      <c r="G56" s="571">
        <f>69+22.5</f>
        <v>91.5</v>
      </c>
      <c r="H56" s="572"/>
      <c r="I56" s="571">
        <v>48</v>
      </c>
      <c r="J56" s="572"/>
      <c r="K56" s="571">
        <v>48</v>
      </c>
      <c r="L56" s="572"/>
      <c r="M56" s="573"/>
      <c r="N56" s="573">
        <f t="shared" si="4"/>
        <v>-14.5</v>
      </c>
      <c r="O56" s="570" t="s">
        <v>812</v>
      </c>
      <c r="Q56" s="461">
        <f t="shared" si="5"/>
        <v>0</v>
      </c>
    </row>
    <row r="57" spans="1:17" ht="24.75" customHeight="1" x14ac:dyDescent="0.2">
      <c r="A57" s="1651"/>
      <c r="B57" s="1647"/>
      <c r="C57" s="569">
        <v>6020102</v>
      </c>
      <c r="D57" s="575" t="s">
        <v>575</v>
      </c>
      <c r="E57" s="571">
        <v>1158</v>
      </c>
      <c r="F57" s="572">
        <v>1158</v>
      </c>
      <c r="G57" s="571">
        <v>1658</v>
      </c>
      <c r="H57" s="572">
        <v>1658</v>
      </c>
      <c r="I57" s="571">
        <v>1386</v>
      </c>
      <c r="J57" s="572">
        <v>1386</v>
      </c>
      <c r="K57" s="571">
        <v>1386</v>
      </c>
      <c r="L57" s="572">
        <v>1386</v>
      </c>
      <c r="M57" s="573">
        <f t="shared" si="11"/>
        <v>0</v>
      </c>
      <c r="N57" s="573">
        <f t="shared" si="4"/>
        <v>228</v>
      </c>
      <c r="O57" s="1655" t="s">
        <v>855</v>
      </c>
      <c r="Q57" s="461">
        <f t="shared" si="5"/>
        <v>0</v>
      </c>
    </row>
    <row r="58" spans="1:17" ht="33.75" customHeight="1" x14ac:dyDescent="0.2">
      <c r="A58" s="1651"/>
      <c r="B58" s="1647"/>
      <c r="C58" s="569">
        <v>6020102</v>
      </c>
      <c r="D58" s="472" t="s">
        <v>576</v>
      </c>
      <c r="E58" s="571">
        <v>868</v>
      </c>
      <c r="F58" s="572">
        <v>868</v>
      </c>
      <c r="G58" s="571">
        <v>1368</v>
      </c>
      <c r="H58" s="572">
        <v>1368</v>
      </c>
      <c r="I58" s="571">
        <v>1006</v>
      </c>
      <c r="J58" s="572">
        <v>1006</v>
      </c>
      <c r="K58" s="571">
        <v>1006</v>
      </c>
      <c r="L58" s="572">
        <v>1006</v>
      </c>
      <c r="M58" s="573">
        <f t="shared" si="11"/>
        <v>0</v>
      </c>
      <c r="N58" s="573">
        <f t="shared" si="4"/>
        <v>138</v>
      </c>
      <c r="O58" s="1655"/>
      <c r="Q58" s="461">
        <f t="shared" si="5"/>
        <v>0</v>
      </c>
    </row>
    <row r="59" spans="1:17" ht="30" customHeight="1" x14ac:dyDescent="0.2">
      <c r="A59" s="1651"/>
      <c r="B59" s="1647"/>
      <c r="C59" s="569">
        <v>6020102</v>
      </c>
      <c r="D59" s="575" t="s">
        <v>577</v>
      </c>
      <c r="E59" s="571">
        <v>150</v>
      </c>
      <c r="F59" s="572">
        <v>150</v>
      </c>
      <c r="G59" s="571">
        <v>150</v>
      </c>
      <c r="H59" s="572">
        <v>150</v>
      </c>
      <c r="I59" s="571">
        <v>202</v>
      </c>
      <c r="J59" s="572">
        <v>202</v>
      </c>
      <c r="K59" s="571">
        <v>202</v>
      </c>
      <c r="L59" s="572">
        <v>202</v>
      </c>
      <c r="M59" s="573">
        <f t="shared" si="11"/>
        <v>0</v>
      </c>
      <c r="N59" s="573">
        <f t="shared" si="4"/>
        <v>52</v>
      </c>
      <c r="O59" s="1655"/>
      <c r="Q59" s="461">
        <f t="shared" si="5"/>
        <v>0</v>
      </c>
    </row>
    <row r="60" spans="1:17" ht="30.75" customHeight="1" x14ac:dyDescent="0.2">
      <c r="A60" s="1651"/>
      <c r="B60" s="1647"/>
      <c r="C60" s="569">
        <v>6020102</v>
      </c>
      <c r="D60" s="472" t="s">
        <v>578</v>
      </c>
      <c r="E60" s="571">
        <v>55</v>
      </c>
      <c r="F60" s="572">
        <v>55</v>
      </c>
      <c r="G60" s="571">
        <v>55</v>
      </c>
      <c r="H60" s="572">
        <v>55</v>
      </c>
      <c r="I60" s="571">
        <f>105+10</f>
        <v>115</v>
      </c>
      <c r="J60" s="572">
        <f>105+10</f>
        <v>115</v>
      </c>
      <c r="K60" s="571">
        <v>55</v>
      </c>
      <c r="L60" s="572">
        <v>55</v>
      </c>
      <c r="M60" s="573">
        <f t="shared" si="11"/>
        <v>-60</v>
      </c>
      <c r="N60" s="573">
        <f t="shared" si="4"/>
        <v>0</v>
      </c>
      <c r="O60" s="1655"/>
      <c r="Q60" s="461">
        <f t="shared" si="5"/>
        <v>0</v>
      </c>
    </row>
    <row r="61" spans="1:17" ht="25.5" x14ac:dyDescent="0.2">
      <c r="A61" s="1651"/>
      <c r="B61" s="1647"/>
      <c r="C61" s="569">
        <v>6020101</v>
      </c>
      <c r="D61" s="472" t="s">
        <v>844</v>
      </c>
      <c r="E61" s="571">
        <v>120</v>
      </c>
      <c r="F61" s="572">
        <v>120</v>
      </c>
      <c r="G61" s="571">
        <v>120</v>
      </c>
      <c r="H61" s="572">
        <v>120</v>
      </c>
      <c r="I61" s="571">
        <v>120</v>
      </c>
      <c r="J61" s="572">
        <v>120</v>
      </c>
      <c r="K61" s="571">
        <v>120</v>
      </c>
      <c r="L61" s="572">
        <v>120</v>
      </c>
      <c r="M61" s="573">
        <f t="shared" si="11"/>
        <v>0</v>
      </c>
      <c r="N61" s="573">
        <f t="shared" si="4"/>
        <v>0</v>
      </c>
      <c r="O61" s="570" t="s">
        <v>845</v>
      </c>
      <c r="Q61" s="461">
        <f t="shared" si="5"/>
        <v>0</v>
      </c>
    </row>
    <row r="62" spans="1:17" ht="24" x14ac:dyDescent="0.2">
      <c r="A62" s="1651"/>
      <c r="B62" s="1647"/>
      <c r="C62" s="569">
        <v>6020101</v>
      </c>
      <c r="D62" s="472" t="s">
        <v>579</v>
      </c>
      <c r="E62" s="571">
        <v>100</v>
      </c>
      <c r="F62" s="572">
        <v>100</v>
      </c>
      <c r="G62" s="571">
        <v>100</v>
      </c>
      <c r="H62" s="572">
        <v>100</v>
      </c>
      <c r="I62" s="571">
        <v>210</v>
      </c>
      <c r="J62" s="572">
        <v>210</v>
      </c>
      <c r="K62" s="571">
        <v>210</v>
      </c>
      <c r="L62" s="572">
        <v>210</v>
      </c>
      <c r="M62" s="573">
        <f t="shared" si="11"/>
        <v>0</v>
      </c>
      <c r="N62" s="573">
        <f t="shared" si="4"/>
        <v>110</v>
      </c>
      <c r="O62" s="570" t="s">
        <v>707</v>
      </c>
      <c r="Q62" s="461">
        <f t="shared" si="5"/>
        <v>0</v>
      </c>
    </row>
    <row r="63" spans="1:17" x14ac:dyDescent="0.2">
      <c r="A63" s="1651"/>
      <c r="B63" s="1647"/>
      <c r="C63" s="569">
        <v>6020102</v>
      </c>
      <c r="D63" s="472" t="s">
        <v>580</v>
      </c>
      <c r="E63" s="571">
        <v>10</v>
      </c>
      <c r="F63" s="572">
        <v>10</v>
      </c>
      <c r="G63" s="571">
        <v>10</v>
      </c>
      <c r="H63" s="572">
        <v>10</v>
      </c>
      <c r="I63" s="571">
        <v>40</v>
      </c>
      <c r="J63" s="572">
        <v>40</v>
      </c>
      <c r="K63" s="571">
        <v>10</v>
      </c>
      <c r="L63" s="572">
        <v>10</v>
      </c>
      <c r="M63" s="573">
        <f t="shared" si="11"/>
        <v>-30</v>
      </c>
      <c r="N63" s="573">
        <f t="shared" si="4"/>
        <v>0</v>
      </c>
      <c r="O63" s="570"/>
      <c r="Q63" s="461">
        <f t="shared" si="5"/>
        <v>0</v>
      </c>
    </row>
    <row r="64" spans="1:17" x14ac:dyDescent="0.2">
      <c r="A64" s="1651"/>
      <c r="B64" s="1647"/>
      <c r="C64" s="569">
        <v>6020101</v>
      </c>
      <c r="D64" s="472" t="s">
        <v>581</v>
      </c>
      <c r="E64" s="571">
        <v>80</v>
      </c>
      <c r="F64" s="572">
        <v>80</v>
      </c>
      <c r="G64" s="571">
        <v>90</v>
      </c>
      <c r="H64" s="572">
        <v>90</v>
      </c>
      <c r="I64" s="571">
        <v>100</v>
      </c>
      <c r="J64" s="572">
        <v>100</v>
      </c>
      <c r="K64" s="571">
        <v>100</v>
      </c>
      <c r="L64" s="572">
        <v>100</v>
      </c>
      <c r="M64" s="573">
        <f t="shared" si="11"/>
        <v>0</v>
      </c>
      <c r="N64" s="573">
        <f t="shared" si="4"/>
        <v>20</v>
      </c>
      <c r="O64" s="570" t="s">
        <v>706</v>
      </c>
      <c r="Q64" s="461">
        <f t="shared" si="5"/>
        <v>0</v>
      </c>
    </row>
    <row r="65" spans="1:17" ht="12.75" customHeight="1" x14ac:dyDescent="0.2">
      <c r="A65" s="1651"/>
      <c r="B65" s="1647"/>
      <c r="C65" s="569">
        <v>6020101</v>
      </c>
      <c r="D65" s="472" t="s">
        <v>582</v>
      </c>
      <c r="E65" s="571">
        <v>35</v>
      </c>
      <c r="F65" s="572">
        <v>35</v>
      </c>
      <c r="G65" s="571">
        <v>35</v>
      </c>
      <c r="H65" s="572">
        <v>35</v>
      </c>
      <c r="I65" s="571">
        <v>50</v>
      </c>
      <c r="J65" s="572">
        <v>50</v>
      </c>
      <c r="K65" s="571">
        <v>45</v>
      </c>
      <c r="L65" s="572">
        <v>45</v>
      </c>
      <c r="M65" s="573">
        <f t="shared" si="11"/>
        <v>-5</v>
      </c>
      <c r="N65" s="573">
        <f t="shared" si="4"/>
        <v>10</v>
      </c>
      <c r="O65" s="570"/>
      <c r="Q65" s="461">
        <f t="shared" si="5"/>
        <v>0</v>
      </c>
    </row>
    <row r="66" spans="1:17" x14ac:dyDescent="0.2">
      <c r="A66" s="1651"/>
      <c r="B66" s="1647"/>
      <c r="C66" s="569">
        <v>6020101</v>
      </c>
      <c r="D66" s="472" t="s">
        <v>583</v>
      </c>
      <c r="E66" s="571">
        <v>175</v>
      </c>
      <c r="F66" s="572">
        <v>175</v>
      </c>
      <c r="G66" s="571">
        <v>175</v>
      </c>
      <c r="H66" s="572">
        <v>175</v>
      </c>
      <c r="I66" s="571">
        <v>200</v>
      </c>
      <c r="J66" s="572">
        <v>200</v>
      </c>
      <c r="K66" s="571">
        <v>175</v>
      </c>
      <c r="L66" s="572">
        <v>175</v>
      </c>
      <c r="M66" s="573">
        <f t="shared" si="11"/>
        <v>-25</v>
      </c>
      <c r="N66" s="573">
        <f t="shared" si="4"/>
        <v>0</v>
      </c>
      <c r="O66" s="570" t="s">
        <v>705</v>
      </c>
      <c r="Q66" s="461">
        <f t="shared" si="5"/>
        <v>0</v>
      </c>
    </row>
    <row r="67" spans="1:17" ht="24" x14ac:dyDescent="0.2">
      <c r="A67" s="1651"/>
      <c r="B67" s="1647"/>
      <c r="C67" s="569">
        <v>6020102</v>
      </c>
      <c r="D67" s="472" t="s">
        <v>584</v>
      </c>
      <c r="E67" s="571">
        <v>14.8</v>
      </c>
      <c r="F67" s="572">
        <v>14.8</v>
      </c>
      <c r="G67" s="571">
        <v>14.8</v>
      </c>
      <c r="H67" s="572">
        <v>14.8</v>
      </c>
      <c r="I67" s="571">
        <v>20</v>
      </c>
      <c r="J67" s="572">
        <v>20</v>
      </c>
      <c r="K67" s="571">
        <v>20</v>
      </c>
      <c r="L67" s="572">
        <v>20</v>
      </c>
      <c r="M67" s="573">
        <f t="shared" si="11"/>
        <v>0</v>
      </c>
      <c r="N67" s="573">
        <f t="shared" si="4"/>
        <v>5.1999999999999993</v>
      </c>
      <c r="O67" s="570" t="s">
        <v>704</v>
      </c>
      <c r="Q67" s="461">
        <f t="shared" si="5"/>
        <v>0</v>
      </c>
    </row>
    <row r="68" spans="1:17" ht="84" x14ac:dyDescent="0.2">
      <c r="A68" s="1651"/>
      <c r="B68" s="1647"/>
      <c r="C68" s="569">
        <v>6030102001</v>
      </c>
      <c r="D68" s="472" t="s">
        <v>585</v>
      </c>
      <c r="E68" s="571">
        <v>150</v>
      </c>
      <c r="F68" s="572">
        <v>150</v>
      </c>
      <c r="G68" s="571">
        <v>150</v>
      </c>
      <c r="H68" s="572">
        <v>150</v>
      </c>
      <c r="I68" s="571">
        <v>319.89999999999998</v>
      </c>
      <c r="J68" s="572">
        <v>300</v>
      </c>
      <c r="K68" s="571">
        <v>319.89999999999998</v>
      </c>
      <c r="L68" s="572">
        <v>300</v>
      </c>
      <c r="M68" s="573">
        <f t="shared" si="11"/>
        <v>0</v>
      </c>
      <c r="N68" s="573">
        <f t="shared" si="4"/>
        <v>169.89999999999998</v>
      </c>
      <c r="O68" s="570" t="s">
        <v>841</v>
      </c>
      <c r="Q68" s="461">
        <f t="shared" si="5"/>
        <v>0</v>
      </c>
    </row>
    <row r="69" spans="1:17" ht="60" x14ac:dyDescent="0.2">
      <c r="A69" s="1651"/>
      <c r="B69" s="1647"/>
      <c r="C69" s="569">
        <v>6030116001</v>
      </c>
      <c r="D69" s="472" t="s">
        <v>586</v>
      </c>
      <c r="E69" s="571">
        <v>150</v>
      </c>
      <c r="F69" s="572">
        <v>150</v>
      </c>
      <c r="G69" s="571">
        <v>150</v>
      </c>
      <c r="H69" s="572">
        <v>150</v>
      </c>
      <c r="I69" s="571">
        <v>156.30000000000001</v>
      </c>
      <c r="J69" s="572">
        <v>150</v>
      </c>
      <c r="K69" s="571">
        <v>156.30000000000001</v>
      </c>
      <c r="L69" s="572">
        <v>150</v>
      </c>
      <c r="M69" s="573">
        <f t="shared" si="11"/>
        <v>0</v>
      </c>
      <c r="N69" s="573">
        <f t="shared" si="4"/>
        <v>6.3000000000000114</v>
      </c>
      <c r="O69" s="570" t="s">
        <v>842</v>
      </c>
      <c r="Q69" s="461">
        <f t="shared" si="5"/>
        <v>0</v>
      </c>
    </row>
    <row r="70" spans="1:17" ht="25.5" x14ac:dyDescent="0.2">
      <c r="A70" s="1651"/>
      <c r="B70" s="1647"/>
      <c r="C70" s="569">
        <v>6030115001</v>
      </c>
      <c r="D70" s="472" t="s">
        <v>587</v>
      </c>
      <c r="E70" s="571">
        <f>2000+1000</f>
        <v>3000</v>
      </c>
      <c r="F70" s="572">
        <v>2000</v>
      </c>
      <c r="G70" s="571">
        <f>1317.3+1000</f>
        <v>2317.3000000000002</v>
      </c>
      <c r="H70" s="572">
        <v>1317.3</v>
      </c>
      <c r="I70" s="571">
        <v>1500</v>
      </c>
      <c r="J70" s="572">
        <v>1500</v>
      </c>
      <c r="K70" s="571">
        <v>1500</v>
      </c>
      <c r="L70" s="572">
        <v>1500</v>
      </c>
      <c r="M70" s="573">
        <f t="shared" si="11"/>
        <v>0</v>
      </c>
      <c r="N70" s="573">
        <f t="shared" si="4"/>
        <v>-1500</v>
      </c>
      <c r="O70" s="1655" t="s">
        <v>703</v>
      </c>
      <c r="Q70" s="461">
        <f t="shared" si="5"/>
        <v>0</v>
      </c>
    </row>
    <row r="71" spans="1:17" ht="25.5" x14ac:dyDescent="0.2">
      <c r="A71" s="1651"/>
      <c r="B71" s="1647"/>
      <c r="C71" s="569">
        <v>6030115002</v>
      </c>
      <c r="D71" s="472" t="s">
        <v>788</v>
      </c>
      <c r="E71" s="571">
        <v>44</v>
      </c>
      <c r="F71" s="572">
        <v>44</v>
      </c>
      <c r="G71" s="571">
        <v>16</v>
      </c>
      <c r="H71" s="572">
        <v>16</v>
      </c>
      <c r="I71" s="571"/>
      <c r="J71" s="572">
        <v>0</v>
      </c>
      <c r="K71" s="571">
        <v>0</v>
      </c>
      <c r="L71" s="572"/>
      <c r="M71" s="573">
        <f t="shared" si="11"/>
        <v>0</v>
      </c>
      <c r="N71" s="573">
        <f t="shared" si="4"/>
        <v>-44</v>
      </c>
      <c r="O71" s="1655"/>
      <c r="Q71" s="461">
        <f t="shared" si="5"/>
        <v>0</v>
      </c>
    </row>
    <row r="72" spans="1:17" ht="25.5" x14ac:dyDescent="0.2">
      <c r="A72" s="1651"/>
      <c r="B72" s="1647"/>
      <c r="C72" s="569">
        <v>6030115003</v>
      </c>
      <c r="D72" s="472" t="s">
        <v>588</v>
      </c>
      <c r="E72" s="571">
        <v>60</v>
      </c>
      <c r="F72" s="572">
        <v>60</v>
      </c>
      <c r="G72" s="571">
        <f>88+555.7</f>
        <v>643.70000000000005</v>
      </c>
      <c r="H72" s="572">
        <v>88</v>
      </c>
      <c r="I72" s="571">
        <v>4200</v>
      </c>
      <c r="J72" s="572">
        <v>4200</v>
      </c>
      <c r="K72" s="571">
        <v>2248</v>
      </c>
      <c r="L72" s="572">
        <v>2104</v>
      </c>
      <c r="M72" s="573">
        <f t="shared" si="11"/>
        <v>-1952</v>
      </c>
      <c r="N72" s="573">
        <f t="shared" ref="N72:N141" si="14">+K72-E72</f>
        <v>2188</v>
      </c>
      <c r="O72" s="1655"/>
      <c r="Q72" s="461">
        <f t="shared" ref="Q72:Q141" si="15">+K72-I72-M72</f>
        <v>0</v>
      </c>
    </row>
    <row r="73" spans="1:17" x14ac:dyDescent="0.2">
      <c r="A73" s="1651"/>
      <c r="B73" s="1647"/>
      <c r="C73" s="569">
        <v>6030119001</v>
      </c>
      <c r="D73" s="472" t="s">
        <v>589</v>
      </c>
      <c r="E73" s="571">
        <v>60</v>
      </c>
      <c r="F73" s="572">
        <v>60</v>
      </c>
      <c r="G73" s="571">
        <v>60</v>
      </c>
      <c r="H73" s="572">
        <v>60</v>
      </c>
      <c r="I73" s="571"/>
      <c r="J73" s="572"/>
      <c r="K73" s="571"/>
      <c r="L73" s="572"/>
      <c r="M73" s="573">
        <f t="shared" si="11"/>
        <v>0</v>
      </c>
      <c r="N73" s="573">
        <f t="shared" si="14"/>
        <v>-60</v>
      </c>
      <c r="O73" s="570"/>
      <c r="Q73" s="461">
        <f t="shared" si="15"/>
        <v>0</v>
      </c>
    </row>
    <row r="74" spans="1:17" ht="108" x14ac:dyDescent="0.2">
      <c r="A74" s="1653" t="s">
        <v>283</v>
      </c>
      <c r="B74" s="1652" t="s">
        <v>571</v>
      </c>
      <c r="C74" s="569"/>
      <c r="D74" s="472" t="s">
        <v>937</v>
      </c>
      <c r="E74" s="571"/>
      <c r="F74" s="572"/>
      <c r="G74" s="571"/>
      <c r="H74" s="572"/>
      <c r="I74" s="571">
        <v>1221.7</v>
      </c>
      <c r="J74" s="572"/>
      <c r="K74" s="571">
        <v>1221.7</v>
      </c>
      <c r="L74" s="572"/>
      <c r="M74" s="573">
        <f t="shared" si="11"/>
        <v>0</v>
      </c>
      <c r="N74" s="573">
        <f t="shared" si="14"/>
        <v>1221.7</v>
      </c>
      <c r="O74" s="570" t="s">
        <v>938</v>
      </c>
      <c r="Q74" s="461"/>
    </row>
    <row r="75" spans="1:17" ht="36" x14ac:dyDescent="0.2">
      <c r="A75" s="1653"/>
      <c r="B75" s="1652"/>
      <c r="C75" s="569">
        <v>6010102</v>
      </c>
      <c r="D75" s="472" t="s">
        <v>206</v>
      </c>
      <c r="E75" s="571"/>
      <c r="F75" s="572"/>
      <c r="G75" s="571"/>
      <c r="H75" s="572"/>
      <c r="I75" s="571">
        <v>82.5</v>
      </c>
      <c r="J75" s="572"/>
      <c r="K75" s="571">
        <v>82.5</v>
      </c>
      <c r="L75" s="572"/>
      <c r="M75" s="573"/>
      <c r="N75" s="573"/>
      <c r="O75" s="570" t="s">
        <v>940</v>
      </c>
      <c r="Q75" s="461"/>
    </row>
    <row r="76" spans="1:17" ht="30" customHeight="1" x14ac:dyDescent="0.2">
      <c r="A76" s="1653"/>
      <c r="B76" s="1652"/>
      <c r="C76" s="569">
        <v>6010103</v>
      </c>
      <c r="D76" s="472" t="s">
        <v>207</v>
      </c>
      <c r="E76" s="571"/>
      <c r="F76" s="572"/>
      <c r="G76" s="571"/>
      <c r="H76" s="572"/>
      <c r="I76" s="571">
        <v>36.799999999999997</v>
      </c>
      <c r="J76" s="572"/>
      <c r="K76" s="571">
        <v>36.799999999999997</v>
      </c>
      <c r="L76" s="572"/>
      <c r="M76" s="573"/>
      <c r="N76" s="573"/>
      <c r="O76" s="570" t="s">
        <v>941</v>
      </c>
      <c r="Q76" s="461"/>
    </row>
    <row r="77" spans="1:17" x14ac:dyDescent="0.2">
      <c r="A77" s="1653"/>
      <c r="B77" s="1652"/>
      <c r="C77" s="569"/>
      <c r="D77" s="472" t="s">
        <v>590</v>
      </c>
      <c r="E77" s="571">
        <v>50</v>
      </c>
      <c r="F77" s="572">
        <v>50</v>
      </c>
      <c r="G77" s="571">
        <v>50</v>
      </c>
      <c r="H77" s="572">
        <v>50</v>
      </c>
      <c r="I77" s="571">
        <v>75</v>
      </c>
      <c r="J77" s="572">
        <v>75</v>
      </c>
      <c r="K77" s="571">
        <v>50</v>
      </c>
      <c r="L77" s="572">
        <v>50</v>
      </c>
      <c r="M77" s="573">
        <f t="shared" si="11"/>
        <v>-25</v>
      </c>
      <c r="N77" s="573">
        <f t="shared" si="14"/>
        <v>0</v>
      </c>
      <c r="O77" s="570"/>
      <c r="Q77" s="461">
        <f t="shared" si="15"/>
        <v>0</v>
      </c>
    </row>
    <row r="78" spans="1:17" ht="36" x14ac:dyDescent="0.2">
      <c r="A78" s="1653"/>
      <c r="B78" s="1652"/>
      <c r="C78" s="569"/>
      <c r="D78" s="472" t="s">
        <v>591</v>
      </c>
      <c r="E78" s="571">
        <v>0</v>
      </c>
      <c r="F78" s="572"/>
      <c r="G78" s="571"/>
      <c r="H78" s="572"/>
      <c r="I78" s="571">
        <v>293</v>
      </c>
      <c r="J78" s="572">
        <v>293</v>
      </c>
      <c r="K78" s="571">
        <v>44</v>
      </c>
      <c r="L78" s="572">
        <v>44</v>
      </c>
      <c r="M78" s="573">
        <f t="shared" si="11"/>
        <v>-249</v>
      </c>
      <c r="N78" s="573">
        <f t="shared" si="14"/>
        <v>44</v>
      </c>
      <c r="O78" s="570" t="s">
        <v>702</v>
      </c>
      <c r="Q78" s="461">
        <f t="shared" si="15"/>
        <v>0</v>
      </c>
    </row>
    <row r="79" spans="1:17" ht="24" customHeight="1" x14ac:dyDescent="0.2">
      <c r="A79" s="1653"/>
      <c r="B79" s="1652"/>
      <c r="C79" s="569"/>
      <c r="D79" s="472" t="s">
        <v>592</v>
      </c>
      <c r="E79" s="571"/>
      <c r="F79" s="572"/>
      <c r="G79" s="571"/>
      <c r="H79" s="572"/>
      <c r="I79" s="571">
        <v>30</v>
      </c>
      <c r="J79" s="572">
        <v>30</v>
      </c>
      <c r="K79" s="571">
        <v>30</v>
      </c>
      <c r="L79" s="572">
        <v>30</v>
      </c>
      <c r="M79" s="573">
        <f t="shared" si="11"/>
        <v>0</v>
      </c>
      <c r="N79" s="573">
        <f t="shared" si="14"/>
        <v>30</v>
      </c>
      <c r="O79" s="570" t="s">
        <v>701</v>
      </c>
      <c r="Q79" s="461">
        <f t="shared" si="15"/>
        <v>0</v>
      </c>
    </row>
    <row r="80" spans="1:17" ht="24" x14ac:dyDescent="0.2">
      <c r="A80" s="1653"/>
      <c r="B80" s="1652"/>
      <c r="C80" s="569"/>
      <c r="D80" s="472" t="s">
        <v>593</v>
      </c>
      <c r="E80" s="571"/>
      <c r="F80" s="572"/>
      <c r="G80" s="571"/>
      <c r="H80" s="572"/>
      <c r="I80" s="571">
        <v>800</v>
      </c>
      <c r="J80" s="572">
        <v>800</v>
      </c>
      <c r="K80" s="571">
        <v>800</v>
      </c>
      <c r="L80" s="572">
        <v>800</v>
      </c>
      <c r="M80" s="573">
        <f t="shared" si="11"/>
        <v>0</v>
      </c>
      <c r="N80" s="573">
        <f t="shared" si="14"/>
        <v>800</v>
      </c>
      <c r="O80" s="570" t="s">
        <v>725</v>
      </c>
      <c r="Q80" s="461">
        <f t="shared" si="15"/>
        <v>0</v>
      </c>
    </row>
    <row r="81" spans="1:17" ht="25.5" x14ac:dyDescent="0.2">
      <c r="A81" s="1653"/>
      <c r="B81" s="1652"/>
      <c r="C81" s="569"/>
      <c r="D81" s="472" t="s">
        <v>594</v>
      </c>
      <c r="E81" s="571"/>
      <c r="F81" s="572"/>
      <c r="G81" s="571"/>
      <c r="H81" s="572"/>
      <c r="I81" s="571">
        <v>1300</v>
      </c>
      <c r="J81" s="572">
        <v>1300</v>
      </c>
      <c r="K81" s="571">
        <v>1300</v>
      </c>
      <c r="L81" s="572">
        <v>1300</v>
      </c>
      <c r="M81" s="573">
        <f t="shared" si="11"/>
        <v>0</v>
      </c>
      <c r="N81" s="573">
        <f t="shared" si="14"/>
        <v>1300</v>
      </c>
      <c r="O81" s="570" t="s">
        <v>700</v>
      </c>
      <c r="Q81" s="461">
        <f t="shared" si="15"/>
        <v>0</v>
      </c>
    </row>
    <row r="82" spans="1:17" ht="36" x14ac:dyDescent="0.2">
      <c r="A82" s="1653"/>
      <c r="B82" s="1652"/>
      <c r="C82" s="569"/>
      <c r="D82" s="472" t="s">
        <v>595</v>
      </c>
      <c r="E82" s="571"/>
      <c r="F82" s="572"/>
      <c r="G82" s="571"/>
      <c r="H82" s="572"/>
      <c r="I82" s="571">
        <v>80</v>
      </c>
      <c r="J82" s="572">
        <v>80</v>
      </c>
      <c r="K82" s="571">
        <v>80</v>
      </c>
      <c r="L82" s="572">
        <v>80</v>
      </c>
      <c r="M82" s="573">
        <f t="shared" si="11"/>
        <v>0</v>
      </c>
      <c r="N82" s="573">
        <f t="shared" si="14"/>
        <v>80</v>
      </c>
      <c r="O82" s="570" t="s">
        <v>699</v>
      </c>
      <c r="Q82" s="461">
        <f t="shared" si="15"/>
        <v>0</v>
      </c>
    </row>
    <row r="83" spans="1:17" x14ac:dyDescent="0.2">
      <c r="A83" s="1653"/>
      <c r="B83" s="1652"/>
      <c r="C83" s="1648" t="s">
        <v>596</v>
      </c>
      <c r="D83" s="1648"/>
      <c r="E83" s="475">
        <f t="shared" ref="E83:L83" si="16">SUM(E54:E82)</f>
        <v>10885.7</v>
      </c>
      <c r="F83" s="475">
        <f t="shared" si="16"/>
        <v>9558.9000000000015</v>
      </c>
      <c r="G83" s="475">
        <f t="shared" si="16"/>
        <v>12090.099999999999</v>
      </c>
      <c r="H83" s="475">
        <f t="shared" si="16"/>
        <v>10089.899999999998</v>
      </c>
      <c r="I83" s="475">
        <f>SUM(I54:I82)</f>
        <v>18842.099999999999</v>
      </c>
      <c r="J83" s="475">
        <f t="shared" si="16"/>
        <v>16909.900000000001</v>
      </c>
      <c r="K83" s="475">
        <f>SUM(K54:K82)</f>
        <v>16496.099999999999</v>
      </c>
      <c r="L83" s="475">
        <f t="shared" si="16"/>
        <v>14419.9</v>
      </c>
      <c r="M83" s="470">
        <f t="shared" si="11"/>
        <v>-2346</v>
      </c>
      <c r="N83" s="470">
        <f>+K83-E83</f>
        <v>5610.3999999999978</v>
      </c>
      <c r="O83" s="485"/>
      <c r="Q83" s="461">
        <f t="shared" si="15"/>
        <v>0</v>
      </c>
    </row>
    <row r="84" spans="1:17" x14ac:dyDescent="0.2">
      <c r="A84" s="1653"/>
      <c r="B84" s="1652"/>
      <c r="C84" s="1649" t="s">
        <v>185</v>
      </c>
      <c r="D84" s="1649"/>
      <c r="E84" s="475"/>
      <c r="F84" s="475"/>
      <c r="G84" s="475"/>
      <c r="H84" s="475"/>
      <c r="I84" s="475">
        <v>1391.9</v>
      </c>
      <c r="J84" s="475"/>
      <c r="K84" s="475">
        <f>+I84-E84</f>
        <v>1391.9</v>
      </c>
      <c r="L84" s="475"/>
      <c r="M84" s="476">
        <f t="shared" si="11"/>
        <v>0</v>
      </c>
      <c r="N84" s="476">
        <f t="shared" si="14"/>
        <v>1391.9</v>
      </c>
      <c r="O84" s="486"/>
      <c r="Q84" s="461">
        <f t="shared" si="15"/>
        <v>0</v>
      </c>
    </row>
    <row r="85" spans="1:17" ht="51" customHeight="1" x14ac:dyDescent="0.2">
      <c r="A85" s="1646" t="s">
        <v>597</v>
      </c>
      <c r="B85" s="1647" t="s">
        <v>598</v>
      </c>
      <c r="C85" s="569">
        <v>9010101</v>
      </c>
      <c r="D85" s="472" t="s">
        <v>599</v>
      </c>
      <c r="E85" s="571">
        <f>1898.4</f>
        <v>1898.4</v>
      </c>
      <c r="F85" s="572">
        <v>1898.4</v>
      </c>
      <c r="G85" s="571">
        <f>1906</f>
        <v>1906</v>
      </c>
      <c r="H85" s="572">
        <v>1906</v>
      </c>
      <c r="I85" s="571">
        <f>1922.5+21.7</f>
        <v>1944.2</v>
      </c>
      <c r="J85" s="572">
        <f>1922.5+21.7</f>
        <v>1944.2</v>
      </c>
      <c r="K85" s="571">
        <f>1922.5+21.7</f>
        <v>1944.2</v>
      </c>
      <c r="L85" s="572">
        <f>1922.5+21.7</f>
        <v>1944.2</v>
      </c>
      <c r="M85" s="573">
        <f t="shared" si="11"/>
        <v>0</v>
      </c>
      <c r="N85" s="573">
        <f t="shared" si="14"/>
        <v>45.799999999999955</v>
      </c>
      <c r="O85" s="1654" t="s">
        <v>698</v>
      </c>
      <c r="Q85" s="461">
        <f t="shared" si="15"/>
        <v>0</v>
      </c>
    </row>
    <row r="86" spans="1:17" x14ac:dyDescent="0.2">
      <c r="A86" s="1646"/>
      <c r="B86" s="1647"/>
      <c r="C86" s="487">
        <v>9010104</v>
      </c>
      <c r="D86" s="488" t="s">
        <v>600</v>
      </c>
      <c r="E86" s="571">
        <f>0.7+0.7</f>
        <v>1.4</v>
      </c>
      <c r="F86" s="572"/>
      <c r="G86" s="571">
        <f>1.5+0.7</f>
        <v>2.2000000000000002</v>
      </c>
      <c r="H86" s="572"/>
      <c r="I86" s="571">
        <v>2.2999999999999998</v>
      </c>
      <c r="J86" s="572"/>
      <c r="K86" s="571">
        <v>2.2999999999999998</v>
      </c>
      <c r="L86" s="572"/>
      <c r="M86" s="573"/>
      <c r="N86" s="573">
        <f t="shared" si="14"/>
        <v>0.89999999999999991</v>
      </c>
      <c r="O86" s="1654"/>
      <c r="Q86" s="461">
        <f t="shared" si="15"/>
        <v>0</v>
      </c>
    </row>
    <row r="87" spans="1:17" x14ac:dyDescent="0.2">
      <c r="A87" s="1646"/>
      <c r="B87" s="1647"/>
      <c r="C87" s="487">
        <v>9010102</v>
      </c>
      <c r="D87" s="488" t="s">
        <v>681</v>
      </c>
      <c r="E87" s="571"/>
      <c r="F87" s="572"/>
      <c r="G87" s="571"/>
      <c r="H87" s="572"/>
      <c r="I87" s="571">
        <v>20</v>
      </c>
      <c r="J87" s="572">
        <v>20</v>
      </c>
      <c r="K87" s="571">
        <v>20</v>
      </c>
      <c r="L87" s="572">
        <v>20</v>
      </c>
      <c r="M87" s="573"/>
      <c r="N87" s="573">
        <f t="shared" si="14"/>
        <v>20</v>
      </c>
      <c r="O87" s="1654"/>
      <c r="Q87" s="461">
        <f t="shared" si="15"/>
        <v>0</v>
      </c>
    </row>
    <row r="88" spans="1:17" ht="51" x14ac:dyDescent="0.2">
      <c r="A88" s="1646"/>
      <c r="B88" s="1647"/>
      <c r="C88" s="569">
        <v>9020101</v>
      </c>
      <c r="D88" s="472" t="s">
        <v>601</v>
      </c>
      <c r="E88" s="571">
        <f>428.2</f>
        <v>428.2</v>
      </c>
      <c r="F88" s="572">
        <v>428.2</v>
      </c>
      <c r="G88" s="571">
        <v>454.6</v>
      </c>
      <c r="H88" s="572">
        <v>454.6</v>
      </c>
      <c r="I88" s="571">
        <f>437.5</f>
        <v>437.5</v>
      </c>
      <c r="J88" s="572">
        <v>437.5</v>
      </c>
      <c r="K88" s="571">
        <f>437.5</f>
        <v>437.5</v>
      </c>
      <c r="L88" s="572">
        <v>437.5</v>
      </c>
      <c r="M88" s="573">
        <f t="shared" si="11"/>
        <v>0</v>
      </c>
      <c r="N88" s="573">
        <f t="shared" si="14"/>
        <v>9.3000000000000114</v>
      </c>
      <c r="O88" s="1654"/>
      <c r="Q88" s="461">
        <f t="shared" si="15"/>
        <v>0</v>
      </c>
    </row>
    <row r="89" spans="1:17" x14ac:dyDescent="0.2">
      <c r="A89" s="1646"/>
      <c r="B89" s="1647"/>
      <c r="C89" s="569">
        <v>9020104</v>
      </c>
      <c r="D89" s="472" t="s">
        <v>602</v>
      </c>
      <c r="E89" s="571">
        <f>7+5</f>
        <v>12</v>
      </c>
      <c r="F89" s="572"/>
      <c r="G89" s="571">
        <f>7+5</f>
        <v>12</v>
      </c>
      <c r="H89" s="572"/>
      <c r="I89" s="571">
        <v>6</v>
      </c>
      <c r="J89" s="572"/>
      <c r="K89" s="571">
        <v>6</v>
      </c>
      <c r="L89" s="572"/>
      <c r="M89" s="573"/>
      <c r="N89" s="573">
        <f t="shared" si="14"/>
        <v>-6</v>
      </c>
      <c r="O89" s="1654"/>
      <c r="Q89" s="461">
        <f t="shared" si="15"/>
        <v>0</v>
      </c>
    </row>
    <row r="90" spans="1:17" ht="51" x14ac:dyDescent="0.2">
      <c r="A90" s="1646"/>
      <c r="B90" s="1647"/>
      <c r="C90" s="569">
        <v>9030101</v>
      </c>
      <c r="D90" s="472" t="s">
        <v>603</v>
      </c>
      <c r="E90" s="571">
        <f>480.3</f>
        <v>480.3</v>
      </c>
      <c r="F90" s="572">
        <v>480.3</v>
      </c>
      <c r="G90" s="571">
        <v>503.1</v>
      </c>
      <c r="H90" s="572">
        <v>503.1</v>
      </c>
      <c r="I90" s="571">
        <f>486.7+10.9</f>
        <v>497.59999999999997</v>
      </c>
      <c r="J90" s="572">
        <f>486.7+10.9</f>
        <v>497.59999999999997</v>
      </c>
      <c r="K90" s="571">
        <f>486.7+10.9</f>
        <v>497.59999999999997</v>
      </c>
      <c r="L90" s="572">
        <f>486.7+10.9</f>
        <v>497.59999999999997</v>
      </c>
      <c r="M90" s="573">
        <f t="shared" si="11"/>
        <v>0</v>
      </c>
      <c r="N90" s="573">
        <f t="shared" si="14"/>
        <v>17.299999999999955</v>
      </c>
      <c r="O90" s="1654"/>
      <c r="Q90" s="461">
        <f t="shared" si="15"/>
        <v>0</v>
      </c>
    </row>
    <row r="91" spans="1:17" ht="51" x14ac:dyDescent="0.2">
      <c r="A91" s="1646"/>
      <c r="B91" s="1647"/>
      <c r="C91" s="569">
        <v>9030101</v>
      </c>
      <c r="D91" s="472" t="s">
        <v>604</v>
      </c>
      <c r="E91" s="571">
        <v>174.7</v>
      </c>
      <c r="F91" s="572">
        <v>174.7</v>
      </c>
      <c r="G91" s="571">
        <v>186.1</v>
      </c>
      <c r="H91" s="572">
        <v>186.1</v>
      </c>
      <c r="I91" s="571">
        <f>180.5</f>
        <v>180.5</v>
      </c>
      <c r="J91" s="572">
        <v>180.5</v>
      </c>
      <c r="K91" s="571">
        <f>180.5</f>
        <v>180.5</v>
      </c>
      <c r="L91" s="572">
        <v>180.5</v>
      </c>
      <c r="M91" s="573">
        <f t="shared" si="11"/>
        <v>0</v>
      </c>
      <c r="N91" s="573">
        <f t="shared" si="14"/>
        <v>5.8000000000000114</v>
      </c>
      <c r="O91" s="1654"/>
      <c r="Q91" s="461">
        <f t="shared" si="15"/>
        <v>0</v>
      </c>
    </row>
    <row r="92" spans="1:17" ht="51" x14ac:dyDescent="0.2">
      <c r="A92" s="1646"/>
      <c r="B92" s="1647"/>
      <c r="C92" s="569">
        <v>9030101</v>
      </c>
      <c r="D92" s="472" t="s">
        <v>605</v>
      </c>
      <c r="E92" s="571">
        <v>159.1</v>
      </c>
      <c r="F92" s="572">
        <v>159.1</v>
      </c>
      <c r="G92" s="571">
        <v>161.9</v>
      </c>
      <c r="H92" s="572">
        <v>161.9</v>
      </c>
      <c r="I92" s="571">
        <f>162</f>
        <v>162</v>
      </c>
      <c r="J92" s="572">
        <v>162</v>
      </c>
      <c r="K92" s="571">
        <f>162</f>
        <v>162</v>
      </c>
      <c r="L92" s="572">
        <v>162</v>
      </c>
      <c r="M92" s="573">
        <f t="shared" si="11"/>
        <v>0</v>
      </c>
      <c r="N92" s="573">
        <f t="shared" si="14"/>
        <v>2.9000000000000057</v>
      </c>
      <c r="O92" s="1654"/>
      <c r="Q92" s="461">
        <f t="shared" si="15"/>
        <v>0</v>
      </c>
    </row>
    <row r="93" spans="1:17" ht="63.75" customHeight="1" x14ac:dyDescent="0.2">
      <c r="A93" s="1646" t="s">
        <v>597</v>
      </c>
      <c r="B93" s="1647" t="s">
        <v>598</v>
      </c>
      <c r="C93" s="569">
        <v>9030101</v>
      </c>
      <c r="D93" s="472" t="s">
        <v>606</v>
      </c>
      <c r="E93" s="571">
        <v>238.8</v>
      </c>
      <c r="F93" s="572">
        <f>30.8+208</f>
        <v>238.8</v>
      </c>
      <c r="G93" s="571">
        <v>238.8</v>
      </c>
      <c r="H93" s="572">
        <v>238.8</v>
      </c>
      <c r="I93" s="571">
        <f>241.5</f>
        <v>241.5</v>
      </c>
      <c r="J93" s="572">
        <f>33.5+208</f>
        <v>241.5</v>
      </c>
      <c r="K93" s="571">
        <f>241.5</f>
        <v>241.5</v>
      </c>
      <c r="L93" s="572">
        <f>33.5+208</f>
        <v>241.5</v>
      </c>
      <c r="M93" s="573">
        <f t="shared" si="11"/>
        <v>0</v>
      </c>
      <c r="N93" s="573">
        <f t="shared" si="14"/>
        <v>2.6999999999999886</v>
      </c>
      <c r="O93" s="1654"/>
      <c r="Q93" s="461">
        <f t="shared" si="15"/>
        <v>0</v>
      </c>
    </row>
    <row r="94" spans="1:17" ht="38.25" x14ac:dyDescent="0.2">
      <c r="A94" s="1646"/>
      <c r="B94" s="1647"/>
      <c r="C94" s="569">
        <v>9030104</v>
      </c>
      <c r="D94" s="472" t="s">
        <v>607</v>
      </c>
      <c r="E94" s="571">
        <f>112.2+2.1</f>
        <v>114.3</v>
      </c>
      <c r="F94" s="572"/>
      <c r="G94" s="571">
        <f>127.5+2.1</f>
        <v>129.6</v>
      </c>
      <c r="H94" s="572"/>
      <c r="I94" s="571">
        <f>20+4+10+83</f>
        <v>117</v>
      </c>
      <c r="J94" s="572"/>
      <c r="K94" s="571">
        <f>20+4+10+83</f>
        <v>117</v>
      </c>
      <c r="L94" s="572"/>
      <c r="M94" s="573"/>
      <c r="N94" s="573">
        <f t="shared" si="14"/>
        <v>2.7000000000000028</v>
      </c>
      <c r="O94" s="574" t="s">
        <v>827</v>
      </c>
      <c r="Q94" s="461">
        <f t="shared" si="15"/>
        <v>0</v>
      </c>
    </row>
    <row r="95" spans="1:17" x14ac:dyDescent="0.2">
      <c r="A95" s="1646"/>
      <c r="B95" s="1647"/>
      <c r="C95" s="569">
        <v>9040101</v>
      </c>
      <c r="D95" s="472" t="s">
        <v>608</v>
      </c>
      <c r="E95" s="571">
        <v>291</v>
      </c>
      <c r="F95" s="572">
        <v>291</v>
      </c>
      <c r="G95" s="571">
        <v>287.5</v>
      </c>
      <c r="H95" s="572">
        <v>287.5</v>
      </c>
      <c r="I95" s="571">
        <v>291</v>
      </c>
      <c r="J95" s="572">
        <v>291</v>
      </c>
      <c r="K95" s="571">
        <v>291</v>
      </c>
      <c r="L95" s="572">
        <v>291</v>
      </c>
      <c r="M95" s="573">
        <f t="shared" si="11"/>
        <v>0</v>
      </c>
      <c r="N95" s="573">
        <f t="shared" si="14"/>
        <v>0</v>
      </c>
      <c r="O95" s="489"/>
      <c r="Q95" s="461">
        <f t="shared" si="15"/>
        <v>0</v>
      </c>
    </row>
    <row r="96" spans="1:17" ht="38.25" x14ac:dyDescent="0.2">
      <c r="A96" s="1646"/>
      <c r="B96" s="1647"/>
      <c r="C96" s="569">
        <v>9040101</v>
      </c>
      <c r="D96" s="472" t="s">
        <v>954</v>
      </c>
      <c r="E96" s="571">
        <v>30</v>
      </c>
      <c r="F96" s="572"/>
      <c r="G96" s="571">
        <v>30</v>
      </c>
      <c r="H96" s="572"/>
      <c r="I96" s="571">
        <v>35</v>
      </c>
      <c r="J96" s="572"/>
      <c r="K96" s="571">
        <v>35</v>
      </c>
      <c r="L96" s="572"/>
      <c r="M96" s="573"/>
      <c r="N96" s="573"/>
      <c r="O96" s="489" t="s">
        <v>956</v>
      </c>
      <c r="Q96" s="461"/>
    </row>
    <row r="97" spans="1:17" x14ac:dyDescent="0.2">
      <c r="A97" s="1646"/>
      <c r="B97" s="1647"/>
      <c r="C97" s="569">
        <v>9040102</v>
      </c>
      <c r="D97" s="472" t="s">
        <v>740</v>
      </c>
      <c r="E97" s="571">
        <v>127</v>
      </c>
      <c r="F97" s="572">
        <v>127</v>
      </c>
      <c r="G97" s="571">
        <v>127</v>
      </c>
      <c r="H97" s="572">
        <v>127</v>
      </c>
      <c r="I97" s="571">
        <v>127</v>
      </c>
      <c r="J97" s="572">
        <v>127</v>
      </c>
      <c r="K97" s="571">
        <v>127</v>
      </c>
      <c r="L97" s="572">
        <v>127</v>
      </c>
      <c r="M97" s="573">
        <f t="shared" si="11"/>
        <v>0</v>
      </c>
      <c r="N97" s="573">
        <f t="shared" si="14"/>
        <v>0</v>
      </c>
      <c r="O97" s="489"/>
      <c r="Q97" s="461">
        <f t="shared" si="15"/>
        <v>0</v>
      </c>
    </row>
    <row r="98" spans="1:17" ht="38.25" x14ac:dyDescent="0.2">
      <c r="A98" s="1646"/>
      <c r="B98" s="1647"/>
      <c r="C98" s="569">
        <v>9040102</v>
      </c>
      <c r="D98" s="472" t="s">
        <v>955</v>
      </c>
      <c r="E98" s="571">
        <v>30</v>
      </c>
      <c r="F98" s="572"/>
      <c r="G98" s="571">
        <v>30</v>
      </c>
      <c r="H98" s="572"/>
      <c r="I98" s="571">
        <v>27</v>
      </c>
      <c r="J98" s="572"/>
      <c r="K98" s="571">
        <v>27</v>
      </c>
      <c r="L98" s="572"/>
      <c r="M98" s="573"/>
      <c r="N98" s="573"/>
      <c r="O98" s="489" t="s">
        <v>956</v>
      </c>
      <c r="Q98" s="461"/>
    </row>
    <row r="99" spans="1:17" x14ac:dyDescent="0.2">
      <c r="A99" s="1646"/>
      <c r="B99" s="1647"/>
      <c r="C99" s="569">
        <v>9040103</v>
      </c>
      <c r="D99" s="472" t="s">
        <v>609</v>
      </c>
      <c r="E99" s="571">
        <v>11.6</v>
      </c>
      <c r="F99" s="572">
        <v>11.6</v>
      </c>
      <c r="G99" s="571">
        <v>11.6</v>
      </c>
      <c r="H99" s="572">
        <v>11.6</v>
      </c>
      <c r="I99" s="571">
        <v>19.3</v>
      </c>
      <c r="J99" s="572">
        <v>19.3</v>
      </c>
      <c r="K99" s="571">
        <v>19.3</v>
      </c>
      <c r="L99" s="572">
        <v>19.3</v>
      </c>
      <c r="M99" s="573">
        <f t="shared" si="11"/>
        <v>0</v>
      </c>
      <c r="N99" s="573">
        <f t="shared" si="14"/>
        <v>7.7000000000000011</v>
      </c>
      <c r="O99" s="489" t="s">
        <v>697</v>
      </c>
      <c r="Q99" s="461">
        <f t="shared" si="15"/>
        <v>0</v>
      </c>
    </row>
    <row r="100" spans="1:17" x14ac:dyDescent="0.2">
      <c r="A100" s="1646"/>
      <c r="B100" s="1647"/>
      <c r="C100" s="569">
        <v>9040104</v>
      </c>
      <c r="D100" s="472" t="s">
        <v>610</v>
      </c>
      <c r="E100" s="571">
        <v>143.5</v>
      </c>
      <c r="F100" s="572">
        <v>143.5</v>
      </c>
      <c r="G100" s="571">
        <v>143.5</v>
      </c>
      <c r="H100" s="572">
        <v>143.5</v>
      </c>
      <c r="I100" s="571">
        <v>143.5</v>
      </c>
      <c r="J100" s="572">
        <v>143.5</v>
      </c>
      <c r="K100" s="571">
        <v>143.5</v>
      </c>
      <c r="L100" s="572">
        <v>143.5</v>
      </c>
      <c r="M100" s="573">
        <f t="shared" si="11"/>
        <v>0</v>
      </c>
      <c r="N100" s="573">
        <f t="shared" si="14"/>
        <v>0</v>
      </c>
      <c r="O100" s="489"/>
      <c r="Q100" s="461">
        <f t="shared" si="15"/>
        <v>0</v>
      </c>
    </row>
    <row r="101" spans="1:17" x14ac:dyDescent="0.2">
      <c r="A101" s="1646"/>
      <c r="B101" s="1647"/>
      <c r="C101" s="569">
        <v>9040105</v>
      </c>
      <c r="D101" s="472" t="s">
        <v>739</v>
      </c>
      <c r="E101" s="571">
        <v>40</v>
      </c>
      <c r="F101" s="572">
        <v>40</v>
      </c>
      <c r="G101" s="571">
        <v>40</v>
      </c>
      <c r="H101" s="572">
        <v>40</v>
      </c>
      <c r="I101" s="571">
        <v>70</v>
      </c>
      <c r="J101" s="572">
        <v>70</v>
      </c>
      <c r="K101" s="571">
        <v>40</v>
      </c>
      <c r="L101" s="572">
        <v>40</v>
      </c>
      <c r="M101" s="573">
        <f t="shared" si="11"/>
        <v>-30</v>
      </c>
      <c r="N101" s="573">
        <f t="shared" si="14"/>
        <v>0</v>
      </c>
      <c r="O101" s="489"/>
      <c r="Q101" s="461">
        <f t="shared" si="15"/>
        <v>0</v>
      </c>
    </row>
    <row r="102" spans="1:17" x14ac:dyDescent="0.2">
      <c r="A102" s="1646"/>
      <c r="B102" s="1647"/>
      <c r="C102" s="569">
        <v>9040106</v>
      </c>
      <c r="D102" s="472" t="s">
        <v>738</v>
      </c>
      <c r="E102" s="571">
        <v>119</v>
      </c>
      <c r="F102" s="572">
        <v>119</v>
      </c>
      <c r="G102" s="571">
        <v>119</v>
      </c>
      <c r="H102" s="572">
        <v>119</v>
      </c>
      <c r="I102" s="571">
        <v>150</v>
      </c>
      <c r="J102" s="572">
        <v>150</v>
      </c>
      <c r="K102" s="571">
        <v>119</v>
      </c>
      <c r="L102" s="572">
        <v>119</v>
      </c>
      <c r="M102" s="573">
        <f t="shared" si="11"/>
        <v>-31</v>
      </c>
      <c r="N102" s="573">
        <f t="shared" si="14"/>
        <v>0</v>
      </c>
      <c r="O102" s="489"/>
      <c r="Q102" s="461">
        <f t="shared" si="15"/>
        <v>0</v>
      </c>
    </row>
    <row r="103" spans="1:17" x14ac:dyDescent="0.2">
      <c r="A103" s="1646"/>
      <c r="B103" s="1647"/>
      <c r="C103" s="569">
        <v>9040107</v>
      </c>
      <c r="D103" s="472" t="s">
        <v>737</v>
      </c>
      <c r="E103" s="571">
        <v>43.7</v>
      </c>
      <c r="F103" s="572">
        <v>43.7</v>
      </c>
      <c r="G103" s="571">
        <v>43.7</v>
      </c>
      <c r="H103" s="572">
        <v>43.7</v>
      </c>
      <c r="I103" s="571">
        <v>43.7</v>
      </c>
      <c r="J103" s="572">
        <v>43.7</v>
      </c>
      <c r="K103" s="571">
        <v>43.7</v>
      </c>
      <c r="L103" s="572">
        <v>43.7</v>
      </c>
      <c r="M103" s="573">
        <f t="shared" si="11"/>
        <v>0</v>
      </c>
      <c r="N103" s="573">
        <f t="shared" si="14"/>
        <v>0</v>
      </c>
      <c r="O103" s="489"/>
      <c r="Q103" s="461">
        <f t="shared" si="15"/>
        <v>0</v>
      </c>
    </row>
    <row r="104" spans="1:17" ht="25.5" x14ac:dyDescent="0.2">
      <c r="A104" s="1646"/>
      <c r="B104" s="1647"/>
      <c r="C104" s="569">
        <v>9040108</v>
      </c>
      <c r="D104" s="472" t="s">
        <v>611</v>
      </c>
      <c r="E104" s="571">
        <v>208.5</v>
      </c>
      <c r="F104" s="572">
        <v>208.5</v>
      </c>
      <c r="G104" s="571">
        <v>208.5</v>
      </c>
      <c r="H104" s="572">
        <v>208.5</v>
      </c>
      <c r="I104" s="571">
        <v>208.5</v>
      </c>
      <c r="J104" s="572">
        <v>208.5</v>
      </c>
      <c r="K104" s="571">
        <v>208.5</v>
      </c>
      <c r="L104" s="572">
        <v>208.5</v>
      </c>
      <c r="M104" s="573">
        <f t="shared" si="11"/>
        <v>0</v>
      </c>
      <c r="N104" s="573">
        <f t="shared" si="14"/>
        <v>0</v>
      </c>
      <c r="O104" s="489"/>
      <c r="Q104" s="461">
        <f t="shared" si="15"/>
        <v>0</v>
      </c>
    </row>
    <row r="105" spans="1:17" x14ac:dyDescent="0.2">
      <c r="A105" s="1646"/>
      <c r="B105" s="1647"/>
      <c r="C105" s="569">
        <v>9040109</v>
      </c>
      <c r="D105" s="472" t="s">
        <v>736</v>
      </c>
      <c r="E105" s="571">
        <v>317.10000000000002</v>
      </c>
      <c r="F105" s="572">
        <v>317.10000000000002</v>
      </c>
      <c r="G105" s="571">
        <v>317.10000000000002</v>
      </c>
      <c r="H105" s="572">
        <v>317.10000000000002</v>
      </c>
      <c r="I105" s="571">
        <v>331.6</v>
      </c>
      <c r="J105" s="572">
        <v>331.6</v>
      </c>
      <c r="K105" s="571">
        <v>317.10000000000002</v>
      </c>
      <c r="L105" s="572">
        <v>317.10000000000002</v>
      </c>
      <c r="M105" s="573">
        <f t="shared" si="11"/>
        <v>-14.5</v>
      </c>
      <c r="N105" s="573">
        <f t="shared" si="14"/>
        <v>0</v>
      </c>
      <c r="O105" s="489"/>
      <c r="Q105" s="461">
        <f t="shared" si="15"/>
        <v>0</v>
      </c>
    </row>
    <row r="106" spans="1:17" ht="25.5" x14ac:dyDescent="0.2">
      <c r="A106" s="1646"/>
      <c r="B106" s="1647"/>
      <c r="C106" s="569">
        <v>9040110</v>
      </c>
      <c r="D106" s="472" t="s">
        <v>735</v>
      </c>
      <c r="E106" s="571">
        <v>16.600000000000001</v>
      </c>
      <c r="F106" s="572">
        <v>16.600000000000001</v>
      </c>
      <c r="G106" s="571">
        <v>16.600000000000001</v>
      </c>
      <c r="H106" s="572">
        <v>16.600000000000001</v>
      </c>
      <c r="I106" s="571">
        <v>25</v>
      </c>
      <c r="J106" s="572">
        <v>25</v>
      </c>
      <c r="K106" s="571">
        <v>16.600000000000001</v>
      </c>
      <c r="L106" s="572">
        <v>16.600000000000001</v>
      </c>
      <c r="M106" s="573">
        <f t="shared" si="11"/>
        <v>-8.3999999999999986</v>
      </c>
      <c r="N106" s="573">
        <f t="shared" si="14"/>
        <v>0</v>
      </c>
      <c r="O106" s="489" t="s">
        <v>930</v>
      </c>
      <c r="Q106" s="461">
        <f t="shared" si="15"/>
        <v>0</v>
      </c>
    </row>
    <row r="107" spans="1:17" ht="30.75" customHeight="1" x14ac:dyDescent="0.2">
      <c r="A107" s="1646"/>
      <c r="B107" s="1647"/>
      <c r="C107" s="569">
        <v>9040111</v>
      </c>
      <c r="D107" s="472" t="s">
        <v>734</v>
      </c>
      <c r="E107" s="571">
        <v>90.5</v>
      </c>
      <c r="F107" s="572">
        <v>90.5</v>
      </c>
      <c r="G107" s="571">
        <v>90.5</v>
      </c>
      <c r="H107" s="572">
        <v>90.5</v>
      </c>
      <c r="I107" s="571">
        <v>90.5</v>
      </c>
      <c r="J107" s="572">
        <v>90.5</v>
      </c>
      <c r="K107" s="571">
        <v>90.5</v>
      </c>
      <c r="L107" s="572">
        <v>90.5</v>
      </c>
      <c r="M107" s="573">
        <f t="shared" si="11"/>
        <v>0</v>
      </c>
      <c r="N107" s="573">
        <f t="shared" si="14"/>
        <v>0</v>
      </c>
      <c r="O107" s="489"/>
      <c r="Q107" s="461">
        <f t="shared" si="15"/>
        <v>0</v>
      </c>
    </row>
    <row r="108" spans="1:17" ht="30.75" customHeight="1" x14ac:dyDescent="0.2">
      <c r="A108" s="1646"/>
      <c r="B108" s="1647"/>
      <c r="C108" s="569">
        <v>9040112</v>
      </c>
      <c r="D108" s="472" t="s">
        <v>733</v>
      </c>
      <c r="E108" s="571">
        <v>23.2</v>
      </c>
      <c r="F108" s="572">
        <v>23.2</v>
      </c>
      <c r="G108" s="571">
        <v>23.2</v>
      </c>
      <c r="H108" s="572">
        <v>23.2</v>
      </c>
      <c r="I108" s="571">
        <v>23.2</v>
      </c>
      <c r="J108" s="572">
        <v>23.2</v>
      </c>
      <c r="K108" s="571">
        <v>23.2</v>
      </c>
      <c r="L108" s="572">
        <v>23.2</v>
      </c>
      <c r="M108" s="573">
        <f t="shared" si="11"/>
        <v>0</v>
      </c>
      <c r="N108" s="573">
        <f t="shared" si="14"/>
        <v>0</v>
      </c>
      <c r="O108" s="489"/>
      <c r="Q108" s="461">
        <f t="shared" si="15"/>
        <v>0</v>
      </c>
    </row>
    <row r="109" spans="1:17" ht="30.75" customHeight="1" x14ac:dyDescent="0.2">
      <c r="A109" s="1646"/>
      <c r="B109" s="1647"/>
      <c r="C109" s="569">
        <v>9040114</v>
      </c>
      <c r="D109" s="472" t="s">
        <v>732</v>
      </c>
      <c r="E109" s="571">
        <v>50</v>
      </c>
      <c r="F109" s="572">
        <v>50</v>
      </c>
      <c r="G109" s="571">
        <v>50</v>
      </c>
      <c r="H109" s="572">
        <v>50</v>
      </c>
      <c r="I109" s="571">
        <v>50</v>
      </c>
      <c r="J109" s="572">
        <v>50</v>
      </c>
      <c r="K109" s="571">
        <v>50</v>
      </c>
      <c r="L109" s="572">
        <v>50</v>
      </c>
      <c r="M109" s="573">
        <f t="shared" si="11"/>
        <v>0</v>
      </c>
      <c r="N109" s="573">
        <f t="shared" si="14"/>
        <v>0</v>
      </c>
      <c r="O109" s="489"/>
      <c r="Q109" s="461">
        <f t="shared" si="15"/>
        <v>0</v>
      </c>
    </row>
    <row r="110" spans="1:17" ht="30.75" customHeight="1" x14ac:dyDescent="0.2">
      <c r="A110" s="1646"/>
      <c r="B110" s="1647"/>
      <c r="C110" s="569">
        <v>9040115</v>
      </c>
      <c r="D110" s="472" t="s">
        <v>731</v>
      </c>
      <c r="E110" s="571">
        <v>9</v>
      </c>
      <c r="F110" s="572">
        <v>9</v>
      </c>
      <c r="G110" s="571">
        <v>9</v>
      </c>
      <c r="H110" s="572">
        <v>9</v>
      </c>
      <c r="I110" s="571">
        <v>9</v>
      </c>
      <c r="J110" s="572">
        <v>9</v>
      </c>
      <c r="K110" s="571">
        <v>9</v>
      </c>
      <c r="L110" s="572">
        <v>9</v>
      </c>
      <c r="M110" s="573">
        <f t="shared" si="11"/>
        <v>0</v>
      </c>
      <c r="N110" s="573">
        <f t="shared" si="14"/>
        <v>0</v>
      </c>
      <c r="O110" s="489"/>
      <c r="Q110" s="461">
        <f t="shared" si="15"/>
        <v>0</v>
      </c>
    </row>
    <row r="111" spans="1:17" ht="84" x14ac:dyDescent="0.2">
      <c r="A111" s="1646"/>
      <c r="B111" s="1647"/>
      <c r="C111" s="569">
        <v>9040116</v>
      </c>
      <c r="D111" s="472" t="s">
        <v>612</v>
      </c>
      <c r="E111" s="571">
        <v>20.5</v>
      </c>
      <c r="F111" s="572">
        <v>20.5</v>
      </c>
      <c r="G111" s="571">
        <v>74.8</v>
      </c>
      <c r="H111" s="572">
        <v>74.8</v>
      </c>
      <c r="I111" s="571">
        <v>107.2</v>
      </c>
      <c r="J111" s="572">
        <v>107.2</v>
      </c>
      <c r="K111" s="571">
        <v>95.5</v>
      </c>
      <c r="L111" s="572">
        <v>95.5</v>
      </c>
      <c r="M111" s="573">
        <f t="shared" si="11"/>
        <v>-11.700000000000003</v>
      </c>
      <c r="N111" s="573">
        <f t="shared" si="14"/>
        <v>75</v>
      </c>
      <c r="O111" s="489" t="s">
        <v>933</v>
      </c>
      <c r="Q111" s="461">
        <f t="shared" si="15"/>
        <v>0</v>
      </c>
    </row>
    <row r="112" spans="1:17" ht="30.75" customHeight="1" x14ac:dyDescent="0.2">
      <c r="A112" s="1646"/>
      <c r="B112" s="1647"/>
      <c r="C112" s="569">
        <v>9040117</v>
      </c>
      <c r="D112" s="472" t="s">
        <v>730</v>
      </c>
      <c r="E112" s="571">
        <v>38.200000000000003</v>
      </c>
      <c r="F112" s="572">
        <v>38.200000000000003</v>
      </c>
      <c r="G112" s="571">
        <v>38.200000000000003</v>
      </c>
      <c r="H112" s="572">
        <v>38.200000000000003</v>
      </c>
      <c r="I112" s="571">
        <v>40</v>
      </c>
      <c r="J112" s="572">
        <v>40</v>
      </c>
      <c r="K112" s="571">
        <v>38.200000000000003</v>
      </c>
      <c r="L112" s="572">
        <v>38.200000000000003</v>
      </c>
      <c r="M112" s="573">
        <f t="shared" ref="M112:M146" si="17">+K112-I112</f>
        <v>-1.7999999999999972</v>
      </c>
      <c r="N112" s="573">
        <f t="shared" si="14"/>
        <v>0</v>
      </c>
      <c r="O112" s="489" t="s">
        <v>931</v>
      </c>
      <c r="Q112" s="461">
        <f t="shared" si="15"/>
        <v>0</v>
      </c>
    </row>
    <row r="113" spans="1:17" ht="30.75" customHeight="1" x14ac:dyDescent="0.2">
      <c r="A113" s="1646"/>
      <c r="B113" s="1647"/>
      <c r="C113" s="569">
        <v>9040123</v>
      </c>
      <c r="D113" s="575" t="s">
        <v>613</v>
      </c>
      <c r="E113" s="571">
        <v>86.8</v>
      </c>
      <c r="F113" s="572">
        <v>86.8</v>
      </c>
      <c r="G113" s="571">
        <v>86.8</v>
      </c>
      <c r="H113" s="572">
        <v>86.8</v>
      </c>
      <c r="I113" s="571">
        <v>86.8</v>
      </c>
      <c r="J113" s="572">
        <v>86.8</v>
      </c>
      <c r="K113" s="571">
        <v>86.8</v>
      </c>
      <c r="L113" s="572">
        <v>86.8</v>
      </c>
      <c r="M113" s="573">
        <f t="shared" si="17"/>
        <v>0</v>
      </c>
      <c r="N113" s="573">
        <f t="shared" si="14"/>
        <v>0</v>
      </c>
      <c r="O113" s="489"/>
      <c r="Q113" s="461">
        <f t="shared" si="15"/>
        <v>0</v>
      </c>
    </row>
    <row r="114" spans="1:17" ht="30.75" customHeight="1" x14ac:dyDescent="0.2">
      <c r="A114" s="1646"/>
      <c r="B114" s="1647"/>
      <c r="C114" s="569">
        <v>9040118</v>
      </c>
      <c r="D114" s="472" t="s">
        <v>729</v>
      </c>
      <c r="E114" s="571">
        <v>1.2</v>
      </c>
      <c r="F114" s="572">
        <v>1.2</v>
      </c>
      <c r="G114" s="571">
        <v>1.2</v>
      </c>
      <c r="H114" s="572">
        <v>1.2</v>
      </c>
      <c r="I114" s="571">
        <v>1.2</v>
      </c>
      <c r="J114" s="572">
        <v>1.2</v>
      </c>
      <c r="K114" s="571">
        <v>1.2</v>
      </c>
      <c r="L114" s="572">
        <v>1.2</v>
      </c>
      <c r="M114" s="573">
        <f t="shared" si="17"/>
        <v>0</v>
      </c>
      <c r="N114" s="573">
        <f t="shared" si="14"/>
        <v>0</v>
      </c>
      <c r="O114" s="489"/>
      <c r="Q114" s="461">
        <f t="shared" si="15"/>
        <v>0</v>
      </c>
    </row>
    <row r="115" spans="1:17" ht="30.75" customHeight="1" x14ac:dyDescent="0.2">
      <c r="A115" s="1646"/>
      <c r="B115" s="1647"/>
      <c r="C115" s="569">
        <v>9050111</v>
      </c>
      <c r="D115" s="472" t="s">
        <v>614</v>
      </c>
      <c r="E115" s="571">
        <v>225</v>
      </c>
      <c r="F115" s="572">
        <v>225</v>
      </c>
      <c r="G115" s="571">
        <v>224.3</v>
      </c>
      <c r="H115" s="572">
        <v>224.3</v>
      </c>
      <c r="I115" s="571">
        <v>300</v>
      </c>
      <c r="J115" s="572">
        <v>300</v>
      </c>
      <c r="K115" s="571">
        <v>225</v>
      </c>
      <c r="L115" s="572">
        <v>225</v>
      </c>
      <c r="M115" s="573">
        <f t="shared" si="17"/>
        <v>-75</v>
      </c>
      <c r="N115" s="573">
        <f t="shared" si="14"/>
        <v>0</v>
      </c>
      <c r="O115" s="489" t="s">
        <v>696</v>
      </c>
      <c r="Q115" s="461">
        <f t="shared" si="15"/>
        <v>0</v>
      </c>
    </row>
    <row r="116" spans="1:17" ht="30.75" customHeight="1" x14ac:dyDescent="0.2">
      <c r="A116" s="1646"/>
      <c r="B116" s="1647"/>
      <c r="C116" s="569">
        <v>9050106</v>
      </c>
      <c r="D116" s="472" t="s">
        <v>615</v>
      </c>
      <c r="E116" s="571">
        <v>60</v>
      </c>
      <c r="F116" s="572">
        <v>60</v>
      </c>
      <c r="G116" s="571">
        <v>60</v>
      </c>
      <c r="H116" s="572">
        <v>60</v>
      </c>
      <c r="I116" s="571">
        <v>150</v>
      </c>
      <c r="J116" s="572">
        <v>150</v>
      </c>
      <c r="K116" s="571">
        <v>120</v>
      </c>
      <c r="L116" s="572">
        <v>120</v>
      </c>
      <c r="M116" s="573">
        <f t="shared" si="17"/>
        <v>-30</v>
      </c>
      <c r="N116" s="573">
        <f t="shared" si="14"/>
        <v>60</v>
      </c>
      <c r="O116" s="489" t="s">
        <v>828</v>
      </c>
      <c r="Q116" s="461">
        <f t="shared" si="15"/>
        <v>0</v>
      </c>
    </row>
    <row r="117" spans="1:17" ht="30.75" customHeight="1" x14ac:dyDescent="0.2">
      <c r="A117" s="1651" t="s">
        <v>597</v>
      </c>
      <c r="B117" s="1647" t="s">
        <v>598</v>
      </c>
      <c r="C117" s="569">
        <v>9050106</v>
      </c>
      <c r="D117" s="472" t="s">
        <v>616</v>
      </c>
      <c r="E117" s="571">
        <v>40</v>
      </c>
      <c r="F117" s="572">
        <v>40</v>
      </c>
      <c r="G117" s="571">
        <v>50</v>
      </c>
      <c r="H117" s="572">
        <v>50</v>
      </c>
      <c r="I117" s="571">
        <v>70</v>
      </c>
      <c r="J117" s="572">
        <v>70</v>
      </c>
      <c r="K117" s="571">
        <v>50</v>
      </c>
      <c r="L117" s="572">
        <v>50</v>
      </c>
      <c r="M117" s="573">
        <f t="shared" si="17"/>
        <v>-20</v>
      </c>
      <c r="N117" s="573">
        <f t="shared" si="14"/>
        <v>10</v>
      </c>
      <c r="O117" s="574" t="s">
        <v>829</v>
      </c>
      <c r="Q117" s="461">
        <f t="shared" si="15"/>
        <v>0</v>
      </c>
    </row>
    <row r="118" spans="1:17" ht="84" x14ac:dyDescent="0.2">
      <c r="A118" s="1651"/>
      <c r="B118" s="1647"/>
      <c r="C118" s="569">
        <v>9050106</v>
      </c>
      <c r="D118" s="472" t="s">
        <v>617</v>
      </c>
      <c r="E118" s="571">
        <v>60</v>
      </c>
      <c r="F118" s="572">
        <v>60</v>
      </c>
      <c r="G118" s="571">
        <v>60</v>
      </c>
      <c r="H118" s="572">
        <v>60</v>
      </c>
      <c r="I118" s="571">
        <v>90</v>
      </c>
      <c r="J118" s="572">
        <v>90</v>
      </c>
      <c r="K118" s="571">
        <v>40</v>
      </c>
      <c r="L118" s="572">
        <v>40</v>
      </c>
      <c r="M118" s="573">
        <f t="shared" si="17"/>
        <v>-50</v>
      </c>
      <c r="N118" s="573">
        <f t="shared" si="14"/>
        <v>-20</v>
      </c>
      <c r="O118" s="574" t="s">
        <v>830</v>
      </c>
      <c r="Q118" s="461">
        <f t="shared" si="15"/>
        <v>0</v>
      </c>
    </row>
    <row r="119" spans="1:17" ht="25.5" x14ac:dyDescent="0.2">
      <c r="A119" s="1651"/>
      <c r="B119" s="1647"/>
      <c r="C119" s="569"/>
      <c r="D119" s="472" t="s">
        <v>618</v>
      </c>
      <c r="E119" s="571"/>
      <c r="F119" s="572"/>
      <c r="G119" s="571">
        <v>0.8</v>
      </c>
      <c r="H119" s="572">
        <v>0.8</v>
      </c>
      <c r="I119" s="571"/>
      <c r="J119" s="572"/>
      <c r="K119" s="571">
        <v>1.5</v>
      </c>
      <c r="L119" s="572">
        <v>1.5</v>
      </c>
      <c r="M119" s="573">
        <f t="shared" si="17"/>
        <v>1.5</v>
      </c>
      <c r="N119" s="573">
        <f t="shared" si="14"/>
        <v>1.5</v>
      </c>
      <c r="O119" s="574"/>
      <c r="Q119" s="461">
        <f t="shared" si="15"/>
        <v>0</v>
      </c>
    </row>
    <row r="120" spans="1:17" ht="25.5" x14ac:dyDescent="0.2">
      <c r="A120" s="1651"/>
      <c r="B120" s="1647"/>
      <c r="C120" s="569"/>
      <c r="D120" s="472" t="s">
        <v>619</v>
      </c>
      <c r="E120" s="571"/>
      <c r="F120" s="572"/>
      <c r="G120" s="571"/>
      <c r="H120" s="572"/>
      <c r="I120" s="571">
        <v>30</v>
      </c>
      <c r="J120" s="572">
        <v>30</v>
      </c>
      <c r="K120" s="571">
        <v>10</v>
      </c>
      <c r="L120" s="572">
        <v>10</v>
      </c>
      <c r="M120" s="573">
        <f t="shared" si="17"/>
        <v>-20</v>
      </c>
      <c r="N120" s="573">
        <f t="shared" si="14"/>
        <v>10</v>
      </c>
      <c r="O120" s="574" t="s">
        <v>831</v>
      </c>
      <c r="Q120" s="461">
        <f t="shared" si="15"/>
        <v>0</v>
      </c>
    </row>
    <row r="121" spans="1:17" ht="25.5" x14ac:dyDescent="0.2">
      <c r="A121" s="1651"/>
      <c r="B121" s="1647"/>
      <c r="C121" s="569"/>
      <c r="D121" s="472" t="s">
        <v>620</v>
      </c>
      <c r="E121" s="571"/>
      <c r="F121" s="572"/>
      <c r="G121" s="571"/>
      <c r="H121" s="572"/>
      <c r="I121" s="571">
        <v>7</v>
      </c>
      <c r="J121" s="572">
        <v>7</v>
      </c>
      <c r="K121" s="571"/>
      <c r="L121" s="572"/>
      <c r="M121" s="573">
        <f t="shared" si="17"/>
        <v>-7</v>
      </c>
      <c r="N121" s="573">
        <f t="shared" si="14"/>
        <v>0</v>
      </c>
      <c r="O121" s="574" t="s">
        <v>832</v>
      </c>
      <c r="Q121" s="461">
        <f t="shared" si="15"/>
        <v>0</v>
      </c>
    </row>
    <row r="122" spans="1:17" ht="24" x14ac:dyDescent="0.2">
      <c r="A122" s="1651"/>
      <c r="B122" s="1647"/>
      <c r="C122" s="569">
        <v>9050106</v>
      </c>
      <c r="D122" s="472" t="s">
        <v>621</v>
      </c>
      <c r="E122" s="571"/>
      <c r="F122" s="572"/>
      <c r="G122" s="571">
        <v>200</v>
      </c>
      <c r="H122" s="572">
        <v>200</v>
      </c>
      <c r="I122" s="571">
        <v>210</v>
      </c>
      <c r="J122" s="572">
        <v>210</v>
      </c>
      <c r="K122" s="571"/>
      <c r="L122" s="572"/>
      <c r="M122" s="573">
        <f t="shared" si="17"/>
        <v>-210</v>
      </c>
      <c r="N122" s="573">
        <f t="shared" si="14"/>
        <v>0</v>
      </c>
      <c r="O122" s="574" t="s">
        <v>833</v>
      </c>
      <c r="Q122" s="461">
        <f t="shared" si="15"/>
        <v>0</v>
      </c>
    </row>
    <row r="123" spans="1:17" ht="132" x14ac:dyDescent="0.2">
      <c r="A123" s="1651"/>
      <c r="B123" s="1647"/>
      <c r="C123" s="569">
        <v>9050201</v>
      </c>
      <c r="D123" s="472" t="s">
        <v>622</v>
      </c>
      <c r="E123" s="571">
        <v>94.3</v>
      </c>
      <c r="F123" s="572">
        <v>94.3</v>
      </c>
      <c r="G123" s="571">
        <v>94.3</v>
      </c>
      <c r="H123" s="572">
        <v>94.3</v>
      </c>
      <c r="I123" s="571">
        <v>234.5</v>
      </c>
      <c r="J123" s="572">
        <v>234.5</v>
      </c>
      <c r="K123" s="571">
        <v>210</v>
      </c>
      <c r="L123" s="572">
        <v>210</v>
      </c>
      <c r="M123" s="573">
        <f t="shared" si="17"/>
        <v>-24.5</v>
      </c>
      <c r="N123" s="573">
        <f t="shared" si="14"/>
        <v>115.7</v>
      </c>
      <c r="O123" s="574" t="s">
        <v>834</v>
      </c>
      <c r="Q123" s="461">
        <f t="shared" si="15"/>
        <v>0</v>
      </c>
    </row>
    <row r="124" spans="1:17" x14ac:dyDescent="0.2">
      <c r="A124" s="1651"/>
      <c r="B124" s="1647"/>
      <c r="C124" s="569">
        <v>9050202</v>
      </c>
      <c r="D124" s="575" t="s">
        <v>623</v>
      </c>
      <c r="E124" s="571">
        <v>170</v>
      </c>
      <c r="F124" s="572">
        <v>170</v>
      </c>
      <c r="G124" s="571">
        <v>190</v>
      </c>
      <c r="H124" s="572">
        <v>190</v>
      </c>
      <c r="I124" s="571">
        <v>250</v>
      </c>
      <c r="J124" s="572">
        <v>250</v>
      </c>
      <c r="K124" s="571">
        <v>170</v>
      </c>
      <c r="L124" s="572">
        <v>170</v>
      </c>
      <c r="M124" s="573">
        <f t="shared" si="17"/>
        <v>-80</v>
      </c>
      <c r="N124" s="573">
        <f t="shared" si="14"/>
        <v>0</v>
      </c>
      <c r="O124" s="574" t="s">
        <v>835</v>
      </c>
      <c r="Q124" s="461">
        <f t="shared" si="15"/>
        <v>0</v>
      </c>
    </row>
    <row r="125" spans="1:17" ht="25.5" x14ac:dyDescent="0.2">
      <c r="A125" s="1651"/>
      <c r="B125" s="1647"/>
      <c r="C125" s="569">
        <v>9050206</v>
      </c>
      <c r="D125" s="472" t="s">
        <v>844</v>
      </c>
      <c r="E125" s="571">
        <v>30</v>
      </c>
      <c r="F125" s="572">
        <v>30</v>
      </c>
      <c r="G125" s="571">
        <v>30</v>
      </c>
      <c r="H125" s="572">
        <v>30</v>
      </c>
      <c r="I125" s="571">
        <v>30</v>
      </c>
      <c r="J125" s="572">
        <v>30</v>
      </c>
      <c r="K125" s="571">
        <v>30</v>
      </c>
      <c r="L125" s="572">
        <v>30</v>
      </c>
      <c r="M125" s="573">
        <f t="shared" si="17"/>
        <v>0</v>
      </c>
      <c r="N125" s="573">
        <f t="shared" si="14"/>
        <v>0</v>
      </c>
      <c r="O125" s="574" t="s">
        <v>846</v>
      </c>
      <c r="Q125" s="461">
        <f t="shared" si="15"/>
        <v>0</v>
      </c>
    </row>
    <row r="126" spans="1:17" x14ac:dyDescent="0.2">
      <c r="A126" s="1651"/>
      <c r="B126" s="1647"/>
      <c r="C126" s="569">
        <v>9050212</v>
      </c>
      <c r="D126" s="472" t="s">
        <v>624</v>
      </c>
      <c r="E126" s="571">
        <v>43.4</v>
      </c>
      <c r="F126" s="572">
        <v>43.4</v>
      </c>
      <c r="G126" s="571">
        <v>43.4</v>
      </c>
      <c r="H126" s="572">
        <v>43.4</v>
      </c>
      <c r="I126" s="571">
        <v>95</v>
      </c>
      <c r="J126" s="572">
        <v>95</v>
      </c>
      <c r="K126" s="571">
        <v>43.4</v>
      </c>
      <c r="L126" s="572">
        <v>43.4</v>
      </c>
      <c r="M126" s="573">
        <f t="shared" si="17"/>
        <v>-51.6</v>
      </c>
      <c r="N126" s="573">
        <f t="shared" si="14"/>
        <v>0</v>
      </c>
      <c r="O126" s="489" t="s">
        <v>836</v>
      </c>
      <c r="Q126" s="461">
        <f t="shared" si="15"/>
        <v>0</v>
      </c>
    </row>
    <row r="127" spans="1:17" ht="36" x14ac:dyDescent="0.2">
      <c r="A127" s="1651"/>
      <c r="B127" s="1647"/>
      <c r="C127" s="569">
        <v>9050209</v>
      </c>
      <c r="D127" s="472" t="s">
        <v>625</v>
      </c>
      <c r="E127" s="571">
        <v>23</v>
      </c>
      <c r="F127" s="572">
        <v>23</v>
      </c>
      <c r="G127" s="571">
        <v>23</v>
      </c>
      <c r="H127" s="572">
        <v>23</v>
      </c>
      <c r="I127" s="571">
        <v>30</v>
      </c>
      <c r="J127" s="572">
        <v>30</v>
      </c>
      <c r="K127" s="571">
        <v>23</v>
      </c>
      <c r="L127" s="572">
        <v>23</v>
      </c>
      <c r="M127" s="573">
        <f t="shared" si="17"/>
        <v>-7</v>
      </c>
      <c r="N127" s="573">
        <f t="shared" si="14"/>
        <v>0</v>
      </c>
      <c r="O127" s="489" t="s">
        <v>837</v>
      </c>
      <c r="Q127" s="461">
        <f t="shared" si="15"/>
        <v>0</v>
      </c>
    </row>
    <row r="128" spans="1:17" ht="72" x14ac:dyDescent="0.2">
      <c r="A128" s="1651"/>
      <c r="B128" s="1647"/>
      <c r="C128" s="569">
        <v>9050210</v>
      </c>
      <c r="D128" s="472" t="s">
        <v>626</v>
      </c>
      <c r="E128" s="571">
        <v>220</v>
      </c>
      <c r="F128" s="572">
        <v>220</v>
      </c>
      <c r="G128" s="571">
        <v>228.4</v>
      </c>
      <c r="H128" s="572">
        <v>228.4</v>
      </c>
      <c r="I128" s="571">
        <v>296.5</v>
      </c>
      <c r="J128" s="572">
        <v>296.5</v>
      </c>
      <c r="K128" s="571">
        <v>250</v>
      </c>
      <c r="L128" s="572">
        <v>250</v>
      </c>
      <c r="M128" s="573">
        <f t="shared" si="17"/>
        <v>-46.5</v>
      </c>
      <c r="N128" s="573">
        <f t="shared" si="14"/>
        <v>30</v>
      </c>
      <c r="O128" s="489" t="s">
        <v>838</v>
      </c>
      <c r="Q128" s="461">
        <f t="shared" si="15"/>
        <v>0</v>
      </c>
    </row>
    <row r="129" spans="1:17" ht="48" x14ac:dyDescent="0.2">
      <c r="A129" s="1651"/>
      <c r="B129" s="1647"/>
      <c r="C129" s="569">
        <v>9050211</v>
      </c>
      <c r="D129" s="472" t="s">
        <v>627</v>
      </c>
      <c r="E129" s="571">
        <v>23</v>
      </c>
      <c r="F129" s="572">
        <v>23</v>
      </c>
      <c r="G129" s="571">
        <v>23</v>
      </c>
      <c r="H129" s="572">
        <v>23.7</v>
      </c>
      <c r="I129" s="571">
        <v>30.7</v>
      </c>
      <c r="J129" s="572">
        <v>30.7</v>
      </c>
      <c r="K129" s="571">
        <v>23</v>
      </c>
      <c r="L129" s="572">
        <v>23</v>
      </c>
      <c r="M129" s="573">
        <f t="shared" si="17"/>
        <v>-7.6999999999999993</v>
      </c>
      <c r="N129" s="573">
        <f t="shared" si="14"/>
        <v>0</v>
      </c>
      <c r="O129" s="489" t="s">
        <v>839</v>
      </c>
      <c r="Q129" s="461">
        <f t="shared" si="15"/>
        <v>0</v>
      </c>
    </row>
    <row r="130" spans="1:17" ht="168" x14ac:dyDescent="0.2">
      <c r="A130" s="1651" t="s">
        <v>597</v>
      </c>
      <c r="B130" s="1647" t="s">
        <v>598</v>
      </c>
      <c r="C130" s="569">
        <v>9050106</v>
      </c>
      <c r="D130" s="472" t="s">
        <v>628</v>
      </c>
      <c r="E130" s="571">
        <v>50</v>
      </c>
      <c r="F130" s="572">
        <v>50</v>
      </c>
      <c r="G130" s="571">
        <v>90</v>
      </c>
      <c r="H130" s="572">
        <v>90</v>
      </c>
      <c r="I130" s="571">
        <v>450</v>
      </c>
      <c r="J130" s="572">
        <v>450</v>
      </c>
      <c r="K130" s="571">
        <v>150</v>
      </c>
      <c r="L130" s="572">
        <v>150</v>
      </c>
      <c r="M130" s="573">
        <f t="shared" si="17"/>
        <v>-300</v>
      </c>
      <c r="N130" s="573">
        <f t="shared" si="14"/>
        <v>100</v>
      </c>
      <c r="O130" s="574" t="s">
        <v>843</v>
      </c>
      <c r="Q130" s="461">
        <f t="shared" si="15"/>
        <v>0</v>
      </c>
    </row>
    <row r="131" spans="1:17" ht="36" x14ac:dyDescent="0.2">
      <c r="A131" s="1651"/>
      <c r="B131" s="1647"/>
      <c r="C131" s="569">
        <v>9060104</v>
      </c>
      <c r="D131" s="472" t="s">
        <v>629</v>
      </c>
      <c r="E131" s="571">
        <v>83.9</v>
      </c>
      <c r="F131" s="572">
        <v>83.9</v>
      </c>
      <c r="G131" s="571">
        <v>83.9</v>
      </c>
      <c r="H131" s="572">
        <v>83.9</v>
      </c>
      <c r="I131" s="571">
        <v>167</v>
      </c>
      <c r="J131" s="572">
        <v>167</v>
      </c>
      <c r="K131" s="571">
        <v>100</v>
      </c>
      <c r="L131" s="572">
        <v>100</v>
      </c>
      <c r="M131" s="573">
        <f t="shared" si="17"/>
        <v>-67</v>
      </c>
      <c r="N131" s="573">
        <f t="shared" si="14"/>
        <v>16.099999999999994</v>
      </c>
      <c r="O131" s="574" t="s">
        <v>840</v>
      </c>
      <c r="Q131" s="461">
        <f t="shared" si="15"/>
        <v>0</v>
      </c>
    </row>
    <row r="132" spans="1:17" ht="36" x14ac:dyDescent="0.2">
      <c r="A132" s="1651"/>
      <c r="B132" s="1647"/>
      <c r="C132" s="569">
        <v>9030104</v>
      </c>
      <c r="D132" s="472" t="s">
        <v>206</v>
      </c>
      <c r="E132" s="571"/>
      <c r="F132" s="572"/>
      <c r="G132" s="571"/>
      <c r="H132" s="572"/>
      <c r="I132" s="571">
        <v>29.2</v>
      </c>
      <c r="J132" s="572"/>
      <c r="K132" s="571">
        <v>29.2</v>
      </c>
      <c r="L132" s="572"/>
      <c r="M132" s="573"/>
      <c r="N132" s="573"/>
      <c r="O132" s="574" t="s">
        <v>942</v>
      </c>
      <c r="Q132" s="461"/>
    </row>
    <row r="133" spans="1:17" ht="38.25" x14ac:dyDescent="0.2">
      <c r="A133" s="1651"/>
      <c r="B133" s="1647"/>
      <c r="C133" s="569">
        <v>9030102001</v>
      </c>
      <c r="D133" s="472" t="s">
        <v>630</v>
      </c>
      <c r="E133" s="571">
        <v>16</v>
      </c>
      <c r="F133" s="572">
        <v>16</v>
      </c>
      <c r="G133" s="571"/>
      <c r="H133" s="572"/>
      <c r="I133" s="571">
        <v>20</v>
      </c>
      <c r="J133" s="572">
        <v>20</v>
      </c>
      <c r="K133" s="571">
        <v>20</v>
      </c>
      <c r="L133" s="572">
        <v>20</v>
      </c>
      <c r="M133" s="573">
        <f t="shared" si="17"/>
        <v>0</v>
      </c>
      <c r="N133" s="573">
        <f t="shared" si="14"/>
        <v>4</v>
      </c>
      <c r="O133" s="1654" t="s">
        <v>694</v>
      </c>
      <c r="Q133" s="461">
        <f t="shared" si="15"/>
        <v>0</v>
      </c>
    </row>
    <row r="134" spans="1:17" ht="51" x14ac:dyDescent="0.2">
      <c r="A134" s="1651"/>
      <c r="B134" s="1647"/>
      <c r="C134" s="569">
        <v>9020102003</v>
      </c>
      <c r="D134" s="472" t="s">
        <v>932</v>
      </c>
      <c r="E134" s="571">
        <v>17</v>
      </c>
      <c r="F134" s="572">
        <v>17</v>
      </c>
      <c r="G134" s="571"/>
      <c r="H134" s="572"/>
      <c r="I134" s="571">
        <v>10</v>
      </c>
      <c r="J134" s="572">
        <v>10</v>
      </c>
      <c r="K134" s="571">
        <v>10</v>
      </c>
      <c r="L134" s="572">
        <v>10</v>
      </c>
      <c r="M134" s="573">
        <f t="shared" si="17"/>
        <v>0</v>
      </c>
      <c r="N134" s="573">
        <f t="shared" si="14"/>
        <v>-7</v>
      </c>
      <c r="O134" s="1654"/>
      <c r="Q134" s="461">
        <f t="shared" si="15"/>
        <v>0</v>
      </c>
    </row>
    <row r="135" spans="1:17" ht="25.5" x14ac:dyDescent="0.2">
      <c r="A135" s="1651"/>
      <c r="B135" s="1647"/>
      <c r="C135" s="569"/>
      <c r="D135" s="472" t="s">
        <v>631</v>
      </c>
      <c r="E135" s="571"/>
      <c r="F135" s="572"/>
      <c r="G135" s="571"/>
      <c r="H135" s="572"/>
      <c r="I135" s="571">
        <v>99.1</v>
      </c>
      <c r="J135" s="572">
        <v>99.1</v>
      </c>
      <c r="K135" s="571"/>
      <c r="L135" s="572"/>
      <c r="M135" s="573">
        <f t="shared" si="17"/>
        <v>-99.1</v>
      </c>
      <c r="N135" s="573">
        <f t="shared" si="14"/>
        <v>0</v>
      </c>
      <c r="O135" s="1654"/>
      <c r="Q135" s="461">
        <f t="shared" si="15"/>
        <v>0</v>
      </c>
    </row>
    <row r="136" spans="1:17" x14ac:dyDescent="0.2">
      <c r="A136" s="1651"/>
      <c r="B136" s="1647"/>
      <c r="C136" s="569">
        <v>9040108002</v>
      </c>
      <c r="D136" s="472" t="s">
        <v>632</v>
      </c>
      <c r="E136" s="571"/>
      <c r="F136" s="572"/>
      <c r="G136" s="571">
        <v>230</v>
      </c>
      <c r="H136" s="572">
        <v>230</v>
      </c>
      <c r="I136" s="571">
        <v>333</v>
      </c>
      <c r="J136" s="572">
        <v>333</v>
      </c>
      <c r="K136" s="571">
        <v>127.1</v>
      </c>
      <c r="L136" s="572">
        <v>127.1</v>
      </c>
      <c r="M136" s="573">
        <f t="shared" si="17"/>
        <v>-205.9</v>
      </c>
      <c r="N136" s="573">
        <f t="shared" si="14"/>
        <v>127.1</v>
      </c>
      <c r="O136" s="1654"/>
      <c r="Q136" s="461">
        <f t="shared" si="15"/>
        <v>0</v>
      </c>
    </row>
    <row r="137" spans="1:17" ht="38.25" x14ac:dyDescent="0.2">
      <c r="A137" s="1651"/>
      <c r="B137" s="1647"/>
      <c r="C137" s="569">
        <v>9040123001</v>
      </c>
      <c r="D137" s="472" t="s">
        <v>633</v>
      </c>
      <c r="E137" s="571">
        <v>236.4</v>
      </c>
      <c r="F137" s="572">
        <v>236.4</v>
      </c>
      <c r="G137" s="571">
        <v>236.4</v>
      </c>
      <c r="H137" s="572">
        <v>236.4</v>
      </c>
      <c r="I137" s="571">
        <v>245</v>
      </c>
      <c r="J137" s="572">
        <v>245</v>
      </c>
      <c r="K137" s="571">
        <v>225</v>
      </c>
      <c r="L137" s="572">
        <v>225</v>
      </c>
      <c r="M137" s="573">
        <f t="shared" si="17"/>
        <v>-20</v>
      </c>
      <c r="N137" s="573">
        <f t="shared" si="14"/>
        <v>-11.400000000000006</v>
      </c>
      <c r="O137" s="1654"/>
      <c r="Q137" s="461">
        <f t="shared" si="15"/>
        <v>0</v>
      </c>
    </row>
    <row r="138" spans="1:17" ht="25.5" x14ac:dyDescent="0.2">
      <c r="A138" s="1651"/>
      <c r="B138" s="1647"/>
      <c r="C138" s="569">
        <v>9040104004</v>
      </c>
      <c r="D138" s="472" t="s">
        <v>634</v>
      </c>
      <c r="E138" s="571">
        <v>13.2</v>
      </c>
      <c r="F138" s="572">
        <v>13.2</v>
      </c>
      <c r="G138" s="571">
        <v>90.2</v>
      </c>
      <c r="H138" s="572">
        <v>90.2</v>
      </c>
      <c r="I138" s="571">
        <v>280</v>
      </c>
      <c r="J138" s="572">
        <v>280</v>
      </c>
      <c r="K138" s="571">
        <v>0</v>
      </c>
      <c r="L138" s="572"/>
      <c r="M138" s="573">
        <f t="shared" si="17"/>
        <v>-280</v>
      </c>
      <c r="N138" s="573">
        <f t="shared" si="14"/>
        <v>-13.2</v>
      </c>
      <c r="O138" s="1654"/>
      <c r="Q138" s="461">
        <f t="shared" si="15"/>
        <v>0</v>
      </c>
    </row>
    <row r="139" spans="1:17" ht="25.5" x14ac:dyDescent="0.2">
      <c r="A139" s="1651"/>
      <c r="B139" s="1647"/>
      <c r="C139" s="569">
        <v>9040112002</v>
      </c>
      <c r="D139" s="472" t="s">
        <v>635</v>
      </c>
      <c r="E139" s="571">
        <v>400</v>
      </c>
      <c r="F139" s="572"/>
      <c r="G139" s="571">
        <v>400</v>
      </c>
      <c r="H139" s="572"/>
      <c r="I139" s="571">
        <v>111</v>
      </c>
      <c r="J139" s="572">
        <v>111</v>
      </c>
      <c r="K139" s="571">
        <v>111</v>
      </c>
      <c r="L139" s="572">
        <v>111</v>
      </c>
      <c r="M139" s="573">
        <f t="shared" si="17"/>
        <v>0</v>
      </c>
      <c r="N139" s="573">
        <f t="shared" si="14"/>
        <v>-289</v>
      </c>
      <c r="O139" s="1654"/>
      <c r="Q139" s="461">
        <f t="shared" si="15"/>
        <v>0</v>
      </c>
    </row>
    <row r="140" spans="1:17" x14ac:dyDescent="0.2">
      <c r="A140" s="1651"/>
      <c r="B140" s="1647"/>
      <c r="C140" s="569"/>
      <c r="D140" s="490" t="s">
        <v>728</v>
      </c>
      <c r="E140" s="571"/>
      <c r="F140" s="572"/>
      <c r="G140" s="571"/>
      <c r="H140" s="572"/>
      <c r="I140" s="571">
        <v>5</v>
      </c>
      <c r="J140" s="572">
        <v>5</v>
      </c>
      <c r="K140" s="571"/>
      <c r="L140" s="572"/>
      <c r="M140" s="573">
        <f t="shared" si="17"/>
        <v>-5</v>
      </c>
      <c r="N140" s="573">
        <f t="shared" si="14"/>
        <v>0</v>
      </c>
      <c r="O140" s="1654" t="s">
        <v>693</v>
      </c>
      <c r="Q140" s="461">
        <f t="shared" si="15"/>
        <v>0</v>
      </c>
    </row>
    <row r="141" spans="1:17" x14ac:dyDescent="0.2">
      <c r="A141" s="1651"/>
      <c r="B141" s="1647"/>
      <c r="C141" s="569"/>
      <c r="D141" s="490" t="s">
        <v>727</v>
      </c>
      <c r="E141" s="571"/>
      <c r="F141" s="572"/>
      <c r="G141" s="571"/>
      <c r="H141" s="572"/>
      <c r="I141" s="571">
        <v>5</v>
      </c>
      <c r="J141" s="572">
        <v>5</v>
      </c>
      <c r="K141" s="571"/>
      <c r="L141" s="572"/>
      <c r="M141" s="573">
        <f t="shared" si="17"/>
        <v>-5</v>
      </c>
      <c r="N141" s="573">
        <f t="shared" si="14"/>
        <v>0</v>
      </c>
      <c r="O141" s="1654"/>
      <c r="Q141" s="461">
        <f t="shared" si="15"/>
        <v>0</v>
      </c>
    </row>
    <row r="142" spans="1:17" ht="25.5" x14ac:dyDescent="0.2">
      <c r="A142" s="1651"/>
      <c r="B142" s="1647"/>
      <c r="C142" s="569"/>
      <c r="D142" s="490" t="s">
        <v>667</v>
      </c>
      <c r="E142" s="571"/>
      <c r="F142" s="572"/>
      <c r="G142" s="571"/>
      <c r="H142" s="572"/>
      <c r="I142" s="571">
        <v>75.5</v>
      </c>
      <c r="J142" s="572">
        <v>75.5</v>
      </c>
      <c r="K142" s="571"/>
      <c r="L142" s="572"/>
      <c r="M142" s="573">
        <f t="shared" si="17"/>
        <v>-75.5</v>
      </c>
      <c r="N142" s="573">
        <f t="shared" ref="N142:N150" si="18">+K142-E142</f>
        <v>0</v>
      </c>
      <c r="O142" s="1654"/>
      <c r="Q142" s="461">
        <f t="shared" ref="Q142:Q154" si="19">+K142-I142-M142</f>
        <v>0</v>
      </c>
    </row>
    <row r="143" spans="1:17" ht="25.5" x14ac:dyDescent="0.2">
      <c r="A143" s="1651"/>
      <c r="B143" s="1647"/>
      <c r="C143" s="569"/>
      <c r="D143" s="490" t="s">
        <v>726</v>
      </c>
      <c r="E143" s="571"/>
      <c r="F143" s="572"/>
      <c r="G143" s="571"/>
      <c r="H143" s="572"/>
      <c r="I143" s="571">
        <v>36</v>
      </c>
      <c r="J143" s="572">
        <v>36</v>
      </c>
      <c r="K143" s="571"/>
      <c r="L143" s="572"/>
      <c r="M143" s="573">
        <f t="shared" si="17"/>
        <v>-36</v>
      </c>
      <c r="N143" s="573">
        <f t="shared" si="18"/>
        <v>0</v>
      </c>
      <c r="O143" s="1654"/>
      <c r="Q143" s="461">
        <f t="shared" si="19"/>
        <v>0</v>
      </c>
    </row>
    <row r="144" spans="1:17" x14ac:dyDescent="0.2">
      <c r="A144" s="1651"/>
      <c r="B144" s="1647"/>
      <c r="C144" s="569"/>
      <c r="D144" s="490" t="s">
        <v>668</v>
      </c>
      <c r="E144" s="571"/>
      <c r="F144" s="572"/>
      <c r="G144" s="571"/>
      <c r="H144" s="572"/>
      <c r="I144" s="571">
        <v>80</v>
      </c>
      <c r="J144" s="572">
        <v>80</v>
      </c>
      <c r="K144" s="571"/>
      <c r="L144" s="572"/>
      <c r="M144" s="573">
        <f t="shared" si="17"/>
        <v>-80</v>
      </c>
      <c r="N144" s="573">
        <f t="shared" si="18"/>
        <v>0</v>
      </c>
      <c r="O144" s="1654"/>
      <c r="Q144" s="461">
        <f t="shared" si="19"/>
        <v>0</v>
      </c>
    </row>
    <row r="145" spans="1:17" x14ac:dyDescent="0.2">
      <c r="A145" s="1651"/>
      <c r="B145" s="1647"/>
      <c r="C145" s="569"/>
      <c r="D145" s="490" t="s">
        <v>669</v>
      </c>
      <c r="E145" s="571"/>
      <c r="F145" s="572"/>
      <c r="G145" s="571"/>
      <c r="H145" s="572"/>
      <c r="I145" s="571">
        <v>1000</v>
      </c>
      <c r="J145" s="572">
        <v>1000</v>
      </c>
      <c r="K145" s="571"/>
      <c r="L145" s="572"/>
      <c r="M145" s="573">
        <f t="shared" si="17"/>
        <v>-1000</v>
      </c>
      <c r="N145" s="573">
        <f t="shared" si="18"/>
        <v>0</v>
      </c>
      <c r="O145" s="1654"/>
      <c r="Q145" s="461">
        <f t="shared" si="19"/>
        <v>0</v>
      </c>
    </row>
    <row r="146" spans="1:17" x14ac:dyDescent="0.2">
      <c r="A146" s="1651"/>
      <c r="B146" s="1647"/>
      <c r="C146" s="569"/>
      <c r="D146" s="472" t="s">
        <v>810</v>
      </c>
      <c r="E146" s="571"/>
      <c r="F146" s="572"/>
      <c r="G146" s="571"/>
      <c r="H146" s="572"/>
      <c r="I146" s="571">
        <v>25</v>
      </c>
      <c r="J146" s="572">
        <v>25</v>
      </c>
      <c r="K146" s="571"/>
      <c r="L146" s="572"/>
      <c r="M146" s="573">
        <f t="shared" si="17"/>
        <v>-25</v>
      </c>
      <c r="N146" s="573"/>
      <c r="O146" s="574"/>
      <c r="Q146" s="461">
        <f t="shared" si="19"/>
        <v>0</v>
      </c>
    </row>
    <row r="147" spans="1:17" ht="18.75" customHeight="1" x14ac:dyDescent="0.2">
      <c r="A147" s="1651"/>
      <c r="B147" s="1647"/>
      <c r="C147" s="1648" t="s">
        <v>636</v>
      </c>
      <c r="D147" s="1648"/>
      <c r="E147" s="475">
        <f>SUM(E85:E145)</f>
        <v>7009.7999999999993</v>
      </c>
      <c r="F147" s="475">
        <f t="shared" ref="F147:L147" si="20">SUM(F85:F145)</f>
        <v>6422.0999999999995</v>
      </c>
      <c r="G147" s="475">
        <f t="shared" si="20"/>
        <v>7700.1999999999989</v>
      </c>
      <c r="H147" s="475">
        <f t="shared" si="20"/>
        <v>7097.0999999999995</v>
      </c>
      <c r="I147" s="475">
        <f>SUM(I85:I146)</f>
        <v>10282.599999999999</v>
      </c>
      <c r="J147" s="475">
        <f>SUM(J85:J146)</f>
        <v>10066.1</v>
      </c>
      <c r="K147" s="475">
        <f t="shared" si="20"/>
        <v>7358.9</v>
      </c>
      <c r="L147" s="475">
        <f t="shared" si="20"/>
        <v>7142.4000000000005</v>
      </c>
      <c r="M147" s="475">
        <f>SUM(M85:M146)</f>
        <v>-2923.7</v>
      </c>
      <c r="N147" s="470">
        <f>+K147-E147</f>
        <v>349.10000000000036</v>
      </c>
      <c r="O147" s="491"/>
      <c r="Q147" s="461">
        <f t="shared" si="19"/>
        <v>0</v>
      </c>
    </row>
    <row r="148" spans="1:17" x14ac:dyDescent="0.2">
      <c r="A148" s="1651"/>
      <c r="B148" s="1647"/>
      <c r="C148" s="1649" t="s">
        <v>185</v>
      </c>
      <c r="D148" s="1649"/>
      <c r="E148" s="478"/>
      <c r="F148" s="478"/>
      <c r="G148" s="478"/>
      <c r="H148" s="478"/>
      <c r="I148" s="478"/>
      <c r="J148" s="478"/>
      <c r="K148" s="478"/>
      <c r="L148" s="478"/>
      <c r="M148" s="476">
        <f t="shared" ref="M148" si="21">+K148-I148</f>
        <v>0</v>
      </c>
      <c r="N148" s="476">
        <f t="shared" si="18"/>
        <v>0</v>
      </c>
      <c r="O148" s="491"/>
      <c r="Q148" s="461">
        <f t="shared" si="19"/>
        <v>0</v>
      </c>
    </row>
    <row r="149" spans="1:17" s="102" customFormat="1" ht="21" customHeight="1" x14ac:dyDescent="0.2">
      <c r="A149" s="1643" t="s">
        <v>664</v>
      </c>
      <c r="B149" s="1643"/>
      <c r="C149" s="1643"/>
      <c r="D149" s="1643"/>
      <c r="E149" s="492">
        <f t="shared" ref="E149:L150" si="22">+E42+E47+E52+E83+E147</f>
        <v>128628.40000000002</v>
      </c>
      <c r="F149" s="492">
        <f t="shared" si="22"/>
        <v>100051.40000000002</v>
      </c>
      <c r="G149" s="492">
        <f t="shared" si="22"/>
        <v>143992.10000000003</v>
      </c>
      <c r="H149" s="492">
        <f t="shared" si="22"/>
        <v>111126.10000000002</v>
      </c>
      <c r="I149" s="492">
        <f t="shared" si="22"/>
        <v>229495.90000000005</v>
      </c>
      <c r="J149" s="492">
        <f t="shared" si="22"/>
        <v>202239.80000000005</v>
      </c>
      <c r="K149" s="492">
        <f t="shared" si="22"/>
        <v>170516.50000000003</v>
      </c>
      <c r="L149" s="492">
        <f t="shared" si="22"/>
        <v>143116.40000000002</v>
      </c>
      <c r="M149" s="492">
        <f>+K149-I149</f>
        <v>-58979.400000000023</v>
      </c>
      <c r="N149" s="459">
        <f t="shared" si="18"/>
        <v>41888.100000000006</v>
      </c>
      <c r="O149" s="492"/>
      <c r="Q149" s="461">
        <f t="shared" si="19"/>
        <v>0</v>
      </c>
    </row>
    <row r="150" spans="1:17" s="102" customFormat="1" ht="13.5" customHeight="1" x14ac:dyDescent="0.2">
      <c r="A150" s="1645" t="s">
        <v>147</v>
      </c>
      <c r="B150" s="1645"/>
      <c r="C150" s="1645"/>
      <c r="D150" s="1645"/>
      <c r="E150" s="580">
        <f t="shared" si="22"/>
        <v>2303.5</v>
      </c>
      <c r="F150" s="580">
        <f t="shared" si="22"/>
        <v>1707.9</v>
      </c>
      <c r="G150" s="580">
        <f t="shared" si="22"/>
        <v>2303.5</v>
      </c>
      <c r="H150" s="580">
        <f t="shared" si="22"/>
        <v>1707.9</v>
      </c>
      <c r="I150" s="580">
        <f t="shared" si="22"/>
        <v>13491.9</v>
      </c>
      <c r="J150" s="580">
        <f t="shared" si="22"/>
        <v>12100</v>
      </c>
      <c r="K150" s="580">
        <f t="shared" si="22"/>
        <v>5642.9</v>
      </c>
      <c r="L150" s="580">
        <f t="shared" si="22"/>
        <v>0</v>
      </c>
      <c r="M150" s="580">
        <f>+M43+M48+M53+M84+M148</f>
        <v>-7849</v>
      </c>
      <c r="N150" s="582">
        <f t="shared" si="18"/>
        <v>3339.3999999999996</v>
      </c>
      <c r="O150" s="493" t="s">
        <v>958</v>
      </c>
      <c r="Q150" s="461">
        <f t="shared" si="19"/>
        <v>0</v>
      </c>
    </row>
    <row r="151" spans="1:17" s="499" customFormat="1" x14ac:dyDescent="0.2">
      <c r="A151" s="494"/>
      <c r="B151" s="495"/>
      <c r="C151" s="495"/>
      <c r="D151" s="495"/>
      <c r="E151" s="496"/>
      <c r="F151" s="496"/>
      <c r="G151" s="496"/>
      <c r="H151" s="496"/>
      <c r="I151" s="496"/>
      <c r="J151" s="496"/>
      <c r="K151" s="496"/>
      <c r="L151" s="496"/>
      <c r="M151" s="497"/>
      <c r="N151" s="497"/>
      <c r="O151" s="498"/>
      <c r="Q151" s="461">
        <f t="shared" si="19"/>
        <v>0</v>
      </c>
    </row>
    <row r="152" spans="1:17" s="499" customFormat="1" x14ac:dyDescent="0.2">
      <c r="A152" s="494"/>
      <c r="B152" s="495"/>
      <c r="C152" s="495"/>
      <c r="D152" s="495"/>
      <c r="E152" s="496"/>
      <c r="F152" s="496"/>
      <c r="G152" s="496"/>
      <c r="H152" s="496"/>
      <c r="I152" s="496"/>
      <c r="J152" s="496"/>
      <c r="K152" s="496"/>
      <c r="L152" s="496"/>
      <c r="M152" s="497"/>
      <c r="N152" s="497"/>
      <c r="O152" s="498"/>
      <c r="Q152" s="461">
        <f t="shared" si="19"/>
        <v>0</v>
      </c>
    </row>
    <row r="153" spans="1:17" s="499" customFormat="1" x14ac:dyDescent="0.2">
      <c r="A153" s="494"/>
      <c r="B153" s="495"/>
      <c r="C153" s="495"/>
      <c r="D153" s="495"/>
      <c r="E153" s="496"/>
      <c r="F153" s="496"/>
      <c r="G153" s="496"/>
      <c r="H153" s="496"/>
      <c r="I153" s="496"/>
      <c r="J153" s="496"/>
      <c r="K153" s="496"/>
      <c r="L153" s="496"/>
      <c r="M153" s="497"/>
      <c r="N153" s="497"/>
      <c r="O153" s="498"/>
      <c r="Q153" s="461">
        <f t="shared" si="19"/>
        <v>0</v>
      </c>
    </row>
    <row r="154" spans="1:17" x14ac:dyDescent="0.2">
      <c r="B154" s="1644" t="s">
        <v>128</v>
      </c>
      <c r="C154" s="1644"/>
      <c r="D154" s="1644"/>
      <c r="E154" s="500"/>
      <c r="F154" s="500"/>
      <c r="G154" s="501"/>
      <c r="H154" s="501"/>
      <c r="I154" s="501"/>
      <c r="J154" s="501"/>
      <c r="K154" s="501"/>
      <c r="L154" s="501"/>
      <c r="M154" s="501"/>
      <c r="N154" s="501"/>
      <c r="Q154" s="461">
        <f t="shared" si="19"/>
        <v>0</v>
      </c>
    </row>
  </sheetData>
  <mergeCells count="69">
    <mergeCell ref="A2:O2"/>
    <mergeCell ref="B3:D3"/>
    <mergeCell ref="A4:B4"/>
    <mergeCell ref="C4:D4"/>
    <mergeCell ref="E4:E5"/>
    <mergeCell ref="G4:G5"/>
    <mergeCell ref="I4:I5"/>
    <mergeCell ref="K4:K5"/>
    <mergeCell ref="M4:M5"/>
    <mergeCell ref="O4:O5"/>
    <mergeCell ref="N4:N5"/>
    <mergeCell ref="O57:O60"/>
    <mergeCell ref="O70:O72"/>
    <mergeCell ref="C83:D83"/>
    <mergeCell ref="C84:D84"/>
    <mergeCell ref="K50:K51"/>
    <mergeCell ref="L50:L51"/>
    <mergeCell ref="M50:M51"/>
    <mergeCell ref="C52:D52"/>
    <mergeCell ref="C53:D53"/>
    <mergeCell ref="E50:E51"/>
    <mergeCell ref="F50:F51"/>
    <mergeCell ref="G50:G51"/>
    <mergeCell ref="H50:H51"/>
    <mergeCell ref="I50:I51"/>
    <mergeCell ref="J50:J51"/>
    <mergeCell ref="C50:C51"/>
    <mergeCell ref="O85:O93"/>
    <mergeCell ref="O133:O139"/>
    <mergeCell ref="O140:O145"/>
    <mergeCell ref="B130:B148"/>
    <mergeCell ref="A130:A148"/>
    <mergeCell ref="C147:D147"/>
    <mergeCell ref="C148:D148"/>
    <mergeCell ref="B93:B116"/>
    <mergeCell ref="A93:A116"/>
    <mergeCell ref="B117:B129"/>
    <mergeCell ref="A117:A129"/>
    <mergeCell ref="B85:B92"/>
    <mergeCell ref="A85:A92"/>
    <mergeCell ref="A149:D149"/>
    <mergeCell ref="B154:D154"/>
    <mergeCell ref="A150:D150"/>
    <mergeCell ref="A44:A48"/>
    <mergeCell ref="B44:B48"/>
    <mergeCell ref="C47:D47"/>
    <mergeCell ref="C48:D48"/>
    <mergeCell ref="A49:A53"/>
    <mergeCell ref="B49:B53"/>
    <mergeCell ref="D50:D51"/>
    <mergeCell ref="B54:B73"/>
    <mergeCell ref="A54:A73"/>
    <mergeCell ref="B74:B84"/>
    <mergeCell ref="A74:A84"/>
    <mergeCell ref="N50:N51"/>
    <mergeCell ref="C7:D7"/>
    <mergeCell ref="C42:D42"/>
    <mergeCell ref="C43:D43"/>
    <mergeCell ref="C8:C16"/>
    <mergeCell ref="C17:C18"/>
    <mergeCell ref="C19:C24"/>
    <mergeCell ref="B34:B43"/>
    <mergeCell ref="A34:A43"/>
    <mergeCell ref="B7:B16"/>
    <mergeCell ref="A7:A16"/>
    <mergeCell ref="B26:B32"/>
    <mergeCell ref="A26:A32"/>
    <mergeCell ref="B17:B24"/>
    <mergeCell ref="A17:A24"/>
  </mergeCells>
  <pageMargins left="0.11811023622047245" right="0.11811023622047245" top="0.59055118110236227" bottom="0.31496062992125984" header="0" footer="0"/>
  <pageSetup paperSize="9" scale="70" fitToHeight="0" orientation="landscape" r:id="rId1"/>
  <headerFooter>
    <oddFooter>&amp;C&amp;P</oddFooter>
  </headerFooter>
  <rowBreaks count="4" manualBreakCount="4">
    <brk id="33" max="14" man="1"/>
    <brk id="48" max="14" man="1"/>
    <brk id="53" max="14" man="1"/>
    <brk id="129" max="14" man="1"/>
  </rowBreaks>
  <ignoredErrors>
    <ignoredError sqref="A44 A49 A54 C3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0"/>
  <sheetViews>
    <sheetView showZeros="0" zoomScaleNormal="100" workbookViewId="0">
      <pane xSplit="2" ySplit="4" topLeftCell="C5" activePane="bottomRight" state="frozen"/>
      <selection activeCell="L26" sqref="L26"/>
      <selection pane="topRight" activeCell="L26" sqref="L26"/>
      <selection pane="bottomLeft" activeCell="L26" sqref="L26"/>
      <selection pane="bottomRight" activeCell="Q30" sqref="Q30"/>
    </sheetView>
  </sheetViews>
  <sheetFormatPr defaultColWidth="9.140625" defaultRowHeight="12.75" x14ac:dyDescent="0.2"/>
  <cols>
    <col min="1" max="1" width="5.140625" style="612" customWidth="1"/>
    <col min="2" max="2" width="40.5703125" style="612" customWidth="1"/>
    <col min="3" max="3" width="12.5703125" style="612" customWidth="1"/>
    <col min="4" max="4" width="15.7109375" style="612" customWidth="1"/>
    <col min="5" max="5" width="10.7109375" style="612" customWidth="1"/>
    <col min="6" max="6" width="5.140625" style="612" customWidth="1"/>
    <col min="7" max="7" width="8.140625" style="612" hidden="1" customWidth="1"/>
    <col min="8" max="8" width="8.42578125" style="612" hidden="1" customWidth="1"/>
    <col min="9" max="9" width="12.7109375" style="612" hidden="1" customWidth="1"/>
    <col min="10" max="10" width="6.7109375" style="612" hidden="1" customWidth="1"/>
    <col min="11" max="11" width="8.140625" style="612" hidden="1" customWidth="1"/>
    <col min="12" max="12" width="4.7109375" style="612" hidden="1" customWidth="1"/>
    <col min="13" max="13" width="8.28515625" style="612" hidden="1" customWidth="1"/>
    <col min="14" max="14" width="9.140625" style="612"/>
    <col min="15" max="15" width="22.42578125" style="612" customWidth="1"/>
    <col min="16" max="16384" width="9.140625" style="612"/>
  </cols>
  <sheetData>
    <row r="1" spans="1:13" ht="36.75" customHeight="1" x14ac:dyDescent="0.2">
      <c r="E1" s="1494" t="s">
        <v>1080</v>
      </c>
      <c r="F1" s="1494"/>
      <c r="I1" s="1495"/>
      <c r="J1" s="1495"/>
      <c r="K1" s="1495"/>
      <c r="L1" s="1494" t="s">
        <v>1080</v>
      </c>
      <c r="M1" s="1494"/>
    </row>
    <row r="2" spans="1:13" ht="54" customHeight="1" x14ac:dyDescent="0.2">
      <c r="A2" s="1496" t="s">
        <v>1081</v>
      </c>
      <c r="B2" s="1496"/>
      <c r="C2" s="1496"/>
      <c r="D2" s="1496"/>
      <c r="E2" s="1496"/>
      <c r="F2" s="1496"/>
      <c r="G2" s="1496"/>
      <c r="H2" s="1496"/>
      <c r="I2" s="1496"/>
      <c r="J2" s="1496"/>
      <c r="K2" s="1496"/>
      <c r="L2" s="1496"/>
      <c r="M2" s="1496"/>
    </row>
    <row r="3" spans="1:13" ht="47.25" customHeight="1" thickBot="1" x14ac:dyDescent="0.3">
      <c r="A3" s="614"/>
      <c r="B3" s="614"/>
      <c r="C3" s="614"/>
      <c r="E3" s="763"/>
      <c r="F3" s="763" t="s">
        <v>0</v>
      </c>
      <c r="H3" s="764"/>
      <c r="I3" s="764" t="s">
        <v>1082</v>
      </c>
      <c r="J3" s="764"/>
      <c r="K3" s="1497"/>
      <c r="L3" s="1497"/>
      <c r="M3" s="765" t="s">
        <v>1082</v>
      </c>
    </row>
    <row r="4" spans="1:13" ht="89.25" customHeight="1" thickBot="1" x14ac:dyDescent="0.25">
      <c r="A4" s="766" t="s">
        <v>1015</v>
      </c>
      <c r="B4" s="767" t="s">
        <v>1083</v>
      </c>
      <c r="C4" s="768" t="s">
        <v>1084</v>
      </c>
      <c r="D4" s="769" t="s">
        <v>1085</v>
      </c>
      <c r="E4" s="770" t="s">
        <v>1086</v>
      </c>
      <c r="F4" s="771" t="s">
        <v>1021</v>
      </c>
      <c r="G4" s="772" t="s">
        <v>1087</v>
      </c>
      <c r="H4" s="773" t="s">
        <v>1021</v>
      </c>
      <c r="I4" s="772" t="s">
        <v>1088</v>
      </c>
      <c r="J4" s="774" t="s">
        <v>1021</v>
      </c>
      <c r="K4" s="775" t="s">
        <v>1089</v>
      </c>
      <c r="L4" s="776" t="s">
        <v>1021</v>
      </c>
      <c r="M4" s="777" t="s">
        <v>1090</v>
      </c>
    </row>
    <row r="5" spans="1:13" ht="15" hidden="1" customHeight="1" x14ac:dyDescent="0.25">
      <c r="A5" s="778"/>
      <c r="B5" s="1498" t="s">
        <v>1091</v>
      </c>
      <c r="C5" s="779">
        <v>611573</v>
      </c>
      <c r="D5" s="780">
        <v>748118</v>
      </c>
      <c r="E5" s="781">
        <f>D5-C5</f>
        <v>136545</v>
      </c>
      <c r="F5" s="782">
        <f>E5/C5*100</f>
        <v>22.326852231867658</v>
      </c>
      <c r="G5" s="783" t="e">
        <f>#REF!-#REF!</f>
        <v>#REF!</v>
      </c>
      <c r="H5" s="784" t="e">
        <f>G5/#REF!*100</f>
        <v>#REF!</v>
      </c>
      <c r="I5" s="785" t="e">
        <f>#REF!-#REF!</f>
        <v>#REF!</v>
      </c>
      <c r="J5" s="786" t="e">
        <f>I5/#REF!*100</f>
        <v>#REF!</v>
      </c>
      <c r="K5" s="787" t="e">
        <f>#REF!-#REF!</f>
        <v>#REF!</v>
      </c>
      <c r="L5" s="788" t="e">
        <f>K5/#REF!*100</f>
        <v>#REF!</v>
      </c>
      <c r="M5" s="789" t="e">
        <f>#REF!-D5</f>
        <v>#REF!</v>
      </c>
    </row>
    <row r="6" spans="1:13" ht="11.25" hidden="1" customHeight="1" x14ac:dyDescent="0.25">
      <c r="A6" s="790"/>
      <c r="B6" s="1499"/>
      <c r="C6" s="791" t="s">
        <v>1092</v>
      </c>
      <c r="D6" s="792" t="s">
        <v>1092</v>
      </c>
      <c r="E6" s="793"/>
      <c r="F6" s="794"/>
      <c r="G6" s="795"/>
      <c r="H6" s="796"/>
      <c r="I6" s="797"/>
      <c r="J6" s="798"/>
      <c r="K6" s="799"/>
      <c r="L6" s="800"/>
      <c r="M6" s="801"/>
    </row>
    <row r="7" spans="1:13" ht="13.5" hidden="1" customHeight="1" x14ac:dyDescent="0.25">
      <c r="A7" s="802"/>
      <c r="B7" s="803" t="s">
        <v>1093</v>
      </c>
      <c r="C7" s="804">
        <v>478067</v>
      </c>
      <c r="D7" s="805">
        <v>619591</v>
      </c>
      <c r="E7" s="806">
        <f t="shared" ref="E7:E38" si="0">D7-C7</f>
        <v>141524</v>
      </c>
      <c r="F7" s="807">
        <f>E7/C7*100</f>
        <v>29.603381952738843</v>
      </c>
      <c r="G7" s="808" t="e">
        <f>#REF!-#REF!</f>
        <v>#REF!</v>
      </c>
      <c r="H7" s="809" t="e">
        <f>G7/#REF!*100</f>
        <v>#REF!</v>
      </c>
      <c r="I7" s="808" t="e">
        <f>#REF!-#REF!</f>
        <v>#REF!</v>
      </c>
      <c r="J7" s="810" t="e">
        <f>I7/#REF!*100</f>
        <v>#REF!</v>
      </c>
      <c r="K7" s="811" t="e">
        <f>#REF!-#REF!</f>
        <v>#REF!</v>
      </c>
      <c r="L7" s="812" t="e">
        <f>K7/#REF!*100</f>
        <v>#REF!</v>
      </c>
      <c r="M7" s="813" t="e">
        <f>#REF!-D7</f>
        <v>#REF!</v>
      </c>
    </row>
    <row r="8" spans="1:13" ht="14.25" hidden="1" customHeight="1" x14ac:dyDescent="0.25">
      <c r="A8" s="790"/>
      <c r="B8" s="814" t="s">
        <v>1094</v>
      </c>
      <c r="C8" s="815">
        <v>78.17</v>
      </c>
      <c r="D8" s="816">
        <v>82.82</v>
      </c>
      <c r="E8" s="817">
        <f t="shared" si="0"/>
        <v>4.6499999999999915</v>
      </c>
      <c r="F8" s="794"/>
      <c r="G8" s="818" t="e">
        <f>#REF!-#REF!</f>
        <v>#REF!</v>
      </c>
      <c r="H8" s="819" t="e">
        <f>G8/#REF!*100</f>
        <v>#REF!</v>
      </c>
      <c r="I8" s="818" t="e">
        <f>#REF!-#REF!</f>
        <v>#REF!</v>
      </c>
      <c r="J8" s="820" t="e">
        <f>I8/#REF!*100</f>
        <v>#REF!</v>
      </c>
      <c r="K8" s="821" t="e">
        <f>#REF!-#REF!</f>
        <v>#REF!</v>
      </c>
      <c r="L8" s="822" t="e">
        <f>K8/#REF!*100</f>
        <v>#REF!</v>
      </c>
      <c r="M8" s="823" t="e">
        <f>#REF!-D8</f>
        <v>#REF!</v>
      </c>
    </row>
    <row r="9" spans="1:13" ht="15" hidden="1" x14ac:dyDescent="0.25">
      <c r="A9" s="802"/>
      <c r="B9" s="803" t="s">
        <v>1095</v>
      </c>
      <c r="C9" s="804">
        <v>478067</v>
      </c>
      <c r="D9" s="824">
        <v>486069</v>
      </c>
      <c r="E9" s="825">
        <f t="shared" si="0"/>
        <v>8002</v>
      </c>
      <c r="F9" s="807">
        <f>E9/C9*100</f>
        <v>1.6738239619132882</v>
      </c>
      <c r="G9" s="796"/>
      <c r="H9" s="826"/>
      <c r="I9" s="796"/>
      <c r="J9" s="798"/>
      <c r="K9" s="827"/>
      <c r="L9" s="799"/>
      <c r="M9" s="801"/>
    </row>
    <row r="10" spans="1:13" ht="15" hidden="1" x14ac:dyDescent="0.25">
      <c r="A10" s="828"/>
      <c r="B10" s="829" t="s">
        <v>1096</v>
      </c>
      <c r="C10" s="815">
        <v>78.17</v>
      </c>
      <c r="D10" s="830">
        <v>78.45</v>
      </c>
      <c r="E10" s="831">
        <f t="shared" si="0"/>
        <v>0.28000000000000114</v>
      </c>
      <c r="F10" s="832"/>
      <c r="G10" s="796"/>
      <c r="H10" s="826"/>
      <c r="I10" s="796"/>
      <c r="J10" s="798"/>
      <c r="K10" s="827"/>
      <c r="L10" s="799"/>
      <c r="M10" s="801"/>
    </row>
    <row r="11" spans="1:13" ht="15" hidden="1" x14ac:dyDescent="0.25">
      <c r="A11" s="802"/>
      <c r="B11" s="803" t="s">
        <v>1097</v>
      </c>
      <c r="C11" s="833"/>
      <c r="D11" s="834">
        <v>27076</v>
      </c>
      <c r="E11" s="835">
        <f t="shared" si="0"/>
        <v>27076</v>
      </c>
      <c r="F11" s="836"/>
      <c r="G11" s="795" t="e">
        <f>#REF!-#REF!</f>
        <v>#REF!</v>
      </c>
      <c r="H11" s="826" t="e">
        <f>G11/#REF!*100</f>
        <v>#REF!</v>
      </c>
      <c r="I11" s="826" t="e">
        <f>#REF!-#REF!</f>
        <v>#REF!</v>
      </c>
      <c r="J11" s="798" t="e">
        <f>I11/#REF!*100</f>
        <v>#REF!</v>
      </c>
      <c r="K11" s="827" t="e">
        <f>#REF!-#REF!</f>
        <v>#REF!</v>
      </c>
      <c r="L11" s="800" t="e">
        <f>K11/#REF!*100</f>
        <v>#REF!</v>
      </c>
      <c r="M11" s="801" t="e">
        <f>#REF!-D11</f>
        <v>#REF!</v>
      </c>
    </row>
    <row r="12" spans="1:13" ht="15" hidden="1" x14ac:dyDescent="0.25">
      <c r="A12" s="790"/>
      <c r="B12" s="814" t="s">
        <v>1098</v>
      </c>
      <c r="C12" s="837"/>
      <c r="D12" s="838">
        <v>4.37</v>
      </c>
      <c r="E12" s="839">
        <f t="shared" si="0"/>
        <v>4.37</v>
      </c>
      <c r="F12" s="840"/>
      <c r="G12" s="795"/>
      <c r="H12" s="826"/>
      <c r="I12" s="826"/>
      <c r="J12" s="798"/>
      <c r="K12" s="827"/>
      <c r="L12" s="800"/>
      <c r="M12" s="801"/>
    </row>
    <row r="13" spans="1:13" ht="29.25" customHeight="1" x14ac:dyDescent="0.25">
      <c r="A13" s="841" t="s">
        <v>1023</v>
      </c>
      <c r="B13" s="842" t="s">
        <v>1099</v>
      </c>
      <c r="C13" s="843">
        <f>+C14+C18</f>
        <v>244148</v>
      </c>
      <c r="D13" s="844">
        <f>+D14+D18</f>
        <v>289218</v>
      </c>
      <c r="E13" s="704">
        <f t="shared" si="0"/>
        <v>45070</v>
      </c>
      <c r="F13" s="845">
        <f>E13/C13*100</f>
        <v>18.46011435686551</v>
      </c>
      <c r="G13" s="795" t="e">
        <f>#REF!-#REF!</f>
        <v>#REF!</v>
      </c>
      <c r="H13" s="826" t="e">
        <f>G13/#REF!*100</f>
        <v>#REF!</v>
      </c>
      <c r="I13" s="826" t="e">
        <f>#REF!-#REF!</f>
        <v>#REF!</v>
      </c>
      <c r="J13" s="798" t="e">
        <f>I13/#REF!*100</f>
        <v>#REF!</v>
      </c>
      <c r="K13" s="799" t="e">
        <f>#REF!-#REF!</f>
        <v>#REF!</v>
      </c>
      <c r="L13" s="800" t="e">
        <f>K13/#REF!*100</f>
        <v>#REF!</v>
      </c>
      <c r="M13" s="801" t="e">
        <f>#REF!-D13</f>
        <v>#REF!</v>
      </c>
    </row>
    <row r="14" spans="1:13" ht="22.5" hidden="1" customHeight="1" x14ac:dyDescent="0.25">
      <c r="A14" s="846" t="s">
        <v>1025</v>
      </c>
      <c r="B14" s="847" t="s">
        <v>1100</v>
      </c>
      <c r="C14" s="848">
        <f>+C15+C17</f>
        <v>244148</v>
      </c>
      <c r="D14" s="849">
        <f>+D15+D17</f>
        <v>282189</v>
      </c>
      <c r="E14" s="850">
        <f t="shared" si="0"/>
        <v>38041</v>
      </c>
      <c r="F14" s="851">
        <f t="shared" ref="F14:F17" si="1">E14/C14*100</f>
        <v>15.581122925438667</v>
      </c>
      <c r="G14" s="796"/>
      <c r="H14" s="796"/>
      <c r="I14" s="826"/>
      <c r="J14" s="796"/>
      <c r="K14" s="799"/>
      <c r="L14" s="799"/>
      <c r="M14" s="801"/>
    </row>
    <row r="15" spans="1:13" ht="15" hidden="1" x14ac:dyDescent="0.25">
      <c r="A15" s="852"/>
      <c r="B15" s="1489" t="s">
        <v>1101</v>
      </c>
      <c r="C15" s="853">
        <v>219624</v>
      </c>
      <c r="D15" s="854">
        <v>261408</v>
      </c>
      <c r="E15" s="853">
        <f t="shared" si="0"/>
        <v>41784</v>
      </c>
      <c r="F15" s="855">
        <f t="shared" si="1"/>
        <v>19.025243142825921</v>
      </c>
      <c r="G15" s="856"/>
      <c r="H15" s="856"/>
      <c r="I15" s="857"/>
      <c r="J15" s="858"/>
      <c r="K15" s="799"/>
      <c r="L15" s="799"/>
      <c r="M15" s="801"/>
    </row>
    <row r="16" spans="1:13" ht="14.25" hidden="1" x14ac:dyDescent="0.2">
      <c r="A16" s="859"/>
      <c r="B16" s="1490"/>
      <c r="C16" s="860">
        <v>45.94</v>
      </c>
      <c r="D16" s="861">
        <v>53.78</v>
      </c>
      <c r="E16" s="860">
        <f t="shared" si="0"/>
        <v>7.8400000000000034</v>
      </c>
      <c r="F16" s="862"/>
      <c r="G16" s="863" t="e">
        <f>#REF!-#REF!</f>
        <v>#REF!</v>
      </c>
      <c r="H16" s="864" t="e">
        <f>G16/#REF!*100</f>
        <v>#REF!</v>
      </c>
      <c r="I16" s="865" t="e">
        <f>#REF!-#REF!</f>
        <v>#REF!</v>
      </c>
      <c r="J16" s="863" t="e">
        <f>I16/#REF!*100</f>
        <v>#REF!</v>
      </c>
      <c r="K16" s="866" t="e">
        <f>#REF!-#REF!</f>
        <v>#REF!</v>
      </c>
      <c r="L16" s="867" t="e">
        <f>K16/#REF!*100</f>
        <v>#REF!</v>
      </c>
      <c r="M16" s="868" t="e">
        <f>#REF!-D16</f>
        <v>#REF!</v>
      </c>
    </row>
    <row r="17" spans="1:13" ht="17.25" hidden="1" customHeight="1" x14ac:dyDescent="0.2">
      <c r="A17" s="859"/>
      <c r="B17" s="869" t="s">
        <v>1102</v>
      </c>
      <c r="C17" s="870">
        <v>24524</v>
      </c>
      <c r="D17" s="871">
        <v>20781</v>
      </c>
      <c r="E17" s="870">
        <f t="shared" si="0"/>
        <v>-3743</v>
      </c>
      <c r="F17" s="872">
        <f t="shared" si="1"/>
        <v>-15.262599902136683</v>
      </c>
      <c r="G17" s="863"/>
      <c r="H17" s="864"/>
      <c r="I17" s="873"/>
      <c r="J17" s="864"/>
      <c r="K17" s="874"/>
      <c r="L17" s="875"/>
      <c r="M17" s="876"/>
    </row>
    <row r="18" spans="1:13" ht="27" hidden="1" customHeight="1" x14ac:dyDescent="0.2">
      <c r="A18" s="877" t="s">
        <v>1035</v>
      </c>
      <c r="B18" s="878" t="s">
        <v>1103</v>
      </c>
      <c r="C18" s="850"/>
      <c r="D18" s="849">
        <f>5955+1074</f>
        <v>7029</v>
      </c>
      <c r="E18" s="850">
        <f t="shared" si="0"/>
        <v>7029</v>
      </c>
      <c r="F18" s="851"/>
      <c r="G18" s="863"/>
      <c r="H18" s="864"/>
      <c r="I18" s="873"/>
      <c r="J18" s="864"/>
      <c r="K18" s="874"/>
      <c r="L18" s="875"/>
      <c r="M18" s="876"/>
    </row>
    <row r="19" spans="1:13" ht="15.75" customHeight="1" x14ac:dyDescent="0.2">
      <c r="A19" s="879" t="s">
        <v>1056</v>
      </c>
      <c r="B19" s="880" t="s">
        <v>1104</v>
      </c>
      <c r="C19" s="881">
        <f>C20+C21+C22+C23+C24+C25</f>
        <v>38000</v>
      </c>
      <c r="D19" s="882">
        <f>D20+D21+D22+D23+D24+D25</f>
        <v>48543</v>
      </c>
      <c r="E19" s="883">
        <f t="shared" si="0"/>
        <v>10543</v>
      </c>
      <c r="F19" s="884">
        <f>E19/C19*100</f>
        <v>27.744736842105262</v>
      </c>
      <c r="G19" s="885" t="e">
        <f>#REF!-#REF!</f>
        <v>#REF!</v>
      </c>
      <c r="H19" s="886" t="e">
        <f>G19/#REF!*100</f>
        <v>#REF!</v>
      </c>
      <c r="I19" s="886" t="e">
        <f>#REF!-#REF!</f>
        <v>#REF!</v>
      </c>
      <c r="J19" s="887" t="e">
        <f>I19/#REF!*100</f>
        <v>#REF!</v>
      </c>
      <c r="K19" s="888" t="e">
        <f>#REF!-#REF!</f>
        <v>#REF!</v>
      </c>
      <c r="L19" s="889" t="e">
        <f>K19/#REF!*100</f>
        <v>#REF!</v>
      </c>
      <c r="M19" s="890" t="e">
        <f>#REF!-D19</f>
        <v>#REF!</v>
      </c>
    </row>
    <row r="20" spans="1:13" ht="15" customHeight="1" x14ac:dyDescent="0.25">
      <c r="A20" s="891" t="s">
        <v>1058</v>
      </c>
      <c r="B20" s="892" t="s">
        <v>1105</v>
      </c>
      <c r="C20" s="893">
        <v>1500</v>
      </c>
      <c r="D20" s="894">
        <v>3508</v>
      </c>
      <c r="E20" s="895">
        <f t="shared" si="0"/>
        <v>2008</v>
      </c>
      <c r="F20" s="896">
        <f>E20/C20*100</f>
        <v>133.86666666666667</v>
      </c>
      <c r="G20" s="897" t="e">
        <f>#REF!-#REF!</f>
        <v>#REF!</v>
      </c>
      <c r="H20" s="898" t="e">
        <f>G20/#REF!*100</f>
        <v>#REF!</v>
      </c>
      <c r="I20" s="898" t="e">
        <f>#REF!-#REF!</f>
        <v>#REF!</v>
      </c>
      <c r="J20" s="899" t="e">
        <f>I20/#REF!*100</f>
        <v>#REF!</v>
      </c>
      <c r="K20" s="900" t="e">
        <f>#REF!-#REF!</f>
        <v>#REF!</v>
      </c>
      <c r="L20" s="901" t="e">
        <f>K20/#REF!*100</f>
        <v>#REF!</v>
      </c>
      <c r="M20" s="902" t="e">
        <f>#REF!-D20</f>
        <v>#REF!</v>
      </c>
    </row>
    <row r="21" spans="1:13" ht="15" customHeight="1" x14ac:dyDescent="0.25">
      <c r="A21" s="891" t="s">
        <v>1060</v>
      </c>
      <c r="B21" s="892" t="s">
        <v>1106</v>
      </c>
      <c r="C21" s="893">
        <v>400</v>
      </c>
      <c r="D21" s="894">
        <v>471</v>
      </c>
      <c r="E21" s="895">
        <f t="shared" si="0"/>
        <v>71</v>
      </c>
      <c r="F21" s="896">
        <f>E21/C21*100</f>
        <v>17.75</v>
      </c>
      <c r="G21" s="897" t="e">
        <f>#REF!-#REF!</f>
        <v>#REF!</v>
      </c>
      <c r="H21" s="898" t="e">
        <f>G21/#REF!*100</f>
        <v>#REF!</v>
      </c>
      <c r="I21" s="898" t="e">
        <f>#REF!-#REF!</f>
        <v>#REF!</v>
      </c>
      <c r="J21" s="899" t="e">
        <f>I21/#REF!*100</f>
        <v>#REF!</v>
      </c>
      <c r="K21" s="900" t="e">
        <f>#REF!-#REF!</f>
        <v>#REF!</v>
      </c>
      <c r="L21" s="901" t="e">
        <f>K21/#REF!*100</f>
        <v>#REF!</v>
      </c>
      <c r="M21" s="902" t="e">
        <f>#REF!-D21</f>
        <v>#REF!</v>
      </c>
    </row>
    <row r="22" spans="1:13" ht="15" customHeight="1" x14ac:dyDescent="0.25">
      <c r="A22" s="891" t="s">
        <v>1107</v>
      </c>
      <c r="B22" s="892" t="s">
        <v>1108</v>
      </c>
      <c r="C22" s="893">
        <v>31500</v>
      </c>
      <c r="D22" s="894">
        <v>39021</v>
      </c>
      <c r="E22" s="895">
        <f t="shared" si="0"/>
        <v>7521</v>
      </c>
      <c r="F22" s="896">
        <f>E22/C22*100</f>
        <v>23.876190476190477</v>
      </c>
      <c r="G22" s="897" t="e">
        <f>#REF!-#REF!</f>
        <v>#REF!</v>
      </c>
      <c r="H22" s="898" t="e">
        <f>G22/#REF!*100</f>
        <v>#REF!</v>
      </c>
      <c r="I22" s="898" t="e">
        <f>#REF!-#REF!</f>
        <v>#REF!</v>
      </c>
      <c r="J22" s="899" t="e">
        <f>I22/#REF!*100</f>
        <v>#REF!</v>
      </c>
      <c r="K22" s="900" t="e">
        <f>#REF!-#REF!</f>
        <v>#REF!</v>
      </c>
      <c r="L22" s="901" t="e">
        <f>K22/#REF!*100</f>
        <v>#REF!</v>
      </c>
      <c r="M22" s="902" t="e">
        <f>#REF!-D22</f>
        <v>#REF!</v>
      </c>
    </row>
    <row r="23" spans="1:13" ht="15.75" customHeight="1" x14ac:dyDescent="0.25">
      <c r="A23" s="891" t="s">
        <v>1109</v>
      </c>
      <c r="B23" s="903" t="s">
        <v>1110</v>
      </c>
      <c r="C23" s="893"/>
      <c r="D23" s="894">
        <v>943</v>
      </c>
      <c r="E23" s="895">
        <f t="shared" si="0"/>
        <v>943</v>
      </c>
      <c r="F23" s="896"/>
      <c r="G23" s="897"/>
      <c r="H23" s="898"/>
      <c r="I23" s="898"/>
      <c r="J23" s="899"/>
      <c r="K23" s="900"/>
      <c r="L23" s="901"/>
      <c r="M23" s="902" t="e">
        <f>#REF!-D23</f>
        <v>#REF!</v>
      </c>
    </row>
    <row r="24" spans="1:13" ht="15.75" customHeight="1" x14ac:dyDescent="0.25">
      <c r="A24" s="891" t="s">
        <v>1111</v>
      </c>
      <c r="B24" s="904" t="s">
        <v>1112</v>
      </c>
      <c r="C24" s="895">
        <v>4600</v>
      </c>
      <c r="D24" s="894">
        <v>4600</v>
      </c>
      <c r="E24" s="895">
        <f t="shared" si="0"/>
        <v>0</v>
      </c>
      <c r="F24" s="896">
        <f>E24/C24*100</f>
        <v>0</v>
      </c>
      <c r="G24" s="897"/>
      <c r="H24" s="898"/>
      <c r="I24" s="898"/>
      <c r="J24" s="899"/>
      <c r="K24" s="900"/>
      <c r="L24" s="901"/>
      <c r="M24" s="902" t="e">
        <f>#REF!-D24</f>
        <v>#REF!</v>
      </c>
    </row>
    <row r="25" spans="1:13" ht="38.25" hidden="1" customHeight="1" x14ac:dyDescent="0.25">
      <c r="A25" s="891"/>
      <c r="B25" s="905" t="s">
        <v>1113</v>
      </c>
      <c r="C25" s="893"/>
      <c r="D25" s="894"/>
      <c r="E25" s="895">
        <f t="shared" si="0"/>
        <v>0</v>
      </c>
      <c r="F25" s="896"/>
      <c r="G25" s="897"/>
      <c r="H25" s="898"/>
      <c r="I25" s="898"/>
      <c r="J25" s="899"/>
      <c r="K25" s="900"/>
      <c r="L25" s="901"/>
      <c r="M25" s="902"/>
    </row>
    <row r="26" spans="1:13" ht="15.75" customHeight="1" x14ac:dyDescent="0.2">
      <c r="A26" s="906" t="s">
        <v>1071</v>
      </c>
      <c r="B26" s="880" t="s">
        <v>1114</v>
      </c>
      <c r="C26" s="694">
        <f>C27+C28+C29+C30+C31+C32+C33</f>
        <v>4405</v>
      </c>
      <c r="D26" s="907">
        <f>D27+D28+D29+D30+D31+D32+D33</f>
        <v>3521</v>
      </c>
      <c r="E26" s="703">
        <f t="shared" si="0"/>
        <v>-884</v>
      </c>
      <c r="F26" s="696">
        <f>E26/C26*100</f>
        <v>-20.068104426787741</v>
      </c>
      <c r="G26" s="908" t="e">
        <f>#REF!-#REF!</f>
        <v>#REF!</v>
      </c>
      <c r="H26" s="909" t="e">
        <f>G26/#REF!*100</f>
        <v>#REF!</v>
      </c>
      <c r="I26" s="909" t="e">
        <f>#REF!-#REF!</f>
        <v>#REF!</v>
      </c>
      <c r="J26" s="910" t="e">
        <f>I26/#REF!*100</f>
        <v>#REF!</v>
      </c>
      <c r="K26" s="911" t="e">
        <f>#REF!-#REF!</f>
        <v>#REF!</v>
      </c>
      <c r="L26" s="912" t="e">
        <f>K26/#REF!*100</f>
        <v>#REF!</v>
      </c>
      <c r="M26" s="913" t="e">
        <f>#REF!-D26</f>
        <v>#REF!</v>
      </c>
    </row>
    <row r="27" spans="1:13" ht="15" customHeight="1" x14ac:dyDescent="0.25">
      <c r="A27" s="891" t="s">
        <v>1115</v>
      </c>
      <c r="B27" s="892" t="s">
        <v>1116</v>
      </c>
      <c r="C27" s="893">
        <v>490</v>
      </c>
      <c r="D27" s="894">
        <v>490</v>
      </c>
      <c r="E27" s="895">
        <f t="shared" si="0"/>
        <v>0</v>
      </c>
      <c r="F27" s="896">
        <f>E27/C27*100</f>
        <v>0</v>
      </c>
      <c r="G27" s="897" t="e">
        <f>#REF!-#REF!</f>
        <v>#REF!</v>
      </c>
      <c r="H27" s="898" t="e">
        <f>G27/#REF!*100</f>
        <v>#REF!</v>
      </c>
      <c r="I27" s="898" t="e">
        <f>#REF!-#REF!</f>
        <v>#REF!</v>
      </c>
      <c r="J27" s="899" t="e">
        <f>I27/#REF!*100</f>
        <v>#REF!</v>
      </c>
      <c r="K27" s="900" t="e">
        <f>#REF!-#REF!</f>
        <v>#REF!</v>
      </c>
      <c r="L27" s="901" t="e">
        <f>K27/#REF!*100</f>
        <v>#REF!</v>
      </c>
      <c r="M27" s="902" t="e">
        <f>#REF!-D27</f>
        <v>#REF!</v>
      </c>
    </row>
    <row r="28" spans="1:13" ht="15" customHeight="1" x14ac:dyDescent="0.25">
      <c r="A28" s="891" t="s">
        <v>1117</v>
      </c>
      <c r="B28" s="903" t="s">
        <v>1118</v>
      </c>
      <c r="C28" s="893">
        <v>15</v>
      </c>
      <c r="D28" s="894"/>
      <c r="E28" s="895">
        <f t="shared" si="0"/>
        <v>-15</v>
      </c>
      <c r="F28" s="896"/>
      <c r="G28" s="897" t="e">
        <f>#REF!-#REF!</f>
        <v>#REF!</v>
      </c>
      <c r="H28" s="898" t="e">
        <f>G28/#REF!*100</f>
        <v>#REF!</v>
      </c>
      <c r="I28" s="898" t="e">
        <f>#REF!-#REF!</f>
        <v>#REF!</v>
      </c>
      <c r="J28" s="899" t="e">
        <f>I28/#REF!*100</f>
        <v>#REF!</v>
      </c>
      <c r="K28" s="900" t="e">
        <f>#REF!-#REF!</f>
        <v>#REF!</v>
      </c>
      <c r="L28" s="901" t="e">
        <f>K28/#REF!*100</f>
        <v>#REF!</v>
      </c>
      <c r="M28" s="902" t="e">
        <f>#REF!-D28</f>
        <v>#REF!</v>
      </c>
    </row>
    <row r="29" spans="1:13" ht="15" customHeight="1" thickBot="1" x14ac:dyDescent="0.3">
      <c r="A29" s="891" t="s">
        <v>1119</v>
      </c>
      <c r="B29" s="914" t="s">
        <v>1120</v>
      </c>
      <c r="C29" s="893">
        <v>1688</v>
      </c>
      <c r="D29" s="894">
        <v>1688</v>
      </c>
      <c r="E29" s="895">
        <f t="shared" si="0"/>
        <v>0</v>
      </c>
      <c r="F29" s="896">
        <f>E29/C29*100</f>
        <v>0</v>
      </c>
      <c r="G29" s="915" t="e">
        <f>#REF!-#REF!</f>
        <v>#REF!</v>
      </c>
      <c r="H29" s="916" t="e">
        <f>G29/#REF!*100</f>
        <v>#REF!</v>
      </c>
      <c r="I29" s="916" t="e">
        <f>#REF!-#REF!</f>
        <v>#REF!</v>
      </c>
      <c r="J29" s="917" t="e">
        <f>I29/#REF!*100</f>
        <v>#REF!</v>
      </c>
      <c r="K29" s="918" t="e">
        <f>#REF!-#REF!</f>
        <v>#REF!</v>
      </c>
      <c r="L29" s="919" t="e">
        <f>K29/#REF!*100</f>
        <v>#REF!</v>
      </c>
      <c r="M29" s="920" t="e">
        <f>#REF!-D29</f>
        <v>#REF!</v>
      </c>
    </row>
    <row r="30" spans="1:13" ht="15" customHeight="1" thickBot="1" x14ac:dyDescent="0.25">
      <c r="A30" s="921" t="s">
        <v>1121</v>
      </c>
      <c r="B30" s="922" t="s">
        <v>1122</v>
      </c>
      <c r="C30" s="893">
        <v>2212</v>
      </c>
      <c r="D30" s="894">
        <v>1343</v>
      </c>
      <c r="E30" s="895">
        <f t="shared" si="0"/>
        <v>-869</v>
      </c>
      <c r="F30" s="896">
        <f>E30/C30*100</f>
        <v>-39.285714285714285</v>
      </c>
      <c r="G30" s="923" t="e">
        <f>#REF!-#REF!</f>
        <v>#REF!</v>
      </c>
      <c r="H30" s="924" t="e">
        <f>G30/#REF!*100</f>
        <v>#REF!</v>
      </c>
      <c r="I30" s="924" t="e">
        <f>#REF!-#REF!</f>
        <v>#REF!</v>
      </c>
      <c r="J30" s="925" t="e">
        <f>I30/#REF!*100</f>
        <v>#REF!</v>
      </c>
      <c r="K30" s="926" t="e">
        <f>#REF!-#REF!</f>
        <v>#REF!</v>
      </c>
      <c r="L30" s="927" t="e">
        <f>K30/#REF!*100</f>
        <v>#REF!</v>
      </c>
      <c r="M30" s="928" t="e">
        <f>#REF!-D30</f>
        <v>#REF!</v>
      </c>
    </row>
    <row r="31" spans="1:13" ht="15" hidden="1" customHeight="1" x14ac:dyDescent="0.2">
      <c r="A31" s="929" t="s">
        <v>1123</v>
      </c>
      <c r="B31" s="930" t="s">
        <v>1124</v>
      </c>
      <c r="C31" s="893"/>
      <c r="D31" s="894"/>
      <c r="E31" s="895">
        <f t="shared" si="0"/>
        <v>0</v>
      </c>
      <c r="F31" s="896"/>
      <c r="G31" s="885" t="e">
        <f>#REF!-#REF!</f>
        <v>#REF!</v>
      </c>
      <c r="H31" s="886" t="e">
        <f>G31/#REF!*100</f>
        <v>#REF!</v>
      </c>
      <c r="I31" s="886" t="e">
        <f>#REF!-#REF!</f>
        <v>#REF!</v>
      </c>
      <c r="J31" s="887" t="e">
        <f>I31/#REF!*100</f>
        <v>#REF!</v>
      </c>
      <c r="K31" s="931" t="e">
        <f>#REF!-#REF!</f>
        <v>#REF!</v>
      </c>
      <c r="L31" s="932" t="e">
        <f>K31/#REF!*100</f>
        <v>#REF!</v>
      </c>
      <c r="M31" s="823" t="e">
        <f>#REF!-D31</f>
        <v>#REF!</v>
      </c>
    </row>
    <row r="32" spans="1:13" ht="15" hidden="1" customHeight="1" thickBot="1" x14ac:dyDescent="0.3">
      <c r="A32" s="933" t="s">
        <v>1125</v>
      </c>
      <c r="B32" s="934" t="s">
        <v>1126</v>
      </c>
      <c r="C32" s="935"/>
      <c r="D32" s="936"/>
      <c r="E32" s="937">
        <f t="shared" si="0"/>
        <v>0</v>
      </c>
      <c r="F32" s="938"/>
      <c r="G32" s="897" t="e">
        <f>#REF!-#REF!</f>
        <v>#REF!</v>
      </c>
      <c r="H32" s="898" t="e">
        <f>G32/#REF!*100</f>
        <v>#REF!</v>
      </c>
      <c r="I32" s="898" t="e">
        <f>#REF!-#REF!</f>
        <v>#REF!</v>
      </c>
      <c r="J32" s="899" t="e">
        <f>I32/#REF!*100</f>
        <v>#REF!</v>
      </c>
      <c r="K32" s="900" t="e">
        <f>#REF!-#REF!</f>
        <v>#REF!</v>
      </c>
      <c r="L32" s="901" t="e">
        <f>K32/#REF!*100</f>
        <v>#REF!</v>
      </c>
      <c r="M32" s="902" t="e">
        <f>#REF!-D32</f>
        <v>#REF!</v>
      </c>
    </row>
    <row r="33" spans="1:15" ht="15" hidden="1" customHeight="1" thickBot="1" x14ac:dyDescent="0.3">
      <c r="A33" s="939"/>
      <c r="B33" s="940"/>
      <c r="C33" s="791"/>
      <c r="D33" s="792"/>
      <c r="E33" s="941">
        <f t="shared" si="0"/>
        <v>0</v>
      </c>
      <c r="F33" s="794" t="e">
        <f>E33/C33*100</f>
        <v>#DIV/0!</v>
      </c>
      <c r="G33" s="897"/>
      <c r="H33" s="898"/>
      <c r="I33" s="898"/>
      <c r="J33" s="899"/>
      <c r="K33" s="900"/>
      <c r="L33" s="901"/>
      <c r="M33" s="902"/>
    </row>
    <row r="34" spans="1:15" ht="32.25" customHeight="1" thickBot="1" x14ac:dyDescent="0.3">
      <c r="A34" s="942"/>
      <c r="B34" s="943" t="s">
        <v>1127</v>
      </c>
      <c r="C34" s="944">
        <f>C13+C19+C26</f>
        <v>286553</v>
      </c>
      <c r="D34" s="945">
        <f>D13+D19+D26</f>
        <v>341282</v>
      </c>
      <c r="E34" s="946">
        <f t="shared" si="0"/>
        <v>54729</v>
      </c>
      <c r="F34" s="947">
        <f>E34/C34*100</f>
        <v>19.099084637047945</v>
      </c>
      <c r="G34" s="897" t="e">
        <f>#REF!-#REF!</f>
        <v>#REF!</v>
      </c>
      <c r="H34" s="898" t="e">
        <f>G34/#REF!*100</f>
        <v>#REF!</v>
      </c>
      <c r="I34" s="898" t="e">
        <f>#REF!-#REF!</f>
        <v>#REF!</v>
      </c>
      <c r="J34" s="899" t="e">
        <f>I34/#REF!*100</f>
        <v>#REF!</v>
      </c>
      <c r="K34" s="900" t="e">
        <f>#REF!-#REF!</f>
        <v>#REF!</v>
      </c>
      <c r="L34" s="901" t="e">
        <f>K34/#REF!*100</f>
        <v>#REF!</v>
      </c>
      <c r="M34" s="902" t="e">
        <f>#REF!-D34</f>
        <v>#REF!</v>
      </c>
    </row>
    <row r="35" spans="1:15" ht="30" customHeight="1" thickBot="1" x14ac:dyDescent="0.3">
      <c r="A35" s="948" t="s">
        <v>1128</v>
      </c>
      <c r="B35" s="949" t="s">
        <v>1129</v>
      </c>
      <c r="C35" s="950">
        <f>C36+C37</f>
        <v>1863</v>
      </c>
      <c r="D35" s="951">
        <f>D36+D37</f>
        <v>0</v>
      </c>
      <c r="E35" s="952">
        <f t="shared" si="0"/>
        <v>-1863</v>
      </c>
      <c r="F35" s="953"/>
      <c r="G35" s="897"/>
      <c r="H35" s="898"/>
      <c r="I35" s="898"/>
      <c r="J35" s="899"/>
      <c r="K35" s="900"/>
      <c r="L35" s="901"/>
      <c r="M35" s="902"/>
    </row>
    <row r="36" spans="1:15" ht="26.25" customHeight="1" x14ac:dyDescent="0.25">
      <c r="A36" s="954" t="s">
        <v>1130</v>
      </c>
      <c r="B36" s="955" t="s">
        <v>1131</v>
      </c>
      <c r="C36" s="956">
        <v>1543</v>
      </c>
      <c r="D36" s="957"/>
      <c r="E36" s="958">
        <f t="shared" si="0"/>
        <v>-1543</v>
      </c>
      <c r="F36" s="959"/>
      <c r="G36" s="897"/>
      <c r="H36" s="898"/>
      <c r="I36" s="898"/>
      <c r="J36" s="899"/>
      <c r="K36" s="900"/>
      <c r="L36" s="901"/>
      <c r="M36" s="902"/>
    </row>
    <row r="37" spans="1:15" ht="16.5" customHeight="1" thickBot="1" x14ac:dyDescent="0.3">
      <c r="A37" s="960" t="s">
        <v>1132</v>
      </c>
      <c r="B37" s="961" t="s">
        <v>1133</v>
      </c>
      <c r="C37" s="962">
        <v>320</v>
      </c>
      <c r="D37" s="963"/>
      <c r="E37" s="964">
        <f t="shared" si="0"/>
        <v>-320</v>
      </c>
      <c r="F37" s="965"/>
      <c r="G37" s="897"/>
      <c r="H37" s="898"/>
      <c r="I37" s="898"/>
      <c r="J37" s="899"/>
      <c r="K37" s="900"/>
      <c r="L37" s="901"/>
      <c r="M37" s="902"/>
    </row>
    <row r="38" spans="1:15" ht="41.25" customHeight="1" thickBot="1" x14ac:dyDescent="0.3">
      <c r="A38" s="942"/>
      <c r="B38" s="943" t="s">
        <v>1134</v>
      </c>
      <c r="C38" s="944">
        <f>C34+C35</f>
        <v>288416</v>
      </c>
      <c r="D38" s="945">
        <f>D34+D35</f>
        <v>341282</v>
      </c>
      <c r="E38" s="946">
        <f t="shared" si="0"/>
        <v>52866</v>
      </c>
      <c r="F38" s="947">
        <f>E38/C38*100</f>
        <v>18.329773660268501</v>
      </c>
      <c r="G38" s="897"/>
      <c r="H38" s="898"/>
      <c r="I38" s="898"/>
      <c r="J38" s="899"/>
      <c r="K38" s="900"/>
      <c r="L38" s="901"/>
      <c r="M38" s="902"/>
    </row>
    <row r="39" spans="1:15" ht="36.75" hidden="1" customHeight="1" x14ac:dyDescent="0.25">
      <c r="A39" s="966"/>
      <c r="B39" s="967"/>
      <c r="C39" s="967"/>
      <c r="D39" s="967"/>
      <c r="E39" s="967"/>
      <c r="F39" s="968"/>
      <c r="G39" s="897"/>
      <c r="H39" s="898"/>
      <c r="I39" s="898"/>
      <c r="J39" s="899"/>
      <c r="K39" s="900"/>
      <c r="L39" s="901"/>
      <c r="M39" s="902"/>
    </row>
    <row r="40" spans="1:15" ht="24" hidden="1" customHeight="1" thickBot="1" x14ac:dyDescent="0.3">
      <c r="A40" s="969"/>
      <c r="B40" s="1491" t="s">
        <v>1135</v>
      </c>
      <c r="C40" s="1492"/>
      <c r="D40" s="1492"/>
      <c r="E40" s="1492"/>
      <c r="F40" s="1493"/>
      <c r="G40" s="897" t="e">
        <f>#REF!-#REF!</f>
        <v>#REF!</v>
      </c>
      <c r="H40" s="898" t="e">
        <f>G40/#REF!*100</f>
        <v>#REF!</v>
      </c>
      <c r="I40" s="898" t="e">
        <f>#REF!-#REF!</f>
        <v>#REF!</v>
      </c>
      <c r="J40" s="899"/>
      <c r="K40" s="900" t="e">
        <f>#REF!-#REF!</f>
        <v>#REF!</v>
      </c>
      <c r="L40" s="901"/>
      <c r="M40" s="902" t="e">
        <f>#REF!-D40</f>
        <v>#REF!</v>
      </c>
    </row>
    <row r="41" spans="1:15" ht="16.5" hidden="1" customHeight="1" x14ac:dyDescent="0.2">
      <c r="A41" s="970" t="s">
        <v>1136</v>
      </c>
      <c r="B41" s="971" t="s">
        <v>1137</v>
      </c>
      <c r="C41" s="972">
        <f>C42+C45+C46</f>
        <v>16206.6</v>
      </c>
      <c r="D41" s="882">
        <f>D42+D45+D46</f>
        <v>17213.3</v>
      </c>
      <c r="E41" s="881">
        <f t="shared" ref="E41:E53" si="2">D41-C41</f>
        <v>1006.6999999999989</v>
      </c>
      <c r="F41" s="972">
        <f t="shared" ref="F41:F49" si="3">E41/C41*100</f>
        <v>6.21166685177643</v>
      </c>
      <c r="G41" s="908" t="e">
        <f>#REF!-#REF!</f>
        <v>#REF!</v>
      </c>
      <c r="H41" s="909" t="e">
        <f>G41/#REF!*100</f>
        <v>#REF!</v>
      </c>
      <c r="I41" s="909" t="e">
        <f>#REF!-#REF!</f>
        <v>#REF!</v>
      </c>
      <c r="J41" s="910" t="e">
        <f>I41/#REF!*100</f>
        <v>#REF!</v>
      </c>
      <c r="K41" s="900" t="e">
        <f>#REF!-#REF!</f>
        <v>#REF!</v>
      </c>
      <c r="L41" s="901" t="e">
        <f>K41/#REF!*100</f>
        <v>#REF!</v>
      </c>
      <c r="M41" s="902" t="e">
        <f>#REF!-D41</f>
        <v>#REF!</v>
      </c>
    </row>
    <row r="42" spans="1:15" ht="15" hidden="1" customHeight="1" x14ac:dyDescent="0.25">
      <c r="A42" s="969" t="s">
        <v>1138</v>
      </c>
      <c r="B42" s="973" t="s">
        <v>1139</v>
      </c>
      <c r="C42" s="896">
        <f>C43+C44</f>
        <v>1836.3000000000002</v>
      </c>
      <c r="D42" s="894">
        <f>D43+D44</f>
        <v>2305.6</v>
      </c>
      <c r="E42" s="893">
        <f t="shared" si="2"/>
        <v>469.29999999999973</v>
      </c>
      <c r="F42" s="896">
        <f t="shared" si="3"/>
        <v>25.556826226651403</v>
      </c>
      <c r="G42" s="897" t="e">
        <f>#REF!-#REF!</f>
        <v>#REF!</v>
      </c>
      <c r="H42" s="898" t="e">
        <f>G42/#REF!*100</f>
        <v>#REF!</v>
      </c>
      <c r="I42" s="898" t="e">
        <f>#REF!-#REF!</f>
        <v>#REF!</v>
      </c>
      <c r="J42" s="899" t="e">
        <f>I42/#REF!*100</f>
        <v>#REF!</v>
      </c>
      <c r="K42" s="900" t="e">
        <f>#REF!-#REF!</f>
        <v>#REF!</v>
      </c>
      <c r="L42" s="901" t="e">
        <f>K42/#REF!*100</f>
        <v>#REF!</v>
      </c>
      <c r="M42" s="902" t="e">
        <f>#REF!-D42</f>
        <v>#REF!</v>
      </c>
    </row>
    <row r="43" spans="1:15" ht="12.75" hidden="1" customHeight="1" x14ac:dyDescent="0.25">
      <c r="A43" s="969"/>
      <c r="B43" s="974" t="s">
        <v>1140</v>
      </c>
      <c r="C43" s="896">
        <v>1303.4000000000001</v>
      </c>
      <c r="D43" s="894">
        <v>1750</v>
      </c>
      <c r="E43" s="893">
        <f t="shared" si="2"/>
        <v>446.59999999999991</v>
      </c>
      <c r="F43" s="896">
        <f t="shared" si="3"/>
        <v>34.264232008592906</v>
      </c>
      <c r="G43" s="897"/>
      <c r="H43" s="898"/>
      <c r="I43" s="898"/>
      <c r="J43" s="899"/>
      <c r="K43" s="900"/>
      <c r="L43" s="901"/>
      <c r="M43" s="902"/>
    </row>
    <row r="44" spans="1:15" ht="12.75" hidden="1" customHeight="1" x14ac:dyDescent="0.25">
      <c r="A44" s="969"/>
      <c r="B44" s="974" t="s">
        <v>1141</v>
      </c>
      <c r="C44" s="896">
        <v>532.9</v>
      </c>
      <c r="D44" s="894">
        <v>555.6</v>
      </c>
      <c r="E44" s="893">
        <f t="shared" si="2"/>
        <v>22.700000000000045</v>
      </c>
      <c r="F44" s="896">
        <f t="shared" si="3"/>
        <v>4.2597110151998585</v>
      </c>
      <c r="G44" s="897" t="e">
        <f>#REF!-#REF!</f>
        <v>#REF!</v>
      </c>
      <c r="H44" s="898" t="e">
        <f>G44/#REF!*100</f>
        <v>#REF!</v>
      </c>
      <c r="I44" s="898" t="e">
        <f>#REF!-#REF!</f>
        <v>#REF!</v>
      </c>
      <c r="J44" s="899" t="e">
        <f>I44/#REF!*100</f>
        <v>#REF!</v>
      </c>
      <c r="K44" s="900" t="e">
        <f>#REF!-#REF!</f>
        <v>#REF!</v>
      </c>
      <c r="L44" s="901" t="e">
        <f>K44/#REF!*100</f>
        <v>#REF!</v>
      </c>
      <c r="M44" s="902" t="e">
        <f>#REF!-D44</f>
        <v>#REF!</v>
      </c>
    </row>
    <row r="45" spans="1:15" ht="15" hidden="1" customHeight="1" x14ac:dyDescent="0.25">
      <c r="A45" s="969" t="s">
        <v>1142</v>
      </c>
      <c r="B45" s="973" t="s">
        <v>1143</v>
      </c>
      <c r="C45" s="896">
        <v>258.60000000000002</v>
      </c>
      <c r="D45" s="894">
        <v>277.2</v>
      </c>
      <c r="E45" s="893">
        <f t="shared" si="2"/>
        <v>18.599999999999966</v>
      </c>
      <c r="F45" s="896">
        <f t="shared" si="3"/>
        <v>7.1925754060324687</v>
      </c>
      <c r="G45" s="897" t="e">
        <f>#REF!-#REF!</f>
        <v>#REF!</v>
      </c>
      <c r="H45" s="898" t="e">
        <f>G45/#REF!*100</f>
        <v>#REF!</v>
      </c>
      <c r="I45" s="898" t="e">
        <f>#REF!-#REF!</f>
        <v>#REF!</v>
      </c>
      <c r="J45" s="899" t="e">
        <f>I45/#REF!*100</f>
        <v>#REF!</v>
      </c>
      <c r="K45" s="900" t="e">
        <f>#REF!-#REF!</f>
        <v>#REF!</v>
      </c>
      <c r="L45" s="901" t="e">
        <f>K45/#REF!*100</f>
        <v>#REF!</v>
      </c>
      <c r="M45" s="902" t="e">
        <f>#REF!-D45</f>
        <v>#REF!</v>
      </c>
    </row>
    <row r="46" spans="1:15" ht="25.5" hidden="1" customHeight="1" x14ac:dyDescent="0.25">
      <c r="A46" s="975" t="s">
        <v>1144</v>
      </c>
      <c r="B46" s="973" t="s">
        <v>1145</v>
      </c>
      <c r="C46" s="896">
        <v>14111.7</v>
      </c>
      <c r="D46" s="894">
        <v>14630.5</v>
      </c>
      <c r="E46" s="893">
        <f t="shared" si="2"/>
        <v>518.79999999999927</v>
      </c>
      <c r="F46" s="896">
        <f t="shared" si="3"/>
        <v>3.6763820092547266</v>
      </c>
      <c r="G46" s="897" t="e">
        <f>#REF!-#REF!</f>
        <v>#REF!</v>
      </c>
      <c r="H46" s="898" t="e">
        <f>G46/#REF!*100</f>
        <v>#REF!</v>
      </c>
      <c r="I46" s="898" t="e">
        <f>#REF!-#REF!</f>
        <v>#REF!</v>
      </c>
      <c r="J46" s="899" t="e">
        <f>I46/#REF!*100</f>
        <v>#REF!</v>
      </c>
      <c r="K46" s="900" t="e">
        <f>#REF!-#REF!</f>
        <v>#REF!</v>
      </c>
      <c r="L46" s="901" t="e">
        <f>K46/#REF!*100</f>
        <v>#REF!</v>
      </c>
      <c r="M46" s="902" t="e">
        <f>#REF!-D46</f>
        <v>#REF!</v>
      </c>
    </row>
    <row r="47" spans="1:15" ht="25.5" hidden="1" customHeight="1" x14ac:dyDescent="0.2">
      <c r="A47" s="970" t="s">
        <v>1146</v>
      </c>
      <c r="B47" s="976" t="s">
        <v>1147</v>
      </c>
      <c r="C47" s="696">
        <f>C48+C49</f>
        <v>1259.8</v>
      </c>
      <c r="D47" s="907">
        <f>D48+D49</f>
        <v>1303.3</v>
      </c>
      <c r="E47" s="694">
        <f t="shared" si="2"/>
        <v>43.5</v>
      </c>
      <c r="F47" s="696">
        <f t="shared" si="3"/>
        <v>3.4529290363549769</v>
      </c>
      <c r="G47" s="908" t="e">
        <f>#REF!-#REF!</f>
        <v>#REF!</v>
      </c>
      <c r="H47" s="909" t="e">
        <f>G47/#REF!*100</f>
        <v>#REF!</v>
      </c>
      <c r="I47" s="909" t="e">
        <f>#REF!-#REF!</f>
        <v>#REF!</v>
      </c>
      <c r="J47" s="910" t="e">
        <f>I47/#REF!*100</f>
        <v>#REF!</v>
      </c>
      <c r="K47" s="900" t="e">
        <f>#REF!-#REF!</f>
        <v>#REF!</v>
      </c>
      <c r="L47" s="901" t="e">
        <f>K47/#REF!*100</f>
        <v>#REF!</v>
      </c>
      <c r="M47" s="902" t="e">
        <f>#REF!-D47</f>
        <v>#REF!</v>
      </c>
      <c r="O47" s="762"/>
    </row>
    <row r="48" spans="1:15" ht="12.75" hidden="1" customHeight="1" x14ac:dyDescent="0.2">
      <c r="A48" s="977" t="s">
        <v>1148</v>
      </c>
      <c r="B48" s="978" t="s">
        <v>1149</v>
      </c>
      <c r="C48" s="896">
        <v>1158.5</v>
      </c>
      <c r="D48" s="894">
        <v>1158.5</v>
      </c>
      <c r="E48" s="893">
        <f t="shared" si="2"/>
        <v>0</v>
      </c>
      <c r="F48" s="896">
        <f t="shared" si="3"/>
        <v>0</v>
      </c>
      <c r="G48" s="908" t="e">
        <f>#REF!-#REF!</f>
        <v>#REF!</v>
      </c>
      <c r="H48" s="909" t="e">
        <f>G48/#REF!*100</f>
        <v>#REF!</v>
      </c>
      <c r="I48" s="909" t="e">
        <f>#REF!-#REF!</f>
        <v>#REF!</v>
      </c>
      <c r="J48" s="910" t="e">
        <f>I48/#REF!*100</f>
        <v>#REF!</v>
      </c>
      <c r="K48" s="900" t="e">
        <f>#REF!-#REF!</f>
        <v>#REF!</v>
      </c>
      <c r="L48" s="901" t="e">
        <f>K48/#REF!*100</f>
        <v>#REF!</v>
      </c>
      <c r="M48" s="902" t="e">
        <f>#REF!-D48</f>
        <v>#REF!</v>
      </c>
    </row>
    <row r="49" spans="1:15" ht="13.5" hidden="1" customHeight="1" x14ac:dyDescent="0.25">
      <c r="A49" s="979"/>
      <c r="B49" s="978" t="s">
        <v>1150</v>
      </c>
      <c r="C49" s="896">
        <v>101.3</v>
      </c>
      <c r="D49" s="894">
        <v>144.80000000000001</v>
      </c>
      <c r="E49" s="893">
        <f t="shared" si="2"/>
        <v>43.500000000000014</v>
      </c>
      <c r="F49" s="896">
        <f t="shared" si="3"/>
        <v>42.94175715695954</v>
      </c>
      <c r="G49" s="980" t="e">
        <f>#REF!-#REF!</f>
        <v>#REF!</v>
      </c>
      <c r="H49" s="981" t="e">
        <f>G49/#REF!*100</f>
        <v>#REF!</v>
      </c>
      <c r="I49" s="981" t="e">
        <f>#REF!-#REF!</f>
        <v>#REF!</v>
      </c>
      <c r="J49" s="982" t="e">
        <f>I49/#REF!*100</f>
        <v>#REF!</v>
      </c>
      <c r="K49" s="983" t="e">
        <f>#REF!-#REF!</f>
        <v>#REF!</v>
      </c>
      <c r="L49" s="984" t="e">
        <f>K49/#REF!*100</f>
        <v>#REF!</v>
      </c>
      <c r="M49" s="985" t="e">
        <f>#REF!-D49</f>
        <v>#REF!</v>
      </c>
    </row>
    <row r="50" spans="1:15" ht="15.75" hidden="1" thickBot="1" x14ac:dyDescent="0.3">
      <c r="A50" s="979"/>
      <c r="B50" s="978" t="s">
        <v>1151</v>
      </c>
      <c r="C50" s="896"/>
      <c r="D50" s="894"/>
      <c r="E50" s="893">
        <f t="shared" si="2"/>
        <v>0</v>
      </c>
      <c r="F50" s="896"/>
      <c r="G50" s="986" t="e">
        <f>#REF!-#REF!</f>
        <v>#REF!</v>
      </c>
      <c r="H50" s="987">
        <v>100</v>
      </c>
      <c r="I50" s="987" t="e">
        <f>#REF!-#REF!</f>
        <v>#REF!</v>
      </c>
      <c r="J50" s="988">
        <v>100</v>
      </c>
      <c r="K50" s="989" t="e">
        <f>#REF!-#REF!</f>
        <v>#REF!</v>
      </c>
      <c r="L50" s="990">
        <v>100</v>
      </c>
      <c r="M50" s="991" t="e">
        <f>#REF!-D50</f>
        <v>#REF!</v>
      </c>
    </row>
    <row r="51" spans="1:15" ht="15.75" hidden="1" thickBot="1" x14ac:dyDescent="0.3">
      <c r="A51" s="992"/>
      <c r="B51" s="978" t="s">
        <v>1152</v>
      </c>
      <c r="C51" s="896"/>
      <c r="D51" s="894"/>
      <c r="E51" s="893">
        <f t="shared" si="2"/>
        <v>0</v>
      </c>
      <c r="F51" s="896"/>
      <c r="G51" s="986"/>
      <c r="H51" s="987"/>
      <c r="I51" s="987"/>
      <c r="J51" s="988"/>
      <c r="K51" s="989"/>
      <c r="L51" s="990"/>
      <c r="M51" s="991"/>
    </row>
    <row r="52" spans="1:15" ht="14.25" hidden="1" customHeight="1" thickBot="1" x14ac:dyDescent="0.3">
      <c r="A52" s="992"/>
      <c r="B52" s="993" t="s">
        <v>1153</v>
      </c>
      <c r="C52" s="994">
        <v>4181.2</v>
      </c>
      <c r="D52" s="995">
        <v>7234</v>
      </c>
      <c r="E52" s="996">
        <f t="shared" si="2"/>
        <v>3052.8</v>
      </c>
      <c r="F52" s="994">
        <f>E52/C52*100</f>
        <v>73.012532287381617</v>
      </c>
      <c r="G52" s="986"/>
      <c r="H52" s="987"/>
      <c r="I52" s="987"/>
      <c r="J52" s="988"/>
      <c r="K52" s="989"/>
      <c r="L52" s="990"/>
      <c r="M52" s="991"/>
    </row>
    <row r="53" spans="1:15" ht="25.5" hidden="1" customHeight="1" thickBot="1" x14ac:dyDescent="0.3">
      <c r="A53" s="992"/>
      <c r="B53" s="997" t="s">
        <v>1154</v>
      </c>
      <c r="C53" s="998">
        <f>C41+C47+C52</f>
        <v>21647.600000000002</v>
      </c>
      <c r="D53" s="999">
        <f>D41+D47+D52</f>
        <v>25750.6</v>
      </c>
      <c r="E53" s="1000">
        <f t="shared" si="2"/>
        <v>4102.9999999999964</v>
      </c>
      <c r="F53" s="998">
        <f>E53/C53*100</f>
        <v>18.953602246900331</v>
      </c>
      <c r="G53" s="986"/>
      <c r="H53" s="987"/>
      <c r="I53" s="987"/>
      <c r="J53" s="988"/>
      <c r="K53" s="989"/>
      <c r="L53" s="990"/>
      <c r="M53" s="991"/>
      <c r="O53" s="762"/>
    </row>
    <row r="54" spans="1:15" ht="8.25" hidden="1" customHeight="1" thickBot="1" x14ac:dyDescent="0.3">
      <c r="A54" s="992"/>
      <c r="B54" s="1001"/>
      <c r="C54" s="1002"/>
      <c r="D54" s="1003"/>
      <c r="E54" s="1004"/>
      <c r="F54" s="1002"/>
      <c r="G54" s="986"/>
      <c r="H54" s="987"/>
      <c r="I54" s="987"/>
      <c r="J54" s="988"/>
      <c r="K54" s="989"/>
      <c r="L54" s="990"/>
      <c r="M54" s="991"/>
      <c r="O54" s="762"/>
    </row>
    <row r="55" spans="1:15" ht="33" hidden="1" customHeight="1" thickBot="1" x14ac:dyDescent="0.25">
      <c r="A55" s="1005"/>
      <c r="B55" s="1006" t="s">
        <v>1155</v>
      </c>
      <c r="C55" s="1007">
        <f>C34+C41+C47+C52</f>
        <v>308200.59999999998</v>
      </c>
      <c r="D55" s="1008">
        <f>D34+D41+D47+D52</f>
        <v>367032.6</v>
      </c>
      <c r="E55" s="1009">
        <f>D55-C55</f>
        <v>58832</v>
      </c>
      <c r="F55" s="1007">
        <f>E55/C55*100</f>
        <v>19.088866147567526</v>
      </c>
      <c r="G55" s="923" t="e">
        <f>#REF!-#REF!</f>
        <v>#REF!</v>
      </c>
      <c r="H55" s="924" t="e">
        <f>G55/#REF!*100</f>
        <v>#REF!</v>
      </c>
      <c r="I55" s="924" t="e">
        <f>#REF!-#REF!</f>
        <v>#REF!</v>
      </c>
      <c r="J55" s="925" t="e">
        <f>I55/#REF!*100</f>
        <v>#REF!</v>
      </c>
      <c r="K55" s="926" t="e">
        <f>#REF!-#REF!</f>
        <v>#REF!</v>
      </c>
      <c r="L55" s="927" t="e">
        <f>K55/#REF!*100</f>
        <v>#REF!</v>
      </c>
      <c r="M55" s="928" t="e">
        <f>#REF!-D55</f>
        <v>#REF!</v>
      </c>
      <c r="O55" s="762"/>
    </row>
    <row r="56" spans="1:15" x14ac:dyDescent="0.2">
      <c r="A56" s="1010"/>
      <c r="B56" s="1011"/>
      <c r="C56" s="1011"/>
      <c r="D56" s="1012"/>
      <c r="E56" s="1012"/>
      <c r="F56" s="1012"/>
    </row>
    <row r="57" spans="1:15" x14ac:dyDescent="0.2">
      <c r="A57" s="1010"/>
      <c r="B57" s="1010"/>
      <c r="C57" s="1010"/>
    </row>
    <row r="58" spans="1:15" x14ac:dyDescent="0.2">
      <c r="A58" s="1010"/>
      <c r="B58" s="1010"/>
      <c r="C58" s="1010"/>
    </row>
    <row r="59" spans="1:15" x14ac:dyDescent="0.2">
      <c r="A59" s="1010"/>
      <c r="B59" s="1010"/>
      <c r="C59" s="1010"/>
    </row>
    <row r="60" spans="1:15" x14ac:dyDescent="0.2">
      <c r="A60" s="1010"/>
      <c r="B60" s="1010"/>
      <c r="C60" s="1010"/>
    </row>
    <row r="61" spans="1:15" x14ac:dyDescent="0.2">
      <c r="A61" s="1010"/>
      <c r="B61" s="1010"/>
      <c r="C61" s="1010"/>
    </row>
    <row r="62" spans="1:15" x14ac:dyDescent="0.2">
      <c r="A62" s="1010"/>
      <c r="B62" s="1010"/>
      <c r="C62" s="1010"/>
    </row>
    <row r="63" spans="1:15" x14ac:dyDescent="0.2">
      <c r="A63" s="1010"/>
      <c r="B63" s="1010"/>
      <c r="C63" s="1010"/>
    </row>
    <row r="64" spans="1:15" x14ac:dyDescent="0.2">
      <c r="A64" s="1010"/>
      <c r="B64" s="1010"/>
      <c r="C64" s="1010"/>
    </row>
    <row r="65" spans="1:3" x14ac:dyDescent="0.2">
      <c r="A65" s="1010"/>
      <c r="B65" s="1010"/>
      <c r="C65" s="1010"/>
    </row>
    <row r="66" spans="1:3" x14ac:dyDescent="0.2">
      <c r="A66" s="1010"/>
      <c r="B66" s="1010"/>
      <c r="C66" s="1010"/>
    </row>
    <row r="67" spans="1:3" x14ac:dyDescent="0.2">
      <c r="A67" s="1010"/>
      <c r="B67" s="1010"/>
      <c r="C67" s="1010"/>
    </row>
    <row r="68" spans="1:3" x14ac:dyDescent="0.2">
      <c r="A68" s="1010"/>
      <c r="B68" s="1010"/>
      <c r="C68" s="1010"/>
    </row>
    <row r="69" spans="1:3" x14ac:dyDescent="0.2">
      <c r="A69" s="1010"/>
      <c r="B69" s="1010"/>
      <c r="C69" s="1010"/>
    </row>
    <row r="70" spans="1:3" x14ac:dyDescent="0.2">
      <c r="A70" s="1010"/>
      <c r="B70" s="1010"/>
      <c r="C70" s="1010"/>
    </row>
    <row r="71" spans="1:3" x14ac:dyDescent="0.2">
      <c r="A71" s="1010"/>
      <c r="B71" s="1010"/>
      <c r="C71" s="1010"/>
    </row>
    <row r="72" spans="1:3" x14ac:dyDescent="0.2">
      <c r="A72" s="1010"/>
      <c r="B72" s="1010"/>
      <c r="C72" s="1010"/>
    </row>
    <row r="73" spans="1:3" x14ac:dyDescent="0.2">
      <c r="A73" s="1010"/>
      <c r="B73" s="1010"/>
      <c r="C73" s="1010"/>
    </row>
    <row r="74" spans="1:3" x14ac:dyDescent="0.2">
      <c r="A74" s="1010"/>
      <c r="B74" s="1010"/>
      <c r="C74" s="1010"/>
    </row>
    <row r="75" spans="1:3" x14ac:dyDescent="0.2">
      <c r="A75" s="1010"/>
      <c r="B75" s="1010"/>
      <c r="C75" s="1010"/>
    </row>
    <row r="76" spans="1:3" x14ac:dyDescent="0.2">
      <c r="A76" s="1010"/>
      <c r="B76" s="1010"/>
      <c r="C76" s="1010"/>
    </row>
    <row r="77" spans="1:3" x14ac:dyDescent="0.2">
      <c r="A77" s="1010"/>
      <c r="B77" s="1010"/>
      <c r="C77" s="1010"/>
    </row>
    <row r="78" spans="1:3" x14ac:dyDescent="0.2">
      <c r="A78" s="1010"/>
      <c r="B78" s="1010"/>
      <c r="C78" s="1010"/>
    </row>
    <row r="79" spans="1:3" x14ac:dyDescent="0.2">
      <c r="A79" s="1010"/>
      <c r="B79" s="1010"/>
      <c r="C79" s="1010"/>
    </row>
    <row r="80" spans="1:3" x14ac:dyDescent="0.2">
      <c r="A80" s="1010"/>
      <c r="B80" s="1010"/>
      <c r="C80" s="1010"/>
    </row>
    <row r="81" spans="1:3" x14ac:dyDescent="0.2">
      <c r="A81" s="1010"/>
      <c r="B81" s="1010"/>
      <c r="C81" s="1010"/>
    </row>
    <row r="82" spans="1:3" x14ac:dyDescent="0.2">
      <c r="A82" s="1010"/>
      <c r="B82" s="1010"/>
      <c r="C82" s="1010"/>
    </row>
    <row r="83" spans="1:3" x14ac:dyDescent="0.2">
      <c r="A83" s="1010"/>
      <c r="B83" s="1010"/>
      <c r="C83" s="1010"/>
    </row>
    <row r="84" spans="1:3" x14ac:dyDescent="0.2">
      <c r="A84" s="1010"/>
      <c r="B84" s="1010"/>
      <c r="C84" s="1010"/>
    </row>
    <row r="85" spans="1:3" x14ac:dyDescent="0.2">
      <c r="A85" s="1010"/>
      <c r="B85" s="1010"/>
      <c r="C85" s="1010"/>
    </row>
    <row r="86" spans="1:3" x14ac:dyDescent="0.2">
      <c r="A86" s="1010"/>
      <c r="B86" s="1010"/>
      <c r="C86" s="1010"/>
    </row>
    <row r="87" spans="1:3" x14ac:dyDescent="0.2">
      <c r="A87" s="1010"/>
      <c r="B87" s="1010"/>
      <c r="C87" s="1010"/>
    </row>
    <row r="88" spans="1:3" x14ac:dyDescent="0.2">
      <c r="A88" s="1010"/>
      <c r="B88" s="1010"/>
      <c r="C88" s="1010"/>
    </row>
    <row r="89" spans="1:3" x14ac:dyDescent="0.2">
      <c r="A89" s="1010"/>
      <c r="B89" s="1010"/>
      <c r="C89" s="1010"/>
    </row>
    <row r="90" spans="1:3" x14ac:dyDescent="0.2">
      <c r="A90" s="1010"/>
      <c r="B90" s="1010"/>
      <c r="C90" s="1010"/>
    </row>
    <row r="91" spans="1:3" x14ac:dyDescent="0.2">
      <c r="A91" s="1010"/>
      <c r="B91" s="1010"/>
      <c r="C91" s="1010"/>
    </row>
    <row r="92" spans="1:3" x14ac:dyDescent="0.2">
      <c r="A92" s="1010"/>
      <c r="B92" s="1010"/>
      <c r="C92" s="1010"/>
    </row>
    <row r="93" spans="1:3" x14ac:dyDescent="0.2">
      <c r="A93" s="1010"/>
      <c r="B93" s="1010"/>
      <c r="C93" s="1010"/>
    </row>
    <row r="94" spans="1:3" x14ac:dyDescent="0.2">
      <c r="A94" s="1010"/>
      <c r="B94" s="1010"/>
      <c r="C94" s="1010"/>
    </row>
    <row r="95" spans="1:3" x14ac:dyDescent="0.2">
      <c r="A95" s="1010"/>
      <c r="B95" s="1010"/>
      <c r="C95" s="1010"/>
    </row>
    <row r="96" spans="1:3" x14ac:dyDescent="0.2">
      <c r="A96" s="1010"/>
      <c r="B96" s="1010"/>
      <c r="C96" s="1010"/>
    </row>
    <row r="97" spans="1:3" x14ac:dyDescent="0.2">
      <c r="A97" s="1010"/>
      <c r="B97" s="1010"/>
      <c r="C97" s="1010"/>
    </row>
    <row r="98" spans="1:3" x14ac:dyDescent="0.2">
      <c r="A98" s="1010"/>
      <c r="B98" s="1010"/>
      <c r="C98" s="1010"/>
    </row>
    <row r="99" spans="1:3" x14ac:dyDescent="0.2">
      <c r="A99" s="1010"/>
      <c r="B99" s="1010"/>
      <c r="C99" s="1010"/>
    </row>
    <row r="100" spans="1:3" x14ac:dyDescent="0.2">
      <c r="A100" s="1010"/>
      <c r="B100" s="1010"/>
      <c r="C100" s="1010"/>
    </row>
    <row r="101" spans="1:3" x14ac:dyDescent="0.2">
      <c r="A101" s="1010"/>
      <c r="B101" s="1010"/>
      <c r="C101" s="1010"/>
    </row>
    <row r="102" spans="1:3" x14ac:dyDescent="0.2">
      <c r="A102" s="1010"/>
      <c r="B102" s="1010"/>
      <c r="C102" s="1010"/>
    </row>
    <row r="103" spans="1:3" x14ac:dyDescent="0.2">
      <c r="A103" s="1010"/>
      <c r="B103" s="1010"/>
      <c r="C103" s="1010"/>
    </row>
    <row r="104" spans="1:3" x14ac:dyDescent="0.2">
      <c r="A104" s="1010"/>
      <c r="B104" s="1010"/>
      <c r="C104" s="1010"/>
    </row>
    <row r="105" spans="1:3" x14ac:dyDescent="0.2">
      <c r="A105" s="1010"/>
      <c r="B105" s="1010"/>
      <c r="C105" s="1010"/>
    </row>
    <row r="106" spans="1:3" x14ac:dyDescent="0.2">
      <c r="A106" s="1010"/>
      <c r="B106" s="1010"/>
      <c r="C106" s="1010"/>
    </row>
    <row r="107" spans="1:3" x14ac:dyDescent="0.2">
      <c r="A107" s="1010"/>
      <c r="B107" s="1010"/>
      <c r="C107" s="1010"/>
    </row>
    <row r="108" spans="1:3" x14ac:dyDescent="0.2">
      <c r="A108" s="1010"/>
      <c r="B108" s="1010"/>
      <c r="C108" s="1010"/>
    </row>
    <row r="109" spans="1:3" x14ac:dyDescent="0.2">
      <c r="A109" s="1010"/>
      <c r="B109" s="1010"/>
      <c r="C109" s="1010"/>
    </row>
    <row r="110" spans="1:3" x14ac:dyDescent="0.2">
      <c r="A110" s="1010"/>
      <c r="B110" s="1010"/>
      <c r="C110" s="1010"/>
    </row>
    <row r="111" spans="1:3" x14ac:dyDescent="0.2">
      <c r="A111" s="1010"/>
      <c r="B111" s="1010"/>
      <c r="C111" s="1010"/>
    </row>
    <row r="112" spans="1:3" x14ac:dyDescent="0.2">
      <c r="A112" s="1010"/>
      <c r="B112" s="1010"/>
      <c r="C112" s="1010"/>
    </row>
    <row r="113" spans="1:3" x14ac:dyDescent="0.2">
      <c r="A113" s="1010"/>
      <c r="B113" s="1010"/>
      <c r="C113" s="1010"/>
    </row>
    <row r="114" spans="1:3" x14ac:dyDescent="0.2">
      <c r="A114" s="1010"/>
      <c r="B114" s="1010"/>
      <c r="C114" s="1010"/>
    </row>
    <row r="115" spans="1:3" x14ac:dyDescent="0.2">
      <c r="A115" s="1010"/>
      <c r="B115" s="1010"/>
      <c r="C115" s="1010"/>
    </row>
    <row r="116" spans="1:3" x14ac:dyDescent="0.2">
      <c r="A116" s="1010"/>
      <c r="B116" s="1010"/>
      <c r="C116" s="1010"/>
    </row>
    <row r="117" spans="1:3" x14ac:dyDescent="0.2">
      <c r="A117" s="1010"/>
      <c r="B117" s="1010"/>
      <c r="C117" s="1010"/>
    </row>
    <row r="118" spans="1:3" x14ac:dyDescent="0.2">
      <c r="A118" s="1010"/>
      <c r="B118" s="1010"/>
      <c r="C118" s="1010"/>
    </row>
    <row r="119" spans="1:3" x14ac:dyDescent="0.2">
      <c r="A119" s="1010"/>
      <c r="B119" s="1010"/>
      <c r="C119" s="1010"/>
    </row>
    <row r="120" spans="1:3" x14ac:dyDescent="0.2">
      <c r="A120" s="1010"/>
      <c r="B120" s="1010"/>
      <c r="C120" s="1010"/>
    </row>
    <row r="121" spans="1:3" x14ac:dyDescent="0.2">
      <c r="A121" s="1010"/>
      <c r="B121" s="1010"/>
      <c r="C121" s="1010"/>
    </row>
    <row r="122" spans="1:3" x14ac:dyDescent="0.2">
      <c r="A122" s="1010"/>
      <c r="B122" s="1010"/>
      <c r="C122" s="1010"/>
    </row>
    <row r="123" spans="1:3" x14ac:dyDescent="0.2">
      <c r="A123" s="1010"/>
      <c r="B123" s="1010"/>
      <c r="C123" s="1010"/>
    </row>
    <row r="124" spans="1:3" x14ac:dyDescent="0.2">
      <c r="A124" s="1010"/>
      <c r="B124" s="1010"/>
      <c r="C124" s="1010"/>
    </row>
    <row r="125" spans="1:3" x14ac:dyDescent="0.2">
      <c r="A125" s="1010"/>
      <c r="B125" s="1010"/>
      <c r="C125" s="1010"/>
    </row>
    <row r="126" spans="1:3" x14ac:dyDescent="0.2">
      <c r="A126" s="1010"/>
      <c r="B126" s="1010"/>
      <c r="C126" s="1010"/>
    </row>
    <row r="127" spans="1:3" x14ac:dyDescent="0.2">
      <c r="A127" s="1010"/>
      <c r="B127" s="1010"/>
      <c r="C127" s="1010"/>
    </row>
    <row r="128" spans="1:3" x14ac:dyDescent="0.2">
      <c r="A128" s="1010"/>
      <c r="B128" s="1010"/>
      <c r="C128" s="1010"/>
    </row>
    <row r="129" spans="1:3" x14ac:dyDescent="0.2">
      <c r="A129" s="1010"/>
      <c r="B129" s="1010"/>
      <c r="C129" s="1010"/>
    </row>
    <row r="130" spans="1:3" x14ac:dyDescent="0.2">
      <c r="A130" s="1010"/>
      <c r="B130" s="1010"/>
      <c r="C130" s="1010"/>
    </row>
    <row r="131" spans="1:3" x14ac:dyDescent="0.2">
      <c r="A131" s="1010"/>
      <c r="B131" s="1010"/>
      <c r="C131" s="1010"/>
    </row>
    <row r="132" spans="1:3" x14ac:dyDescent="0.2">
      <c r="A132" s="1010"/>
      <c r="B132" s="1010"/>
      <c r="C132" s="1010"/>
    </row>
    <row r="133" spans="1:3" x14ac:dyDescent="0.2">
      <c r="A133" s="1010"/>
      <c r="B133" s="1010"/>
      <c r="C133" s="1010"/>
    </row>
    <row r="134" spans="1:3" x14ac:dyDescent="0.2">
      <c r="A134" s="1010"/>
      <c r="B134" s="1010"/>
      <c r="C134" s="1010"/>
    </row>
    <row r="135" spans="1:3" x14ac:dyDescent="0.2">
      <c r="A135" s="1010"/>
      <c r="B135" s="1010"/>
      <c r="C135" s="1010"/>
    </row>
    <row r="136" spans="1:3" x14ac:dyDescent="0.2">
      <c r="A136" s="1010"/>
      <c r="B136" s="1010"/>
      <c r="C136" s="1010"/>
    </row>
    <row r="137" spans="1:3" x14ac:dyDescent="0.2">
      <c r="A137" s="1010"/>
      <c r="B137" s="1010"/>
      <c r="C137" s="1010"/>
    </row>
    <row r="138" spans="1:3" x14ac:dyDescent="0.2">
      <c r="A138" s="1010"/>
      <c r="B138" s="1010"/>
      <c r="C138" s="1010"/>
    </row>
    <row r="139" spans="1:3" x14ac:dyDescent="0.2">
      <c r="A139" s="1010"/>
      <c r="B139" s="1010"/>
      <c r="C139" s="1010"/>
    </row>
    <row r="140" spans="1:3" x14ac:dyDescent="0.2">
      <c r="A140" s="1010"/>
      <c r="B140" s="1010"/>
      <c r="C140" s="1010"/>
    </row>
    <row r="141" spans="1:3" x14ac:dyDescent="0.2">
      <c r="A141" s="1010"/>
      <c r="B141" s="1010"/>
      <c r="C141" s="1010"/>
    </row>
    <row r="142" spans="1:3" x14ac:dyDescent="0.2">
      <c r="A142" s="1010"/>
      <c r="B142" s="1010"/>
      <c r="C142" s="1010"/>
    </row>
    <row r="143" spans="1:3" x14ac:dyDescent="0.2">
      <c r="A143" s="1010"/>
      <c r="B143" s="1010"/>
      <c r="C143" s="1010"/>
    </row>
    <row r="144" spans="1:3" x14ac:dyDescent="0.2">
      <c r="A144" s="1010"/>
      <c r="B144" s="1010"/>
      <c r="C144" s="1010"/>
    </row>
    <row r="145" spans="1:3" x14ac:dyDescent="0.2">
      <c r="A145" s="1010"/>
      <c r="B145" s="1010"/>
      <c r="C145" s="1010"/>
    </row>
    <row r="146" spans="1:3" x14ac:dyDescent="0.2">
      <c r="A146" s="1010"/>
      <c r="B146" s="1010"/>
      <c r="C146" s="1010"/>
    </row>
    <row r="147" spans="1:3" x14ac:dyDescent="0.2">
      <c r="A147" s="1010"/>
      <c r="B147" s="1010"/>
      <c r="C147" s="1010"/>
    </row>
    <row r="148" spans="1:3" x14ac:dyDescent="0.2">
      <c r="A148" s="1010"/>
      <c r="B148" s="1010"/>
      <c r="C148" s="1010"/>
    </row>
    <row r="149" spans="1:3" x14ac:dyDescent="0.2">
      <c r="A149" s="1010"/>
      <c r="B149" s="1010"/>
      <c r="C149" s="1010"/>
    </row>
    <row r="150" spans="1:3" x14ac:dyDescent="0.2">
      <c r="A150" s="1010"/>
      <c r="B150" s="1010"/>
      <c r="C150" s="1010"/>
    </row>
    <row r="151" spans="1:3" x14ac:dyDescent="0.2">
      <c r="A151" s="1010"/>
      <c r="B151" s="1010"/>
      <c r="C151" s="1010"/>
    </row>
    <row r="152" spans="1:3" x14ac:dyDescent="0.2">
      <c r="A152" s="1010"/>
      <c r="B152" s="1010"/>
      <c r="C152" s="1010"/>
    </row>
    <row r="153" spans="1:3" x14ac:dyDescent="0.2">
      <c r="A153" s="1010"/>
      <c r="B153" s="1010"/>
      <c r="C153" s="1010"/>
    </row>
    <row r="154" spans="1:3" x14ac:dyDescent="0.2">
      <c r="A154" s="1010"/>
      <c r="B154" s="1010"/>
      <c r="C154" s="1010"/>
    </row>
    <row r="155" spans="1:3" x14ac:dyDescent="0.2">
      <c r="A155" s="1010"/>
      <c r="B155" s="1010"/>
      <c r="C155" s="1010"/>
    </row>
    <row r="156" spans="1:3" x14ac:dyDescent="0.2">
      <c r="A156" s="1010"/>
      <c r="B156" s="1010"/>
      <c r="C156" s="1010"/>
    </row>
    <row r="157" spans="1:3" x14ac:dyDescent="0.2">
      <c r="A157" s="1010"/>
      <c r="B157" s="1010"/>
      <c r="C157" s="1010"/>
    </row>
    <row r="158" spans="1:3" x14ac:dyDescent="0.2">
      <c r="A158" s="1010"/>
      <c r="B158" s="1010"/>
      <c r="C158" s="1010"/>
    </row>
    <row r="159" spans="1:3" x14ac:dyDescent="0.2">
      <c r="A159" s="1010"/>
      <c r="B159" s="1010"/>
      <c r="C159" s="1010"/>
    </row>
    <row r="160" spans="1:3" x14ac:dyDescent="0.2">
      <c r="A160" s="1010"/>
      <c r="B160" s="1010"/>
      <c r="C160" s="1010"/>
    </row>
    <row r="161" spans="1:3" x14ac:dyDescent="0.2">
      <c r="A161" s="1010"/>
      <c r="B161" s="1010"/>
      <c r="C161" s="1010"/>
    </row>
    <row r="162" spans="1:3" x14ac:dyDescent="0.2">
      <c r="A162" s="1010"/>
      <c r="B162" s="1010"/>
      <c r="C162" s="1010"/>
    </row>
    <row r="163" spans="1:3" x14ac:dyDescent="0.2">
      <c r="A163" s="1010"/>
      <c r="B163" s="1010"/>
      <c r="C163" s="1010"/>
    </row>
    <row r="164" spans="1:3" x14ac:dyDescent="0.2">
      <c r="A164" s="1010"/>
      <c r="B164" s="1010"/>
      <c r="C164" s="1010"/>
    </row>
    <row r="165" spans="1:3" x14ac:dyDescent="0.2">
      <c r="A165" s="1010"/>
      <c r="B165" s="1010"/>
      <c r="C165" s="1010"/>
    </row>
    <row r="166" spans="1:3" x14ac:dyDescent="0.2">
      <c r="A166" s="1010"/>
      <c r="B166" s="1010"/>
      <c r="C166" s="1010"/>
    </row>
    <row r="167" spans="1:3" x14ac:dyDescent="0.2">
      <c r="A167" s="1010"/>
      <c r="B167" s="1010"/>
      <c r="C167" s="1010"/>
    </row>
    <row r="168" spans="1:3" x14ac:dyDescent="0.2">
      <c r="A168" s="1010"/>
      <c r="B168" s="1010"/>
      <c r="C168" s="1010"/>
    </row>
    <row r="169" spans="1:3" x14ac:dyDescent="0.2">
      <c r="A169" s="1010"/>
      <c r="B169" s="1010"/>
      <c r="C169" s="1010"/>
    </row>
    <row r="170" spans="1:3" x14ac:dyDescent="0.2">
      <c r="A170" s="1010"/>
      <c r="B170" s="1010"/>
      <c r="C170" s="1010"/>
    </row>
    <row r="171" spans="1:3" x14ac:dyDescent="0.2">
      <c r="A171" s="1010"/>
      <c r="B171" s="1010"/>
      <c r="C171" s="1010"/>
    </row>
    <row r="172" spans="1:3" x14ac:dyDescent="0.2">
      <c r="A172" s="1010"/>
      <c r="B172" s="1010"/>
      <c r="C172" s="1010"/>
    </row>
    <row r="173" spans="1:3" x14ac:dyDescent="0.2">
      <c r="A173" s="1010"/>
      <c r="B173" s="1010"/>
      <c r="C173" s="1010"/>
    </row>
    <row r="174" spans="1:3" x14ac:dyDescent="0.2">
      <c r="A174" s="1010"/>
      <c r="B174" s="1010"/>
      <c r="C174" s="1010"/>
    </row>
    <row r="175" spans="1:3" x14ac:dyDescent="0.2">
      <c r="A175" s="1010"/>
      <c r="B175" s="1010"/>
      <c r="C175" s="1010"/>
    </row>
    <row r="176" spans="1:3" x14ac:dyDescent="0.2">
      <c r="A176" s="1010"/>
      <c r="B176" s="1010"/>
      <c r="C176" s="1010"/>
    </row>
    <row r="177" spans="1:3" x14ac:dyDescent="0.2">
      <c r="A177" s="1010"/>
      <c r="B177" s="1010"/>
      <c r="C177" s="1010"/>
    </row>
    <row r="178" spans="1:3" x14ac:dyDescent="0.2">
      <c r="A178" s="1010"/>
      <c r="B178" s="1010"/>
      <c r="C178" s="1010"/>
    </row>
    <row r="179" spans="1:3" x14ac:dyDescent="0.2">
      <c r="A179" s="1010"/>
      <c r="B179" s="1010"/>
      <c r="C179" s="1010"/>
    </row>
    <row r="180" spans="1:3" x14ac:dyDescent="0.2">
      <c r="A180" s="1010"/>
      <c r="B180" s="1010"/>
      <c r="C180" s="1010"/>
    </row>
    <row r="181" spans="1:3" x14ac:dyDescent="0.2">
      <c r="A181" s="1010"/>
      <c r="B181" s="1010"/>
      <c r="C181" s="1010"/>
    </row>
    <row r="182" spans="1:3" x14ac:dyDescent="0.2">
      <c r="A182" s="1010"/>
      <c r="B182" s="1010"/>
      <c r="C182" s="1010"/>
    </row>
    <row r="183" spans="1:3" x14ac:dyDescent="0.2">
      <c r="A183" s="1010"/>
      <c r="B183" s="1010"/>
      <c r="C183" s="1010"/>
    </row>
    <row r="184" spans="1:3" x14ac:dyDescent="0.2">
      <c r="A184" s="1010"/>
      <c r="B184" s="1010"/>
      <c r="C184" s="1010"/>
    </row>
    <row r="185" spans="1:3" x14ac:dyDescent="0.2">
      <c r="A185" s="1010"/>
      <c r="B185" s="1010"/>
      <c r="C185" s="1010"/>
    </row>
    <row r="186" spans="1:3" x14ac:dyDescent="0.2">
      <c r="A186" s="1013"/>
      <c r="B186" s="1013"/>
      <c r="C186" s="1013"/>
    </row>
    <row r="187" spans="1:3" x14ac:dyDescent="0.2">
      <c r="A187" s="1013"/>
      <c r="B187" s="1013"/>
      <c r="C187" s="1013"/>
    </row>
    <row r="188" spans="1:3" x14ac:dyDescent="0.2">
      <c r="A188" s="1013"/>
      <c r="B188" s="1013"/>
      <c r="C188" s="1013"/>
    </row>
    <row r="189" spans="1:3" x14ac:dyDescent="0.2">
      <c r="A189" s="1013"/>
      <c r="B189" s="1013"/>
      <c r="C189" s="1013"/>
    </row>
    <row r="190" spans="1:3" x14ac:dyDescent="0.2">
      <c r="A190" s="1013"/>
      <c r="B190" s="1013"/>
      <c r="C190" s="1013"/>
    </row>
    <row r="191" spans="1:3" x14ac:dyDescent="0.2">
      <c r="A191" s="1013"/>
      <c r="B191" s="1013"/>
      <c r="C191" s="1013"/>
    </row>
    <row r="192" spans="1:3" x14ac:dyDescent="0.2">
      <c r="A192" s="1013"/>
      <c r="B192" s="1013"/>
      <c r="C192" s="1013"/>
    </row>
    <row r="193" spans="1:3" x14ac:dyDescent="0.2">
      <c r="A193" s="1013"/>
      <c r="B193" s="1013"/>
      <c r="C193" s="1013"/>
    </row>
    <row r="194" spans="1:3" x14ac:dyDescent="0.2">
      <c r="A194" s="1013"/>
      <c r="B194" s="1013"/>
      <c r="C194" s="1013"/>
    </row>
    <row r="195" spans="1:3" x14ac:dyDescent="0.2">
      <c r="A195" s="1013"/>
      <c r="B195" s="1013"/>
      <c r="C195" s="1013"/>
    </row>
    <row r="196" spans="1:3" x14ac:dyDescent="0.2">
      <c r="A196" s="1013"/>
      <c r="B196" s="1013"/>
      <c r="C196" s="1013"/>
    </row>
    <row r="197" spans="1:3" x14ac:dyDescent="0.2">
      <c r="A197" s="1013"/>
      <c r="B197" s="1013"/>
      <c r="C197" s="1013"/>
    </row>
    <row r="198" spans="1:3" x14ac:dyDescent="0.2">
      <c r="A198" s="1013"/>
      <c r="B198" s="1013"/>
      <c r="C198" s="1013"/>
    </row>
    <row r="199" spans="1:3" x14ac:dyDescent="0.2">
      <c r="A199" s="1013"/>
      <c r="B199" s="1013"/>
      <c r="C199" s="1013"/>
    </row>
    <row r="200" spans="1:3" x14ac:dyDescent="0.2">
      <c r="A200" s="1013"/>
      <c r="B200" s="1013"/>
      <c r="C200" s="1013"/>
    </row>
    <row r="201" spans="1:3" x14ac:dyDescent="0.2">
      <c r="A201" s="1013"/>
      <c r="B201" s="1013"/>
      <c r="C201" s="1013"/>
    </row>
    <row r="202" spans="1:3" x14ac:dyDescent="0.2">
      <c r="A202" s="1013"/>
      <c r="B202" s="1013"/>
      <c r="C202" s="1013"/>
    </row>
    <row r="203" spans="1:3" x14ac:dyDescent="0.2">
      <c r="A203" s="1013"/>
      <c r="B203" s="1013"/>
      <c r="C203" s="1013"/>
    </row>
    <row r="204" spans="1:3" x14ac:dyDescent="0.2">
      <c r="A204" s="1013"/>
      <c r="B204" s="1013"/>
      <c r="C204" s="1013"/>
    </row>
    <row r="205" spans="1:3" x14ac:dyDescent="0.2">
      <c r="A205" s="1013"/>
      <c r="B205" s="1013"/>
      <c r="C205" s="1013"/>
    </row>
    <row r="206" spans="1:3" x14ac:dyDescent="0.2">
      <c r="A206" s="1013"/>
      <c r="B206" s="1013"/>
      <c r="C206" s="1013"/>
    </row>
    <row r="207" spans="1:3" x14ac:dyDescent="0.2">
      <c r="A207" s="1013"/>
      <c r="B207" s="1013"/>
      <c r="C207" s="1013"/>
    </row>
    <row r="208" spans="1:3" x14ac:dyDescent="0.2">
      <c r="A208" s="1013"/>
      <c r="B208" s="1013"/>
      <c r="C208" s="1013"/>
    </row>
    <row r="209" spans="1:3" x14ac:dyDescent="0.2">
      <c r="A209" s="1013"/>
      <c r="B209" s="1013"/>
      <c r="C209" s="1013"/>
    </row>
    <row r="210" spans="1:3" x14ac:dyDescent="0.2">
      <c r="A210" s="1013"/>
      <c r="B210" s="1013"/>
      <c r="C210" s="1013"/>
    </row>
    <row r="211" spans="1:3" x14ac:dyDescent="0.2">
      <c r="A211" s="1013"/>
      <c r="B211" s="1013"/>
      <c r="C211" s="1013"/>
    </row>
    <row r="212" spans="1:3" x14ac:dyDescent="0.2">
      <c r="A212" s="1013"/>
      <c r="B212" s="1013"/>
      <c r="C212" s="1013"/>
    </row>
    <row r="213" spans="1:3" x14ac:dyDescent="0.2">
      <c r="A213" s="1013"/>
      <c r="B213" s="1013"/>
      <c r="C213" s="1013"/>
    </row>
    <row r="214" spans="1:3" x14ac:dyDescent="0.2">
      <c r="A214" s="1013"/>
      <c r="B214" s="1013"/>
      <c r="C214" s="1013"/>
    </row>
    <row r="215" spans="1:3" x14ac:dyDescent="0.2">
      <c r="A215" s="1013"/>
      <c r="B215" s="1013"/>
      <c r="C215" s="1013"/>
    </row>
    <row r="216" spans="1:3" x14ac:dyDescent="0.2">
      <c r="A216" s="1013"/>
      <c r="B216" s="1013"/>
      <c r="C216" s="1013"/>
    </row>
    <row r="217" spans="1:3" x14ac:dyDescent="0.2">
      <c r="A217" s="1013"/>
      <c r="B217" s="1013"/>
      <c r="C217" s="1013"/>
    </row>
    <row r="218" spans="1:3" x14ac:dyDescent="0.2">
      <c r="A218" s="1013"/>
      <c r="B218" s="1013"/>
      <c r="C218" s="1013"/>
    </row>
    <row r="219" spans="1:3" x14ac:dyDescent="0.2">
      <c r="A219" s="1013"/>
      <c r="B219" s="1013"/>
      <c r="C219" s="1013"/>
    </row>
    <row r="220" spans="1:3" x14ac:dyDescent="0.2">
      <c r="A220" s="1013"/>
      <c r="B220" s="1013"/>
      <c r="C220" s="1013"/>
    </row>
  </sheetData>
  <mergeCells count="8">
    <mergeCell ref="B15:B16"/>
    <mergeCell ref="B40:F40"/>
    <mergeCell ref="E1:F1"/>
    <mergeCell ref="I1:K1"/>
    <mergeCell ref="L1:M1"/>
    <mergeCell ref="A2:M2"/>
    <mergeCell ref="K3:L3"/>
    <mergeCell ref="B5:B6"/>
  </mergeCells>
  <pageMargins left="0.78740157480314965" right="0.23622047244094491" top="0.47244094488188981" bottom="0.19685039370078741" header="0.23622047244094491" footer="0.2362204724409449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9"/>
  <sheetViews>
    <sheetView showZeros="0" zoomScaleNormal="100" workbookViewId="0">
      <pane xSplit="2" ySplit="5" topLeftCell="C6" activePane="bottomRight" state="frozen"/>
      <selection activeCell="L26" sqref="L26"/>
      <selection pane="topRight" activeCell="L26" sqref="L26"/>
      <selection pane="bottomLeft" activeCell="L26" sqref="L26"/>
      <selection pane="bottomRight" activeCell="M4" sqref="M4"/>
    </sheetView>
  </sheetViews>
  <sheetFormatPr defaultColWidth="9.140625" defaultRowHeight="12.75" x14ac:dyDescent="0.2"/>
  <cols>
    <col min="1" max="1" width="4.85546875" style="612" customWidth="1"/>
    <col min="2" max="2" width="50.85546875" style="612" customWidth="1"/>
    <col min="3" max="3" width="15.140625" style="612" customWidth="1"/>
    <col min="4" max="4" width="10" style="612" customWidth="1"/>
    <col min="5" max="5" width="11.28515625" style="612" customWidth="1"/>
    <col min="6" max="6" width="9.42578125" style="612" hidden="1" customWidth="1"/>
    <col min="7" max="7" width="9.85546875" style="612" hidden="1" customWidth="1"/>
    <col min="8" max="8" width="8.7109375" style="612" hidden="1" customWidth="1"/>
    <col min="9" max="9" width="11.28515625" style="612" customWidth="1"/>
    <col min="10" max="16384" width="9.140625" style="612"/>
  </cols>
  <sheetData>
    <row r="1" spans="1:8" ht="16.5" customHeight="1" x14ac:dyDescent="0.2">
      <c r="E1" s="763" t="s">
        <v>1156</v>
      </c>
      <c r="G1" s="1014"/>
      <c r="H1" s="1014"/>
    </row>
    <row r="2" spans="1:8" ht="30" customHeight="1" x14ac:dyDescent="0.2">
      <c r="A2" s="1500" t="s">
        <v>1157</v>
      </c>
      <c r="B2" s="1500"/>
      <c r="C2" s="1500"/>
      <c r="D2" s="1500"/>
      <c r="E2" s="1500"/>
      <c r="F2" s="1500"/>
      <c r="G2" s="1500"/>
    </row>
    <row r="3" spans="1:8" ht="43.5" customHeight="1" thickBot="1" x14ac:dyDescent="0.3">
      <c r="A3" s="614"/>
      <c r="B3" s="614"/>
      <c r="E3" s="763" t="s">
        <v>0</v>
      </c>
      <c r="G3" s="763"/>
      <c r="H3" s="1015" t="s">
        <v>1158</v>
      </c>
    </row>
    <row r="4" spans="1:8" ht="88.5" customHeight="1" thickBot="1" x14ac:dyDescent="0.25">
      <c r="A4" s="1016" t="s">
        <v>1015</v>
      </c>
      <c r="B4" s="1017" t="s">
        <v>1083</v>
      </c>
      <c r="C4" s="1018" t="s">
        <v>1159</v>
      </c>
      <c r="D4" s="1019" t="s">
        <v>1160</v>
      </c>
      <c r="E4" s="1020" t="s">
        <v>1161</v>
      </c>
      <c r="F4" s="1021" t="s">
        <v>1162</v>
      </c>
      <c r="G4" s="1022" t="s">
        <v>1163</v>
      </c>
      <c r="H4" s="1023" t="s">
        <v>1164</v>
      </c>
    </row>
    <row r="5" spans="1:8" ht="12.75" customHeight="1" thickBot="1" x14ac:dyDescent="0.25">
      <c r="A5" s="1024" t="s">
        <v>1165</v>
      </c>
      <c r="B5" s="1025" t="s">
        <v>1166</v>
      </c>
      <c r="C5" s="1026">
        <v>3</v>
      </c>
      <c r="D5" s="1027">
        <v>4</v>
      </c>
      <c r="E5" s="1028">
        <v>5</v>
      </c>
      <c r="F5" s="1029">
        <v>6</v>
      </c>
      <c r="G5" s="1030">
        <v>7</v>
      </c>
      <c r="H5" s="1031">
        <v>6</v>
      </c>
    </row>
    <row r="6" spans="1:8" ht="18.75" customHeight="1" thickBot="1" x14ac:dyDescent="0.25">
      <c r="A6" s="1032" t="s">
        <v>1023</v>
      </c>
      <c r="B6" s="1033" t="s">
        <v>1167</v>
      </c>
      <c r="C6" s="1034">
        <f>C15+C21+C25</f>
        <v>332218</v>
      </c>
      <c r="D6" s="1035">
        <f>D15+D21+D25</f>
        <v>1200</v>
      </c>
      <c r="E6" s="1036">
        <f>C6+D6</f>
        <v>333418</v>
      </c>
      <c r="F6" s="1037">
        <v>0</v>
      </c>
      <c r="G6" s="1038">
        <v>212048807</v>
      </c>
      <c r="H6" s="1038">
        <v>5339728</v>
      </c>
    </row>
    <row r="7" spans="1:8" ht="12.75" hidden="1" customHeight="1" x14ac:dyDescent="0.2">
      <c r="A7" s="1039"/>
      <c r="B7" s="1501" t="s">
        <v>1168</v>
      </c>
      <c r="C7" s="1040">
        <v>748118</v>
      </c>
      <c r="D7" s="779"/>
      <c r="E7" s="1041">
        <f>C7+D7</f>
        <v>748118</v>
      </c>
      <c r="F7" s="1042"/>
      <c r="G7" s="1043">
        <v>503809140</v>
      </c>
      <c r="H7" s="1044">
        <v>0</v>
      </c>
    </row>
    <row r="8" spans="1:8" ht="11.25" hidden="1" customHeight="1" x14ac:dyDescent="0.2">
      <c r="A8" s="1045"/>
      <c r="B8" s="1502"/>
      <c r="C8" s="1046" t="s">
        <v>1092</v>
      </c>
      <c r="D8" s="791"/>
      <c r="E8" s="1047" t="s">
        <v>1092</v>
      </c>
      <c r="F8" s="1048"/>
      <c r="G8" s="1049" t="s">
        <v>1092</v>
      </c>
      <c r="H8" s="1050">
        <v>0</v>
      </c>
    </row>
    <row r="9" spans="1:8" ht="12.75" hidden="1" customHeight="1" x14ac:dyDescent="0.2">
      <c r="A9" s="1051"/>
      <c r="B9" s="1052" t="s">
        <v>1169</v>
      </c>
      <c r="C9" s="1053">
        <v>619591</v>
      </c>
      <c r="D9" s="804"/>
      <c r="E9" s="1054">
        <f>C9+D9</f>
        <v>619591</v>
      </c>
      <c r="F9" s="1055"/>
      <c r="G9" s="1056">
        <v>366773054</v>
      </c>
      <c r="H9" s="1057">
        <v>0</v>
      </c>
    </row>
    <row r="10" spans="1:8" ht="12.75" hidden="1" customHeight="1" x14ac:dyDescent="0.2">
      <c r="A10" s="1058"/>
      <c r="B10" s="1059" t="s">
        <v>1170</v>
      </c>
      <c r="C10" s="1060">
        <v>82.82</v>
      </c>
      <c r="D10" s="1061"/>
      <c r="E10" s="1062">
        <f>C10+D10</f>
        <v>82.82</v>
      </c>
      <c r="F10" s="1063"/>
      <c r="G10" s="1064">
        <v>72.8</v>
      </c>
      <c r="H10" s="1065">
        <v>0</v>
      </c>
    </row>
    <row r="11" spans="1:8" ht="12.75" hidden="1" customHeight="1" x14ac:dyDescent="0.2">
      <c r="A11" s="802"/>
      <c r="B11" s="803" t="s">
        <v>1095</v>
      </c>
      <c r="C11" s="1066">
        <v>486069</v>
      </c>
      <c r="D11" s="1067"/>
      <c r="E11" s="1054">
        <f t="shared" ref="E11:E57" si="0">C11+D11</f>
        <v>486069</v>
      </c>
      <c r="F11" s="1068"/>
      <c r="G11" s="1069"/>
      <c r="H11" s="1070"/>
    </row>
    <row r="12" spans="1:8" ht="12.75" hidden="1" customHeight="1" x14ac:dyDescent="0.2">
      <c r="A12" s="828"/>
      <c r="B12" s="829" t="s">
        <v>1096</v>
      </c>
      <c r="C12" s="1071">
        <v>78.45</v>
      </c>
      <c r="D12" s="1072"/>
      <c r="E12" s="1062">
        <f t="shared" si="0"/>
        <v>78.45</v>
      </c>
      <c r="F12" s="1068"/>
      <c r="G12" s="1069"/>
      <c r="H12" s="1070"/>
    </row>
    <row r="13" spans="1:8" ht="12.75" hidden="1" customHeight="1" x14ac:dyDescent="0.2">
      <c r="A13" s="802"/>
      <c r="B13" s="803" t="s">
        <v>1097</v>
      </c>
      <c r="C13" s="1073">
        <v>27076</v>
      </c>
      <c r="D13" s="1074"/>
      <c r="E13" s="1075">
        <f t="shared" si="0"/>
        <v>27076</v>
      </c>
      <c r="F13" s="1068"/>
      <c r="G13" s="1069"/>
      <c r="H13" s="1070"/>
    </row>
    <row r="14" spans="1:8" hidden="1" x14ac:dyDescent="0.2">
      <c r="A14" s="790"/>
      <c r="B14" s="814" t="s">
        <v>1098</v>
      </c>
      <c r="C14" s="1076">
        <v>4.37</v>
      </c>
      <c r="D14" s="1072"/>
      <c r="E14" s="1077">
        <f t="shared" si="0"/>
        <v>4.37</v>
      </c>
      <c r="F14" s="1078"/>
      <c r="G14" s="1049">
        <v>0</v>
      </c>
      <c r="H14" s="1049">
        <v>0</v>
      </c>
    </row>
    <row r="15" spans="1:8" ht="29.25" customHeight="1" x14ac:dyDescent="0.2">
      <c r="A15" s="1079" t="s">
        <v>1025</v>
      </c>
      <c r="B15" s="1080" t="s">
        <v>1275</v>
      </c>
      <c r="C15" s="1081">
        <f>+C16+C20</f>
        <v>289218</v>
      </c>
      <c r="D15" s="843">
        <f>D17+D19</f>
        <v>0</v>
      </c>
      <c r="E15" s="1082">
        <f t="shared" si="0"/>
        <v>289218</v>
      </c>
      <c r="F15" s="1078"/>
      <c r="G15" s="1049">
        <v>0</v>
      </c>
      <c r="H15" s="1049">
        <v>0</v>
      </c>
    </row>
    <row r="16" spans="1:8" ht="18" hidden="1" customHeight="1" x14ac:dyDescent="0.2">
      <c r="A16" s="846" t="s">
        <v>1027</v>
      </c>
      <c r="B16" s="847" t="s">
        <v>1100</v>
      </c>
      <c r="C16" s="1083">
        <f>+C17+C19</f>
        <v>282189</v>
      </c>
      <c r="D16" s="1084"/>
      <c r="E16" s="1082">
        <f t="shared" si="0"/>
        <v>282189</v>
      </c>
      <c r="F16" s="1078"/>
      <c r="G16" s="1049"/>
      <c r="H16" s="1049"/>
    </row>
    <row r="17" spans="1:8" ht="17.25" hidden="1" customHeight="1" x14ac:dyDescent="0.2">
      <c r="A17" s="1085"/>
      <c r="B17" s="1503" t="s">
        <v>1171</v>
      </c>
      <c r="C17" s="1083">
        <v>261408</v>
      </c>
      <c r="D17" s="1086"/>
      <c r="E17" s="1087">
        <f t="shared" si="0"/>
        <v>261408</v>
      </c>
      <c r="F17" s="1088"/>
      <c r="G17" s="1089">
        <v>176051066</v>
      </c>
      <c r="H17" s="1089">
        <v>0</v>
      </c>
    </row>
    <row r="18" spans="1:8" ht="12" hidden="1" customHeight="1" x14ac:dyDescent="0.2">
      <c r="A18" s="1090"/>
      <c r="B18" s="1504"/>
      <c r="C18" s="1091">
        <v>53.78</v>
      </c>
      <c r="D18" s="1092"/>
      <c r="E18" s="1093">
        <f t="shared" si="0"/>
        <v>53.78</v>
      </c>
      <c r="F18" s="1094"/>
      <c r="G18" s="1095">
        <v>48</v>
      </c>
      <c r="H18" s="1096">
        <v>0</v>
      </c>
    </row>
    <row r="19" spans="1:8" ht="14.25" hidden="1" customHeight="1" x14ac:dyDescent="0.2">
      <c r="A19" s="1097"/>
      <c r="B19" s="1098" t="s">
        <v>1102</v>
      </c>
      <c r="C19" s="1099">
        <v>20781</v>
      </c>
      <c r="D19" s="1100"/>
      <c r="E19" s="1082">
        <f t="shared" si="0"/>
        <v>20781</v>
      </c>
      <c r="F19" s="1094"/>
      <c r="G19" s="1095">
        <v>0</v>
      </c>
      <c r="H19" s="1096">
        <v>0</v>
      </c>
    </row>
    <row r="20" spans="1:8" ht="27" hidden="1" customHeight="1" x14ac:dyDescent="0.2">
      <c r="A20" s="877" t="s">
        <v>1043</v>
      </c>
      <c r="B20" s="878" t="s">
        <v>1172</v>
      </c>
      <c r="C20" s="1101">
        <v>7029</v>
      </c>
      <c r="D20" s="1102"/>
      <c r="E20" s="1103">
        <f t="shared" si="0"/>
        <v>7029</v>
      </c>
      <c r="F20" s="1094"/>
      <c r="G20" s="1095"/>
      <c r="H20" s="1096"/>
    </row>
    <row r="21" spans="1:8" ht="15.75" customHeight="1" x14ac:dyDescent="0.2">
      <c r="A21" s="1104" t="s">
        <v>1035</v>
      </c>
      <c r="B21" s="1105" t="s">
        <v>1173</v>
      </c>
      <c r="C21" s="1106">
        <f>C22+C23+C24</f>
        <v>43000</v>
      </c>
      <c r="D21" s="881"/>
      <c r="E21" s="1107">
        <f t="shared" si="0"/>
        <v>43000</v>
      </c>
      <c r="F21" s="1094"/>
      <c r="G21" s="1095">
        <v>30152626</v>
      </c>
      <c r="H21" s="1096">
        <v>0</v>
      </c>
    </row>
    <row r="22" spans="1:8" ht="14.25" customHeight="1" x14ac:dyDescent="0.2">
      <c r="A22" s="1108" t="s">
        <v>1037</v>
      </c>
      <c r="B22" s="1109" t="s">
        <v>1105</v>
      </c>
      <c r="C22" s="1110">
        <v>3508</v>
      </c>
      <c r="D22" s="893"/>
      <c r="E22" s="1111">
        <f t="shared" si="0"/>
        <v>3508</v>
      </c>
      <c r="F22" s="1112"/>
      <c r="G22" s="1113">
        <v>1677475</v>
      </c>
      <c r="H22" s="1114">
        <v>0</v>
      </c>
    </row>
    <row r="23" spans="1:8" ht="14.25" customHeight="1" x14ac:dyDescent="0.2">
      <c r="A23" s="1108" t="s">
        <v>1030</v>
      </c>
      <c r="B23" s="1109" t="s">
        <v>1106</v>
      </c>
      <c r="C23" s="1110">
        <v>471</v>
      </c>
      <c r="D23" s="893"/>
      <c r="E23" s="1111">
        <f t="shared" si="0"/>
        <v>471</v>
      </c>
      <c r="F23" s="1112"/>
      <c r="G23" s="1113">
        <v>341748</v>
      </c>
      <c r="H23" s="1114">
        <v>0</v>
      </c>
    </row>
    <row r="24" spans="1:8" ht="14.25" customHeight="1" x14ac:dyDescent="0.2">
      <c r="A24" s="1108" t="s">
        <v>1032</v>
      </c>
      <c r="B24" s="1109" t="s">
        <v>1108</v>
      </c>
      <c r="C24" s="1110">
        <v>39021</v>
      </c>
      <c r="D24" s="893"/>
      <c r="E24" s="1111">
        <f t="shared" si="0"/>
        <v>39021</v>
      </c>
      <c r="F24" s="1112"/>
      <c r="G24" s="1113">
        <v>28133403</v>
      </c>
      <c r="H24" s="1114">
        <v>0</v>
      </c>
    </row>
    <row r="25" spans="1:8" ht="15.75" customHeight="1" x14ac:dyDescent="0.2">
      <c r="A25" s="1115" t="s">
        <v>1174</v>
      </c>
      <c r="B25" s="1116" t="s">
        <v>1175</v>
      </c>
      <c r="C25" s="1117">
        <f>C26+C27+C28</f>
        <v>0</v>
      </c>
      <c r="D25" s="694">
        <f>D26+D27+D28</f>
        <v>1200</v>
      </c>
      <c r="E25" s="1118">
        <f t="shared" si="0"/>
        <v>1200</v>
      </c>
      <c r="F25" s="1119">
        <v>0</v>
      </c>
      <c r="G25" s="1120">
        <v>5845115</v>
      </c>
      <c r="H25" s="1121">
        <v>5339728</v>
      </c>
    </row>
    <row r="26" spans="1:8" ht="14.25" customHeight="1" thickBot="1" x14ac:dyDescent="0.25">
      <c r="A26" s="1108" t="s">
        <v>1176</v>
      </c>
      <c r="B26" s="1122" t="s">
        <v>1177</v>
      </c>
      <c r="C26" s="1110"/>
      <c r="D26" s="893">
        <v>1200</v>
      </c>
      <c r="E26" s="1111">
        <f t="shared" si="0"/>
        <v>1200</v>
      </c>
      <c r="F26" s="1112"/>
      <c r="G26" s="1113">
        <v>1158480</v>
      </c>
      <c r="H26" s="1114">
        <v>1158480</v>
      </c>
    </row>
    <row r="27" spans="1:8" ht="13.5" hidden="1" thickBot="1" x14ac:dyDescent="0.25">
      <c r="A27" s="1108" t="s">
        <v>1178</v>
      </c>
      <c r="B27" s="1109" t="s">
        <v>1116</v>
      </c>
      <c r="C27" s="1110"/>
      <c r="D27" s="893"/>
      <c r="E27" s="1111">
        <f t="shared" si="0"/>
        <v>0</v>
      </c>
      <c r="F27" s="1112"/>
      <c r="G27" s="1113">
        <v>505387</v>
      </c>
      <c r="H27" s="1114">
        <v>0</v>
      </c>
    </row>
    <row r="28" spans="1:8" ht="13.5" hidden="1" thickBot="1" x14ac:dyDescent="0.25">
      <c r="A28" s="1123" t="s">
        <v>1179</v>
      </c>
      <c r="B28" s="1124" t="s">
        <v>1180</v>
      </c>
      <c r="C28" s="1125"/>
      <c r="D28" s="935"/>
      <c r="E28" s="1126">
        <f t="shared" si="0"/>
        <v>0</v>
      </c>
      <c r="F28" s="1127"/>
      <c r="G28" s="1128">
        <v>4181248</v>
      </c>
      <c r="H28" s="1129">
        <v>4181248</v>
      </c>
    </row>
    <row r="29" spans="1:8" ht="19.5" customHeight="1" thickBot="1" x14ac:dyDescent="0.25">
      <c r="A29" s="1130" t="s">
        <v>1056</v>
      </c>
      <c r="B29" s="1131" t="s">
        <v>1181</v>
      </c>
      <c r="C29" s="1132">
        <f>C30+C36+C44+C45</f>
        <v>9064</v>
      </c>
      <c r="D29" s="1133">
        <f>D30+D36+D45</f>
        <v>38038</v>
      </c>
      <c r="E29" s="1036">
        <f t="shared" si="0"/>
        <v>47102</v>
      </c>
      <c r="F29" s="1134">
        <v>392920</v>
      </c>
      <c r="G29" s="1135">
        <v>23355161</v>
      </c>
      <c r="H29" s="1135">
        <v>16700845</v>
      </c>
    </row>
    <row r="30" spans="1:8" ht="15.75" customHeight="1" x14ac:dyDescent="0.2">
      <c r="A30" s="1104" t="s">
        <v>1058</v>
      </c>
      <c r="B30" s="1136" t="s">
        <v>1182</v>
      </c>
      <c r="C30" s="1137">
        <f>C31+C32+C33+C34+C35</f>
        <v>5543</v>
      </c>
      <c r="D30" s="881">
        <f>D31+D32+D33+D34+D35</f>
        <v>360</v>
      </c>
      <c r="E30" s="1107">
        <f t="shared" si="0"/>
        <v>5903</v>
      </c>
      <c r="F30" s="1094">
        <v>0</v>
      </c>
      <c r="G30" s="1095">
        <v>4115210</v>
      </c>
      <c r="H30" s="1096">
        <v>101366</v>
      </c>
    </row>
    <row r="31" spans="1:8" ht="13.5" hidden="1" customHeight="1" x14ac:dyDescent="0.2">
      <c r="A31" s="1108" t="s">
        <v>1183</v>
      </c>
      <c r="B31" s="1122" t="s">
        <v>1118</v>
      </c>
      <c r="C31" s="1138"/>
      <c r="D31" s="893"/>
      <c r="E31" s="1111">
        <f t="shared" si="0"/>
        <v>0</v>
      </c>
      <c r="F31" s="1112"/>
      <c r="G31" s="1113">
        <v>20272</v>
      </c>
      <c r="H31" s="1114">
        <v>0</v>
      </c>
    </row>
    <row r="32" spans="1:8" ht="13.5" customHeight="1" x14ac:dyDescent="0.2">
      <c r="A32" s="1108" t="s">
        <v>1183</v>
      </c>
      <c r="B32" s="1122" t="s">
        <v>1184</v>
      </c>
      <c r="C32" s="1138">
        <v>943</v>
      </c>
      <c r="D32" s="893"/>
      <c r="E32" s="1111">
        <f t="shared" si="0"/>
        <v>943</v>
      </c>
      <c r="F32" s="1112"/>
      <c r="G32" s="1113">
        <v>83701</v>
      </c>
      <c r="H32" s="1114">
        <v>0</v>
      </c>
    </row>
    <row r="33" spans="1:8" hidden="1" x14ac:dyDescent="0.2">
      <c r="A33" s="1108"/>
      <c r="B33" s="1122"/>
      <c r="C33" s="1138"/>
      <c r="D33" s="893"/>
      <c r="E33" s="1111">
        <f t="shared" si="0"/>
        <v>0</v>
      </c>
      <c r="F33" s="1112"/>
      <c r="G33" s="1113">
        <v>0</v>
      </c>
      <c r="H33" s="1114">
        <v>0</v>
      </c>
    </row>
    <row r="34" spans="1:8" ht="14.25" customHeight="1" x14ac:dyDescent="0.2">
      <c r="A34" s="1108" t="s">
        <v>1185</v>
      </c>
      <c r="B34" s="1122" t="s">
        <v>1112</v>
      </c>
      <c r="C34" s="1138">
        <v>4600</v>
      </c>
      <c r="D34" s="893"/>
      <c r="E34" s="1111">
        <f t="shared" si="0"/>
        <v>4600</v>
      </c>
      <c r="F34" s="1112"/>
      <c r="G34" s="1113">
        <v>3909871</v>
      </c>
      <c r="H34" s="1114">
        <v>0</v>
      </c>
    </row>
    <row r="35" spans="1:8" ht="14.25" customHeight="1" x14ac:dyDescent="0.2">
      <c r="A35" s="1108" t="s">
        <v>1186</v>
      </c>
      <c r="B35" s="1122" t="s">
        <v>1187</v>
      </c>
      <c r="C35" s="1138"/>
      <c r="D35" s="893">
        <v>360</v>
      </c>
      <c r="E35" s="1111">
        <f t="shared" si="0"/>
        <v>360</v>
      </c>
      <c r="F35" s="1112"/>
      <c r="G35" s="1113">
        <v>101366</v>
      </c>
      <c r="H35" s="1114">
        <v>101366</v>
      </c>
    </row>
    <row r="36" spans="1:8" ht="15.75" customHeight="1" x14ac:dyDescent="0.2">
      <c r="A36" s="1139" t="s">
        <v>1060</v>
      </c>
      <c r="B36" s="1140" t="s">
        <v>1188</v>
      </c>
      <c r="C36" s="697">
        <f>+C37+C41+C42+C43</f>
        <v>490</v>
      </c>
      <c r="D36" s="694">
        <f>+D37+D41+D42+D43</f>
        <v>37478</v>
      </c>
      <c r="E36" s="1118">
        <f t="shared" si="0"/>
        <v>37968</v>
      </c>
      <c r="F36" s="1119">
        <v>392920</v>
      </c>
      <c r="G36" s="1120">
        <v>16599479</v>
      </c>
      <c r="H36" s="1121">
        <v>16599479</v>
      </c>
    </row>
    <row r="37" spans="1:8" ht="14.25" customHeight="1" x14ac:dyDescent="0.2">
      <c r="A37" s="1141" t="s">
        <v>1189</v>
      </c>
      <c r="B37" s="1142" t="s">
        <v>1190</v>
      </c>
      <c r="C37" s="1138">
        <f>C38+C39</f>
        <v>0</v>
      </c>
      <c r="D37" s="1138">
        <f>D38+D39</f>
        <v>3060.1</v>
      </c>
      <c r="E37" s="1111">
        <f t="shared" si="0"/>
        <v>3060.1</v>
      </c>
      <c r="F37" s="1112">
        <v>14299</v>
      </c>
      <c r="G37" s="1113">
        <v>1850579</v>
      </c>
      <c r="H37" s="1114">
        <v>1850579</v>
      </c>
    </row>
    <row r="38" spans="1:8" ht="13.5" customHeight="1" x14ac:dyDescent="0.2">
      <c r="A38" s="1141"/>
      <c r="B38" s="1142" t="s">
        <v>1191</v>
      </c>
      <c r="C38" s="1138"/>
      <c r="D38" s="1138">
        <v>2300</v>
      </c>
      <c r="E38" s="1111">
        <f t="shared" si="0"/>
        <v>2300</v>
      </c>
      <c r="F38" s="1112"/>
      <c r="G38" s="1113"/>
      <c r="H38" s="1114"/>
    </row>
    <row r="39" spans="1:8" ht="13.5" customHeight="1" x14ac:dyDescent="0.2">
      <c r="A39" s="1141"/>
      <c r="B39" s="1142" t="s">
        <v>1141</v>
      </c>
      <c r="C39" s="1138"/>
      <c r="D39" s="1138">
        <v>760.1</v>
      </c>
      <c r="E39" s="1111">
        <f t="shared" si="0"/>
        <v>760.1</v>
      </c>
      <c r="F39" s="1112">
        <v>14299</v>
      </c>
      <c r="G39" s="1113">
        <v>547200</v>
      </c>
      <c r="H39" s="1114">
        <v>547200</v>
      </c>
    </row>
    <row r="40" spans="1:8" ht="13.5" hidden="1" customHeight="1" x14ac:dyDescent="0.2">
      <c r="A40" s="1141" t="s">
        <v>1192</v>
      </c>
      <c r="B40" s="1142" t="s">
        <v>1143</v>
      </c>
      <c r="C40" s="1138"/>
      <c r="D40" s="1138"/>
      <c r="E40" s="1111">
        <f t="shared" si="0"/>
        <v>0</v>
      </c>
      <c r="F40" s="1112">
        <v>25598</v>
      </c>
      <c r="G40" s="1113">
        <v>284200</v>
      </c>
      <c r="H40" s="1114">
        <v>284200</v>
      </c>
    </row>
    <row r="41" spans="1:8" ht="14.25" customHeight="1" x14ac:dyDescent="0.2">
      <c r="A41" s="1141" t="s">
        <v>1192</v>
      </c>
      <c r="B41" s="1143" t="s">
        <v>1145</v>
      </c>
      <c r="C41" s="1138"/>
      <c r="D41" s="1138">
        <f>367.1+15718.8</f>
        <v>16085.9</v>
      </c>
      <c r="E41" s="1111">
        <f t="shared" si="0"/>
        <v>16085.9</v>
      </c>
      <c r="F41" s="1112">
        <v>353023</v>
      </c>
      <c r="G41" s="1113">
        <v>14464700</v>
      </c>
      <c r="H41" s="1114">
        <v>14464700</v>
      </c>
    </row>
    <row r="42" spans="1:8" ht="14.25" customHeight="1" x14ac:dyDescent="0.2">
      <c r="A42" s="1108" t="s">
        <v>1193</v>
      </c>
      <c r="B42" s="1109" t="s">
        <v>1116</v>
      </c>
      <c r="C42" s="1110">
        <v>490</v>
      </c>
      <c r="D42" s="893"/>
      <c r="E42" s="1111">
        <f t="shared" si="0"/>
        <v>490</v>
      </c>
      <c r="F42" s="1112"/>
      <c r="G42" s="1113"/>
      <c r="H42" s="1114"/>
    </row>
    <row r="43" spans="1:8" ht="14.25" customHeight="1" x14ac:dyDescent="0.2">
      <c r="A43" s="1108" t="s">
        <v>1194</v>
      </c>
      <c r="B43" s="1144" t="s">
        <v>1180</v>
      </c>
      <c r="C43" s="1110"/>
      <c r="D43" s="893">
        <v>18332</v>
      </c>
      <c r="E43" s="1111">
        <f t="shared" si="0"/>
        <v>18332</v>
      </c>
      <c r="F43" s="1112"/>
      <c r="G43" s="1113"/>
      <c r="H43" s="1114"/>
    </row>
    <row r="44" spans="1:8" ht="15.75" customHeight="1" x14ac:dyDescent="0.2">
      <c r="A44" s="1115" t="s">
        <v>1107</v>
      </c>
      <c r="B44" s="1145" t="s">
        <v>1120</v>
      </c>
      <c r="C44" s="697">
        <v>1688</v>
      </c>
      <c r="D44" s="694"/>
      <c r="E44" s="1118">
        <f t="shared" si="0"/>
        <v>1688</v>
      </c>
      <c r="F44" s="1119"/>
      <c r="G44" s="1120">
        <v>1047558</v>
      </c>
      <c r="H44" s="1121">
        <v>0</v>
      </c>
    </row>
    <row r="45" spans="1:8" ht="15.75" customHeight="1" x14ac:dyDescent="0.2">
      <c r="A45" s="1146" t="s">
        <v>1109</v>
      </c>
      <c r="B45" s="1147" t="s">
        <v>1195</v>
      </c>
      <c r="C45" s="697">
        <f>C46+C47+C48</f>
        <v>1343</v>
      </c>
      <c r="D45" s="694">
        <f>D46+D47+D48</f>
        <v>200</v>
      </c>
      <c r="E45" s="1118">
        <f t="shared" si="0"/>
        <v>1543</v>
      </c>
      <c r="F45" s="1119"/>
      <c r="G45" s="1120">
        <v>1592914</v>
      </c>
      <c r="H45" s="1121">
        <v>0</v>
      </c>
    </row>
    <row r="46" spans="1:8" ht="13.5" customHeight="1" x14ac:dyDescent="0.2">
      <c r="A46" s="1146"/>
      <c r="B46" s="1148" t="s">
        <v>1196</v>
      </c>
      <c r="C46" s="1138">
        <v>443</v>
      </c>
      <c r="D46" s="893"/>
      <c r="E46" s="1111">
        <f t="shared" si="0"/>
        <v>443</v>
      </c>
      <c r="F46" s="1119"/>
      <c r="G46" s="1120"/>
      <c r="H46" s="1121"/>
    </row>
    <row r="47" spans="1:8" ht="13.5" customHeight="1" x14ac:dyDescent="0.2">
      <c r="A47" s="1149"/>
      <c r="B47" s="1148" t="s">
        <v>1197</v>
      </c>
      <c r="C47" s="1138"/>
      <c r="D47" s="893">
        <v>200</v>
      </c>
      <c r="E47" s="1111">
        <f t="shared" si="0"/>
        <v>200</v>
      </c>
      <c r="F47" s="1112"/>
      <c r="G47" s="1113">
        <v>72405</v>
      </c>
      <c r="H47" s="1114">
        <v>0</v>
      </c>
    </row>
    <row r="48" spans="1:8" ht="13.5" customHeight="1" thickBot="1" x14ac:dyDescent="0.25">
      <c r="A48" s="1150"/>
      <c r="B48" s="1151" t="s">
        <v>1198</v>
      </c>
      <c r="C48" s="1152">
        <v>900</v>
      </c>
      <c r="D48" s="1153"/>
      <c r="E48" s="1154">
        <f t="shared" si="0"/>
        <v>900</v>
      </c>
      <c r="F48" s="1155"/>
      <c r="G48" s="1156">
        <v>765697</v>
      </c>
      <c r="H48" s="1157">
        <v>0</v>
      </c>
    </row>
    <row r="49" spans="1:8" ht="29.25" customHeight="1" thickBot="1" x14ac:dyDescent="0.25">
      <c r="A49" s="1130" t="s">
        <v>1071</v>
      </c>
      <c r="B49" s="1158" t="s">
        <v>1199</v>
      </c>
      <c r="C49" s="1132">
        <f>C50+C51+C52</f>
        <v>0</v>
      </c>
      <c r="D49" s="1133">
        <f>D50+D51+D52</f>
        <v>10322</v>
      </c>
      <c r="E49" s="1036">
        <f t="shared" si="0"/>
        <v>10322</v>
      </c>
      <c r="F49" s="1134"/>
      <c r="G49" s="1135">
        <v>1911496</v>
      </c>
      <c r="H49" s="1135">
        <v>0</v>
      </c>
    </row>
    <row r="50" spans="1:8" ht="14.25" customHeight="1" x14ac:dyDescent="0.2">
      <c r="A50" s="1149" t="s">
        <v>1115</v>
      </c>
      <c r="B50" s="1159" t="s">
        <v>1200</v>
      </c>
      <c r="C50" s="1138"/>
      <c r="D50" s="893">
        <v>1750</v>
      </c>
      <c r="E50" s="1111">
        <f t="shared" si="0"/>
        <v>1750</v>
      </c>
      <c r="F50" s="1112"/>
      <c r="G50" s="1113">
        <v>1737720</v>
      </c>
      <c r="H50" s="1114">
        <v>0</v>
      </c>
    </row>
    <row r="51" spans="1:8" ht="27" customHeight="1" thickBot="1" x14ac:dyDescent="0.25">
      <c r="A51" s="1160" t="s">
        <v>1117</v>
      </c>
      <c r="B51" s="1161" t="s">
        <v>1201</v>
      </c>
      <c r="C51" s="1138"/>
      <c r="D51" s="893">
        <v>2572</v>
      </c>
      <c r="E51" s="1111">
        <f t="shared" si="0"/>
        <v>2572</v>
      </c>
      <c r="F51" s="1127"/>
      <c r="G51" s="1128">
        <v>173776</v>
      </c>
      <c r="H51" s="1129">
        <v>0</v>
      </c>
    </row>
    <row r="52" spans="1:8" ht="27" customHeight="1" thickBot="1" x14ac:dyDescent="0.25">
      <c r="A52" s="1162" t="s">
        <v>1119</v>
      </c>
      <c r="B52" s="1163" t="s">
        <v>1202</v>
      </c>
      <c r="C52" s="1152"/>
      <c r="D52" s="1153">
        <v>6000</v>
      </c>
      <c r="E52" s="1154">
        <f t="shared" si="0"/>
        <v>6000</v>
      </c>
      <c r="F52" s="1155"/>
      <c r="G52" s="1156"/>
      <c r="H52" s="1157"/>
    </row>
    <row r="53" spans="1:8" ht="28.5" customHeight="1" thickBot="1" x14ac:dyDescent="0.25">
      <c r="A53" s="1164"/>
      <c r="B53" s="1165" t="s">
        <v>1276</v>
      </c>
      <c r="C53" s="1166">
        <f>C6+C29+C49</f>
        <v>341282</v>
      </c>
      <c r="D53" s="1167">
        <f>D6+D29+D49</f>
        <v>49560</v>
      </c>
      <c r="E53" s="1168">
        <f t="shared" si="0"/>
        <v>390842</v>
      </c>
      <c r="F53" s="1134">
        <v>392920</v>
      </c>
      <c r="G53" s="1135">
        <v>237315464</v>
      </c>
      <c r="H53" s="1135">
        <v>22040573</v>
      </c>
    </row>
    <row r="54" spans="1:8" ht="27.75" hidden="1" customHeight="1" thickBot="1" x14ac:dyDescent="0.25">
      <c r="A54" s="1169" t="s">
        <v>1128</v>
      </c>
      <c r="B54" s="1170" t="s">
        <v>1203</v>
      </c>
      <c r="C54" s="1171">
        <f>C55+C56</f>
        <v>0</v>
      </c>
      <c r="D54" s="1172">
        <f>D55+D56</f>
        <v>0</v>
      </c>
      <c r="E54" s="1173">
        <f t="shared" si="0"/>
        <v>0</v>
      </c>
    </row>
    <row r="55" spans="1:8" ht="24.75" hidden="1" customHeight="1" x14ac:dyDescent="0.2">
      <c r="A55" s="1174" t="s">
        <v>1130</v>
      </c>
      <c r="B55" s="1175" t="s">
        <v>1131</v>
      </c>
      <c r="C55" s="1176"/>
      <c r="D55" s="1061"/>
      <c r="E55" s="1177">
        <f t="shared" si="0"/>
        <v>0</v>
      </c>
    </row>
    <row r="56" spans="1:8" ht="13.5" hidden="1" customHeight="1" thickBot="1" x14ac:dyDescent="0.25">
      <c r="A56" s="1178" t="s">
        <v>1132</v>
      </c>
      <c r="B56" s="1179" t="s">
        <v>1133</v>
      </c>
      <c r="C56" s="1180"/>
      <c r="D56" s="1153"/>
      <c r="E56" s="1181">
        <f t="shared" si="0"/>
        <v>0</v>
      </c>
    </row>
    <row r="57" spans="1:8" ht="0.75" customHeight="1" thickBot="1" x14ac:dyDescent="0.25">
      <c r="A57" s="1164"/>
      <c r="B57" s="1182" t="s">
        <v>1204</v>
      </c>
      <c r="C57" s="1166">
        <f>C53+C54</f>
        <v>341282</v>
      </c>
      <c r="D57" s="1167">
        <f>D53+D54</f>
        <v>49560</v>
      </c>
      <c r="E57" s="1168">
        <f t="shared" si="0"/>
        <v>390842</v>
      </c>
    </row>
    <row r="58" spans="1:8" x14ac:dyDescent="0.2">
      <c r="A58" s="1010"/>
      <c r="B58" s="1010"/>
    </row>
    <row r="59" spans="1:8" x14ac:dyDescent="0.2">
      <c r="A59" s="1010"/>
      <c r="B59" s="1010"/>
    </row>
    <row r="60" spans="1:8" x14ac:dyDescent="0.2">
      <c r="A60" s="1010"/>
      <c r="B60" s="1010"/>
    </row>
    <row r="61" spans="1:8" x14ac:dyDescent="0.2">
      <c r="A61" s="1010"/>
      <c r="B61" s="1010"/>
    </row>
    <row r="62" spans="1:8" x14ac:dyDescent="0.2">
      <c r="A62" s="1010"/>
      <c r="B62" s="1010"/>
    </row>
    <row r="63" spans="1:8" x14ac:dyDescent="0.2">
      <c r="A63" s="1010"/>
      <c r="B63" s="1010"/>
    </row>
    <row r="64" spans="1:8" x14ac:dyDescent="0.2">
      <c r="A64" s="1010"/>
      <c r="B64" s="1010"/>
    </row>
    <row r="65" spans="1:2" x14ac:dyDescent="0.2">
      <c r="A65" s="1010"/>
      <c r="B65" s="1010"/>
    </row>
    <row r="66" spans="1:2" x14ac:dyDescent="0.2">
      <c r="A66" s="1010"/>
      <c r="B66" s="1010"/>
    </row>
    <row r="67" spans="1:2" x14ac:dyDescent="0.2">
      <c r="A67" s="1010"/>
      <c r="B67" s="1010"/>
    </row>
    <row r="68" spans="1:2" x14ac:dyDescent="0.2">
      <c r="A68" s="1010"/>
      <c r="B68" s="1010"/>
    </row>
    <row r="69" spans="1:2" x14ac:dyDescent="0.2">
      <c r="A69" s="1010"/>
      <c r="B69" s="1010"/>
    </row>
    <row r="70" spans="1:2" x14ac:dyDescent="0.2">
      <c r="A70" s="1010"/>
      <c r="B70" s="1010"/>
    </row>
    <row r="71" spans="1:2" x14ac:dyDescent="0.2">
      <c r="A71" s="1010"/>
      <c r="B71" s="1010"/>
    </row>
    <row r="72" spans="1:2" x14ac:dyDescent="0.2">
      <c r="A72" s="1010"/>
      <c r="B72" s="1010"/>
    </row>
    <row r="73" spans="1:2" x14ac:dyDescent="0.2">
      <c r="A73" s="1010"/>
      <c r="B73" s="1010"/>
    </row>
    <row r="74" spans="1:2" x14ac:dyDescent="0.2">
      <c r="A74" s="1010"/>
      <c r="B74" s="1010"/>
    </row>
    <row r="75" spans="1:2" x14ac:dyDescent="0.2">
      <c r="A75" s="1010"/>
      <c r="B75" s="1010"/>
    </row>
    <row r="76" spans="1:2" x14ac:dyDescent="0.2">
      <c r="A76" s="1010"/>
      <c r="B76" s="1010"/>
    </row>
    <row r="77" spans="1:2" x14ac:dyDescent="0.2">
      <c r="A77" s="1010"/>
      <c r="B77" s="1010"/>
    </row>
    <row r="78" spans="1:2" x14ac:dyDescent="0.2">
      <c r="A78" s="1010"/>
      <c r="B78" s="1010"/>
    </row>
    <row r="79" spans="1:2" x14ac:dyDescent="0.2">
      <c r="A79" s="1010"/>
      <c r="B79" s="1010"/>
    </row>
    <row r="80" spans="1:2" x14ac:dyDescent="0.2">
      <c r="A80" s="1010"/>
      <c r="B80" s="1010"/>
    </row>
    <row r="81" spans="1:2" x14ac:dyDescent="0.2">
      <c r="A81" s="1010"/>
      <c r="B81" s="1010"/>
    </row>
    <row r="82" spans="1:2" x14ac:dyDescent="0.2">
      <c r="A82" s="1010"/>
      <c r="B82" s="1010"/>
    </row>
    <row r="83" spans="1:2" x14ac:dyDescent="0.2">
      <c r="A83" s="1010"/>
      <c r="B83" s="1010"/>
    </row>
    <row r="84" spans="1:2" x14ac:dyDescent="0.2">
      <c r="A84" s="1010"/>
      <c r="B84" s="1010"/>
    </row>
    <row r="85" spans="1:2" x14ac:dyDescent="0.2">
      <c r="A85" s="1010"/>
      <c r="B85" s="1010"/>
    </row>
    <row r="86" spans="1:2" x14ac:dyDescent="0.2">
      <c r="A86" s="1010"/>
      <c r="B86" s="1010"/>
    </row>
    <row r="87" spans="1:2" x14ac:dyDescent="0.2">
      <c r="A87" s="1010"/>
      <c r="B87" s="1010"/>
    </row>
    <row r="88" spans="1:2" x14ac:dyDescent="0.2">
      <c r="A88" s="1010"/>
      <c r="B88" s="1010"/>
    </row>
    <row r="89" spans="1:2" x14ac:dyDescent="0.2">
      <c r="A89" s="1010"/>
      <c r="B89" s="1010"/>
    </row>
    <row r="90" spans="1:2" x14ac:dyDescent="0.2">
      <c r="A90" s="1010"/>
      <c r="B90" s="1010"/>
    </row>
    <row r="91" spans="1:2" x14ac:dyDescent="0.2">
      <c r="A91" s="1010"/>
      <c r="B91" s="1010"/>
    </row>
    <row r="92" spans="1:2" x14ac:dyDescent="0.2">
      <c r="A92" s="1010"/>
      <c r="B92" s="1010"/>
    </row>
    <row r="93" spans="1:2" x14ac:dyDescent="0.2">
      <c r="A93" s="1010"/>
      <c r="B93" s="1010"/>
    </row>
    <row r="94" spans="1:2" x14ac:dyDescent="0.2">
      <c r="A94" s="1010"/>
      <c r="B94" s="1010"/>
    </row>
    <row r="95" spans="1:2" x14ac:dyDescent="0.2">
      <c r="A95" s="1010"/>
      <c r="B95" s="1010"/>
    </row>
    <row r="96" spans="1:2" x14ac:dyDescent="0.2">
      <c r="A96" s="1010"/>
      <c r="B96" s="1010"/>
    </row>
    <row r="97" spans="1:2" x14ac:dyDescent="0.2">
      <c r="A97" s="1010"/>
      <c r="B97" s="1010"/>
    </row>
    <row r="98" spans="1:2" x14ac:dyDescent="0.2">
      <c r="A98" s="1010"/>
      <c r="B98" s="1010"/>
    </row>
    <row r="99" spans="1:2" x14ac:dyDescent="0.2">
      <c r="A99" s="1010"/>
      <c r="B99" s="1010"/>
    </row>
    <row r="100" spans="1:2" x14ac:dyDescent="0.2">
      <c r="A100" s="1010"/>
      <c r="B100" s="1010"/>
    </row>
    <row r="101" spans="1:2" x14ac:dyDescent="0.2">
      <c r="A101" s="1010"/>
      <c r="B101" s="1010"/>
    </row>
    <row r="102" spans="1:2" x14ac:dyDescent="0.2">
      <c r="A102" s="1010"/>
      <c r="B102" s="1010"/>
    </row>
    <row r="103" spans="1:2" x14ac:dyDescent="0.2">
      <c r="A103" s="1010"/>
      <c r="B103" s="1010"/>
    </row>
    <row r="104" spans="1:2" x14ac:dyDescent="0.2">
      <c r="A104" s="1010"/>
      <c r="B104" s="1010"/>
    </row>
    <row r="105" spans="1:2" x14ac:dyDescent="0.2">
      <c r="A105" s="1010"/>
      <c r="B105" s="1010"/>
    </row>
    <row r="106" spans="1:2" x14ac:dyDescent="0.2">
      <c r="A106" s="1010"/>
      <c r="B106" s="1010"/>
    </row>
    <row r="107" spans="1:2" x14ac:dyDescent="0.2">
      <c r="A107" s="1010"/>
      <c r="B107" s="1010"/>
    </row>
    <row r="108" spans="1:2" x14ac:dyDescent="0.2">
      <c r="A108" s="1010"/>
      <c r="B108" s="1010"/>
    </row>
    <row r="109" spans="1:2" x14ac:dyDescent="0.2">
      <c r="A109" s="1010"/>
      <c r="B109" s="1010"/>
    </row>
    <row r="110" spans="1:2" x14ac:dyDescent="0.2">
      <c r="A110" s="1010"/>
      <c r="B110" s="1010"/>
    </row>
    <row r="111" spans="1:2" x14ac:dyDescent="0.2">
      <c r="A111" s="1010"/>
      <c r="B111" s="1010"/>
    </row>
    <row r="112" spans="1:2" x14ac:dyDescent="0.2">
      <c r="A112" s="1010"/>
      <c r="B112" s="1010"/>
    </row>
    <row r="113" spans="1:2" x14ac:dyDescent="0.2">
      <c r="A113" s="1010"/>
      <c r="B113" s="1010"/>
    </row>
    <row r="114" spans="1:2" x14ac:dyDescent="0.2">
      <c r="A114" s="1010"/>
      <c r="B114" s="1010"/>
    </row>
    <row r="115" spans="1:2" x14ac:dyDescent="0.2">
      <c r="A115" s="1010"/>
      <c r="B115" s="1010"/>
    </row>
    <row r="116" spans="1:2" x14ac:dyDescent="0.2">
      <c r="A116" s="1010"/>
      <c r="B116" s="1010"/>
    </row>
    <row r="117" spans="1:2" x14ac:dyDescent="0.2">
      <c r="A117" s="1010"/>
      <c r="B117" s="1010"/>
    </row>
    <row r="118" spans="1:2" x14ac:dyDescent="0.2">
      <c r="A118" s="1010"/>
      <c r="B118" s="1010"/>
    </row>
    <row r="119" spans="1:2" x14ac:dyDescent="0.2">
      <c r="A119" s="1010"/>
      <c r="B119" s="1010"/>
    </row>
    <row r="120" spans="1:2" x14ac:dyDescent="0.2">
      <c r="A120" s="1010"/>
      <c r="B120" s="1010"/>
    </row>
    <row r="121" spans="1:2" x14ac:dyDescent="0.2">
      <c r="A121" s="1010"/>
      <c r="B121" s="1010"/>
    </row>
    <row r="122" spans="1:2" x14ac:dyDescent="0.2">
      <c r="A122" s="1010"/>
      <c r="B122" s="1010"/>
    </row>
    <row r="123" spans="1:2" x14ac:dyDescent="0.2">
      <c r="A123" s="1010"/>
      <c r="B123" s="1010"/>
    </row>
    <row r="124" spans="1:2" x14ac:dyDescent="0.2">
      <c r="A124" s="1010"/>
      <c r="B124" s="1010"/>
    </row>
    <row r="125" spans="1:2" x14ac:dyDescent="0.2">
      <c r="A125" s="1010"/>
      <c r="B125" s="1010"/>
    </row>
    <row r="126" spans="1:2" x14ac:dyDescent="0.2">
      <c r="A126" s="1010"/>
      <c r="B126" s="1010"/>
    </row>
    <row r="127" spans="1:2" x14ac:dyDescent="0.2">
      <c r="A127" s="1010"/>
      <c r="B127" s="1010"/>
    </row>
    <row r="128" spans="1:2" x14ac:dyDescent="0.2">
      <c r="A128" s="1010"/>
      <c r="B128" s="1010"/>
    </row>
    <row r="129" spans="1:2" x14ac:dyDescent="0.2">
      <c r="A129" s="1010"/>
      <c r="B129" s="1010"/>
    </row>
    <row r="130" spans="1:2" x14ac:dyDescent="0.2">
      <c r="A130" s="1010"/>
      <c r="B130" s="1010"/>
    </row>
    <row r="131" spans="1:2" x14ac:dyDescent="0.2">
      <c r="A131" s="1010"/>
      <c r="B131" s="1010"/>
    </row>
    <row r="132" spans="1:2" x14ac:dyDescent="0.2">
      <c r="A132" s="1010"/>
      <c r="B132" s="1010"/>
    </row>
    <row r="133" spans="1:2" x14ac:dyDescent="0.2">
      <c r="A133" s="1010"/>
      <c r="B133" s="1010"/>
    </row>
    <row r="134" spans="1:2" x14ac:dyDescent="0.2">
      <c r="A134" s="1010"/>
      <c r="B134" s="1010"/>
    </row>
    <row r="135" spans="1:2" x14ac:dyDescent="0.2">
      <c r="A135" s="1010"/>
      <c r="B135" s="1010"/>
    </row>
    <row r="136" spans="1:2" x14ac:dyDescent="0.2">
      <c r="A136" s="1010"/>
      <c r="B136" s="1010"/>
    </row>
    <row r="137" spans="1:2" x14ac:dyDescent="0.2">
      <c r="A137" s="1010"/>
      <c r="B137" s="1010"/>
    </row>
    <row r="138" spans="1:2" x14ac:dyDescent="0.2">
      <c r="A138" s="1010"/>
      <c r="B138" s="1010"/>
    </row>
    <row r="139" spans="1:2" x14ac:dyDescent="0.2">
      <c r="A139" s="1010"/>
      <c r="B139" s="1010"/>
    </row>
    <row r="140" spans="1:2" x14ac:dyDescent="0.2">
      <c r="A140" s="1010"/>
      <c r="B140" s="1010"/>
    </row>
    <row r="141" spans="1:2" x14ac:dyDescent="0.2">
      <c r="A141" s="1010"/>
      <c r="B141" s="1010"/>
    </row>
    <row r="142" spans="1:2" x14ac:dyDescent="0.2">
      <c r="A142" s="1010"/>
      <c r="B142" s="1010"/>
    </row>
    <row r="143" spans="1:2" x14ac:dyDescent="0.2">
      <c r="A143" s="1010"/>
      <c r="B143" s="1010"/>
    </row>
    <row r="144" spans="1:2" x14ac:dyDescent="0.2">
      <c r="A144" s="1010"/>
      <c r="B144" s="1010"/>
    </row>
    <row r="145" spans="1:2" x14ac:dyDescent="0.2">
      <c r="A145" s="1010"/>
      <c r="B145" s="1010"/>
    </row>
    <row r="146" spans="1:2" x14ac:dyDescent="0.2">
      <c r="A146" s="1010"/>
      <c r="B146" s="1010"/>
    </row>
    <row r="147" spans="1:2" x14ac:dyDescent="0.2">
      <c r="A147" s="1010"/>
      <c r="B147" s="1010"/>
    </row>
    <row r="148" spans="1:2" x14ac:dyDescent="0.2">
      <c r="A148" s="1010"/>
      <c r="B148" s="1010"/>
    </row>
    <row r="149" spans="1:2" x14ac:dyDescent="0.2">
      <c r="A149" s="1010"/>
      <c r="B149" s="1010"/>
    </row>
    <row r="150" spans="1:2" x14ac:dyDescent="0.2">
      <c r="A150" s="1010"/>
      <c r="B150" s="1010"/>
    </row>
    <row r="151" spans="1:2" x14ac:dyDescent="0.2">
      <c r="A151" s="1010"/>
      <c r="B151" s="1010"/>
    </row>
    <row r="152" spans="1:2" x14ac:dyDescent="0.2">
      <c r="A152" s="1010"/>
      <c r="B152" s="1010"/>
    </row>
    <row r="153" spans="1:2" x14ac:dyDescent="0.2">
      <c r="A153" s="1010"/>
      <c r="B153" s="1010"/>
    </row>
    <row r="154" spans="1:2" x14ac:dyDescent="0.2">
      <c r="A154" s="1010"/>
      <c r="B154" s="1010"/>
    </row>
    <row r="155" spans="1:2" x14ac:dyDescent="0.2">
      <c r="A155" s="1010"/>
      <c r="B155" s="1010"/>
    </row>
    <row r="156" spans="1:2" x14ac:dyDescent="0.2">
      <c r="A156" s="1010"/>
      <c r="B156" s="1010"/>
    </row>
    <row r="157" spans="1:2" x14ac:dyDescent="0.2">
      <c r="A157" s="1010"/>
      <c r="B157" s="1010"/>
    </row>
    <row r="158" spans="1:2" x14ac:dyDescent="0.2">
      <c r="A158" s="1010"/>
      <c r="B158" s="1010"/>
    </row>
    <row r="159" spans="1:2" x14ac:dyDescent="0.2">
      <c r="A159" s="1010"/>
      <c r="B159" s="1010"/>
    </row>
    <row r="160" spans="1:2" x14ac:dyDescent="0.2">
      <c r="A160" s="1010"/>
      <c r="B160" s="1010"/>
    </row>
    <row r="161" spans="1:2" x14ac:dyDescent="0.2">
      <c r="A161" s="1010"/>
      <c r="B161" s="1010"/>
    </row>
    <row r="162" spans="1:2" x14ac:dyDescent="0.2">
      <c r="A162" s="1010"/>
      <c r="B162" s="1010"/>
    </row>
    <row r="163" spans="1:2" x14ac:dyDescent="0.2">
      <c r="A163" s="1010"/>
      <c r="B163" s="1010"/>
    </row>
    <row r="164" spans="1:2" x14ac:dyDescent="0.2">
      <c r="A164" s="1010"/>
      <c r="B164" s="1010"/>
    </row>
    <row r="165" spans="1:2" x14ac:dyDescent="0.2">
      <c r="A165" s="1010"/>
      <c r="B165" s="1010"/>
    </row>
    <row r="166" spans="1:2" x14ac:dyDescent="0.2">
      <c r="A166" s="1010"/>
      <c r="B166" s="1010"/>
    </row>
    <row r="167" spans="1:2" x14ac:dyDescent="0.2">
      <c r="A167" s="1010"/>
      <c r="B167" s="1010"/>
    </row>
    <row r="168" spans="1:2" x14ac:dyDescent="0.2">
      <c r="A168" s="1010"/>
      <c r="B168" s="1010"/>
    </row>
    <row r="169" spans="1:2" x14ac:dyDescent="0.2">
      <c r="A169" s="1010"/>
      <c r="B169" s="1010"/>
    </row>
    <row r="170" spans="1:2" x14ac:dyDescent="0.2">
      <c r="A170" s="1010"/>
      <c r="B170" s="1010"/>
    </row>
    <row r="171" spans="1:2" x14ac:dyDescent="0.2">
      <c r="A171" s="1010"/>
      <c r="B171" s="1010"/>
    </row>
    <row r="172" spans="1:2" x14ac:dyDescent="0.2">
      <c r="A172" s="1010"/>
      <c r="B172" s="1010"/>
    </row>
    <row r="173" spans="1:2" x14ac:dyDescent="0.2">
      <c r="A173" s="1010"/>
      <c r="B173" s="1010"/>
    </row>
    <row r="174" spans="1:2" x14ac:dyDescent="0.2">
      <c r="A174" s="1010"/>
      <c r="B174" s="1010"/>
    </row>
    <row r="175" spans="1:2" x14ac:dyDescent="0.2">
      <c r="A175" s="1010"/>
      <c r="B175" s="1010"/>
    </row>
    <row r="176" spans="1:2" x14ac:dyDescent="0.2">
      <c r="A176" s="1010"/>
      <c r="B176" s="1010"/>
    </row>
    <row r="177" spans="1:2" x14ac:dyDescent="0.2">
      <c r="A177" s="1010"/>
      <c r="B177" s="1010"/>
    </row>
    <row r="178" spans="1:2" x14ac:dyDescent="0.2">
      <c r="A178" s="1010"/>
      <c r="B178" s="1010"/>
    </row>
    <row r="179" spans="1:2" x14ac:dyDescent="0.2">
      <c r="A179" s="1010"/>
      <c r="B179" s="1010"/>
    </row>
    <row r="180" spans="1:2" x14ac:dyDescent="0.2">
      <c r="A180" s="1010"/>
      <c r="B180" s="1010"/>
    </row>
    <row r="181" spans="1:2" x14ac:dyDescent="0.2">
      <c r="A181" s="1010"/>
      <c r="B181" s="1010"/>
    </row>
    <row r="182" spans="1:2" x14ac:dyDescent="0.2">
      <c r="A182" s="1010"/>
      <c r="B182" s="1010"/>
    </row>
    <row r="183" spans="1:2" x14ac:dyDescent="0.2">
      <c r="A183" s="1010"/>
      <c r="B183" s="1010"/>
    </row>
    <row r="184" spans="1:2" x14ac:dyDescent="0.2">
      <c r="A184" s="1010"/>
      <c r="B184" s="1010"/>
    </row>
    <row r="185" spans="1:2" x14ac:dyDescent="0.2">
      <c r="A185" s="1013"/>
      <c r="B185" s="1013"/>
    </row>
    <row r="186" spans="1:2" x14ac:dyDescent="0.2">
      <c r="A186" s="1013"/>
      <c r="B186" s="1013"/>
    </row>
    <row r="187" spans="1:2" x14ac:dyDescent="0.2">
      <c r="A187" s="1013"/>
      <c r="B187" s="1013"/>
    </row>
    <row r="188" spans="1:2" x14ac:dyDescent="0.2">
      <c r="A188" s="1013"/>
      <c r="B188" s="1013"/>
    </row>
    <row r="189" spans="1:2" x14ac:dyDescent="0.2">
      <c r="A189" s="1013"/>
      <c r="B189" s="1013"/>
    </row>
    <row r="190" spans="1:2" x14ac:dyDescent="0.2">
      <c r="A190" s="1013"/>
      <c r="B190" s="1013"/>
    </row>
    <row r="191" spans="1:2" x14ac:dyDescent="0.2">
      <c r="A191" s="1013"/>
      <c r="B191" s="1013"/>
    </row>
    <row r="192" spans="1:2" x14ac:dyDescent="0.2">
      <c r="A192" s="1013"/>
      <c r="B192" s="1013"/>
    </row>
    <row r="193" spans="1:2" x14ac:dyDescent="0.2">
      <c r="A193" s="1013"/>
      <c r="B193" s="1013"/>
    </row>
    <row r="194" spans="1:2" x14ac:dyDescent="0.2">
      <c r="A194" s="1013"/>
      <c r="B194" s="1013"/>
    </row>
    <row r="195" spans="1:2" x14ac:dyDescent="0.2">
      <c r="A195" s="1013"/>
      <c r="B195" s="1013"/>
    </row>
    <row r="196" spans="1:2" x14ac:dyDescent="0.2">
      <c r="A196" s="1013"/>
      <c r="B196" s="1013"/>
    </row>
    <row r="197" spans="1:2" x14ac:dyDescent="0.2">
      <c r="A197" s="1013"/>
      <c r="B197" s="1013"/>
    </row>
    <row r="198" spans="1:2" x14ac:dyDescent="0.2">
      <c r="A198" s="1013"/>
      <c r="B198" s="1013"/>
    </row>
    <row r="199" spans="1:2" x14ac:dyDescent="0.2">
      <c r="A199" s="1013"/>
      <c r="B199" s="1013"/>
    </row>
    <row r="200" spans="1:2" x14ac:dyDescent="0.2">
      <c r="A200" s="1013"/>
      <c r="B200" s="1013"/>
    </row>
    <row r="201" spans="1:2" x14ac:dyDescent="0.2">
      <c r="A201" s="1013"/>
      <c r="B201" s="1013"/>
    </row>
    <row r="202" spans="1:2" x14ac:dyDescent="0.2">
      <c r="A202" s="1013"/>
      <c r="B202" s="1013"/>
    </row>
    <row r="203" spans="1:2" x14ac:dyDescent="0.2">
      <c r="A203" s="1013"/>
      <c r="B203" s="1013"/>
    </row>
    <row r="204" spans="1:2" x14ac:dyDescent="0.2">
      <c r="A204" s="1013"/>
      <c r="B204" s="1013"/>
    </row>
    <row r="205" spans="1:2" x14ac:dyDescent="0.2">
      <c r="A205" s="1013"/>
      <c r="B205" s="1013"/>
    </row>
    <row r="206" spans="1:2" x14ac:dyDescent="0.2">
      <c r="A206" s="1013"/>
      <c r="B206" s="1013"/>
    </row>
    <row r="207" spans="1:2" x14ac:dyDescent="0.2">
      <c r="A207" s="1013"/>
      <c r="B207" s="1013"/>
    </row>
    <row r="208" spans="1:2" x14ac:dyDescent="0.2">
      <c r="A208" s="1013"/>
      <c r="B208" s="1013"/>
    </row>
    <row r="209" spans="1:2" x14ac:dyDescent="0.2">
      <c r="A209" s="1013"/>
      <c r="B209" s="1013"/>
    </row>
    <row r="210" spans="1:2" x14ac:dyDescent="0.2">
      <c r="A210" s="1013"/>
      <c r="B210" s="1013"/>
    </row>
    <row r="211" spans="1:2" x14ac:dyDescent="0.2">
      <c r="A211" s="1013"/>
      <c r="B211" s="1013"/>
    </row>
    <row r="212" spans="1:2" x14ac:dyDescent="0.2">
      <c r="A212" s="1013"/>
      <c r="B212" s="1013"/>
    </row>
    <row r="213" spans="1:2" x14ac:dyDescent="0.2">
      <c r="A213" s="1013"/>
      <c r="B213" s="1013"/>
    </row>
    <row r="214" spans="1:2" x14ac:dyDescent="0.2">
      <c r="A214" s="1013"/>
      <c r="B214" s="1013"/>
    </row>
    <row r="215" spans="1:2" x14ac:dyDescent="0.2">
      <c r="A215" s="1013"/>
      <c r="B215" s="1013"/>
    </row>
    <row r="216" spans="1:2" x14ac:dyDescent="0.2">
      <c r="A216" s="1013"/>
      <c r="B216" s="1013"/>
    </row>
    <row r="217" spans="1:2" x14ac:dyDescent="0.2">
      <c r="A217" s="1013"/>
      <c r="B217" s="1013"/>
    </row>
    <row r="218" spans="1:2" x14ac:dyDescent="0.2">
      <c r="A218" s="1013"/>
      <c r="B218" s="1013"/>
    </row>
    <row r="219" spans="1:2" x14ac:dyDescent="0.2">
      <c r="A219" s="1013"/>
      <c r="B219" s="1013"/>
    </row>
  </sheetData>
  <mergeCells count="3">
    <mergeCell ref="A2:G2"/>
    <mergeCell ref="B7:B8"/>
    <mergeCell ref="B17:B18"/>
  </mergeCells>
  <pageMargins left="0.78740157480314965" right="7.874015748031496E-2" top="0.35433070866141736" bottom="0.11811023622047245" header="0.15748031496062992" footer="0.1968503937007874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3"/>
  <sheetViews>
    <sheetView showZeros="0" zoomScaleNormal="100" workbookViewId="0">
      <pane xSplit="2" ySplit="5" topLeftCell="C6" activePane="bottomRight" state="frozen"/>
      <selection activeCell="L26" sqref="L26"/>
      <selection pane="topRight" activeCell="L26" sqref="L26"/>
      <selection pane="bottomLeft" activeCell="L26" sqref="L26"/>
      <selection pane="bottomRight" activeCell="N29" sqref="N29"/>
    </sheetView>
  </sheetViews>
  <sheetFormatPr defaultColWidth="9.140625" defaultRowHeight="12.75" x14ac:dyDescent="0.2"/>
  <cols>
    <col min="1" max="1" width="4.7109375" style="612" customWidth="1"/>
    <col min="2" max="2" width="45.28515625" style="612" customWidth="1"/>
    <col min="3" max="3" width="12.7109375" style="612" customWidth="1"/>
    <col min="4" max="4" width="12" style="612" customWidth="1"/>
    <col min="5" max="5" width="13.42578125" style="612" customWidth="1"/>
    <col min="6" max="6" width="5.140625" style="612" customWidth="1"/>
    <col min="7" max="16384" width="9.140625" style="612"/>
  </cols>
  <sheetData>
    <row r="1" spans="1:6" ht="19.5" customHeight="1" x14ac:dyDescent="0.2">
      <c r="E1" s="763" t="s">
        <v>1205</v>
      </c>
    </row>
    <row r="2" spans="1:6" ht="36" customHeight="1" x14ac:dyDescent="0.2">
      <c r="A2" s="1506" t="s">
        <v>1206</v>
      </c>
      <c r="B2" s="1506"/>
      <c r="C2" s="1506"/>
      <c r="D2" s="1506"/>
      <c r="E2" s="1506"/>
      <c r="F2" s="1506"/>
    </row>
    <row r="3" spans="1:6" ht="33.75" customHeight="1" thickBot="1" x14ac:dyDescent="0.3">
      <c r="A3" s="614"/>
      <c r="B3" s="614"/>
      <c r="C3" s="1183"/>
      <c r="D3" s="1183"/>
      <c r="E3" s="1184" t="s">
        <v>0</v>
      </c>
      <c r="F3" s="764"/>
    </row>
    <row r="4" spans="1:6" ht="77.25" customHeight="1" thickBot="1" x14ac:dyDescent="0.25">
      <c r="A4" s="1185" t="s">
        <v>1015</v>
      </c>
      <c r="B4" s="1186" t="s">
        <v>1083</v>
      </c>
      <c r="C4" s="1187" t="s">
        <v>1207</v>
      </c>
      <c r="D4" s="1188" t="s">
        <v>1208</v>
      </c>
      <c r="E4" s="1187" t="s">
        <v>1209</v>
      </c>
      <c r="F4" s="1189" t="s">
        <v>1021</v>
      </c>
    </row>
    <row r="5" spans="1:6" ht="11.25" customHeight="1" thickBot="1" x14ac:dyDescent="0.25">
      <c r="A5" s="1190" t="s">
        <v>1165</v>
      </c>
      <c r="B5" s="1191" t="s">
        <v>1166</v>
      </c>
      <c r="C5" s="1192">
        <v>3</v>
      </c>
      <c r="D5" s="1193">
        <v>4</v>
      </c>
      <c r="E5" s="1192">
        <v>5</v>
      </c>
      <c r="F5" s="1194">
        <v>6</v>
      </c>
    </row>
    <row r="6" spans="1:6" ht="17.25" customHeight="1" thickBot="1" x14ac:dyDescent="0.25">
      <c r="A6" s="1195" t="s">
        <v>1023</v>
      </c>
      <c r="B6" s="1196" t="s">
        <v>1167</v>
      </c>
      <c r="C6" s="1197">
        <f t="shared" ref="C6:D6" si="0">C15+C22+C26</f>
        <v>292161</v>
      </c>
      <c r="D6" s="1198">
        <f t="shared" si="0"/>
        <v>333418</v>
      </c>
      <c r="E6" s="1197">
        <f>D6-C6</f>
        <v>41257</v>
      </c>
      <c r="F6" s="1199">
        <f>E6/C6*100</f>
        <v>14.121323516828049</v>
      </c>
    </row>
    <row r="7" spans="1:6" ht="12" hidden="1" customHeight="1" x14ac:dyDescent="0.2">
      <c r="A7" s="1200"/>
      <c r="B7" s="1507" t="s">
        <v>1091</v>
      </c>
      <c r="C7" s="1201">
        <v>611573</v>
      </c>
      <c r="D7" s="1202">
        <v>748118</v>
      </c>
      <c r="E7" s="1203">
        <f>D7-C7</f>
        <v>136545</v>
      </c>
      <c r="F7" s="1204">
        <f>E7/C7*100</f>
        <v>22.326852231867658</v>
      </c>
    </row>
    <row r="8" spans="1:6" ht="11.25" hidden="1" customHeight="1" x14ac:dyDescent="0.2">
      <c r="A8" s="1205"/>
      <c r="B8" s="1508"/>
      <c r="C8" s="1206" t="s">
        <v>1092</v>
      </c>
      <c r="D8" s="1207" t="s">
        <v>1092</v>
      </c>
      <c r="E8" s="1208"/>
      <c r="F8" s="1209"/>
    </row>
    <row r="9" spans="1:6" ht="12" hidden="1" customHeight="1" x14ac:dyDescent="0.2">
      <c r="A9" s="1210"/>
      <c r="B9" s="1211" t="s">
        <v>1169</v>
      </c>
      <c r="C9" s="1212">
        <v>478067</v>
      </c>
      <c r="D9" s="1213">
        <v>619591</v>
      </c>
      <c r="E9" s="1214">
        <f t="shared" ref="E9:E41" si="1">D9-C9</f>
        <v>141524</v>
      </c>
      <c r="F9" s="1215">
        <f>E9/C9*100</f>
        <v>29.603381952738843</v>
      </c>
    </row>
    <row r="10" spans="1:6" ht="12" hidden="1" customHeight="1" x14ac:dyDescent="0.2">
      <c r="A10" s="1216"/>
      <c r="B10" s="1217" t="s">
        <v>1210</v>
      </c>
      <c r="C10" s="1218">
        <v>78.17</v>
      </c>
      <c r="D10" s="1219">
        <v>82.82</v>
      </c>
      <c r="E10" s="1220">
        <f t="shared" si="1"/>
        <v>4.6499999999999915</v>
      </c>
      <c r="F10" s="1221"/>
    </row>
    <row r="11" spans="1:6" ht="12" hidden="1" customHeight="1" x14ac:dyDescent="0.2">
      <c r="A11" s="802"/>
      <c r="B11" s="803" t="s">
        <v>1095</v>
      </c>
      <c r="C11" s="1212">
        <v>478067</v>
      </c>
      <c r="D11" s="1222">
        <v>486069</v>
      </c>
      <c r="E11" s="1223">
        <f t="shared" si="1"/>
        <v>8002</v>
      </c>
      <c r="F11" s="734">
        <f>E11/C11*100</f>
        <v>1.6738239619132882</v>
      </c>
    </row>
    <row r="12" spans="1:6" ht="12" hidden="1" customHeight="1" x14ac:dyDescent="0.2">
      <c r="A12" s="828"/>
      <c r="B12" s="829" t="s">
        <v>1096</v>
      </c>
      <c r="C12" s="1218">
        <v>75.489999999999995</v>
      </c>
      <c r="D12" s="1224">
        <v>78.45</v>
      </c>
      <c r="E12" s="1225">
        <f t="shared" si="1"/>
        <v>2.960000000000008</v>
      </c>
      <c r="F12" s="1226"/>
    </row>
    <row r="13" spans="1:6" ht="12" hidden="1" customHeight="1" x14ac:dyDescent="0.2">
      <c r="A13" s="802"/>
      <c r="B13" s="803" t="s">
        <v>1097</v>
      </c>
      <c r="C13" s="1227"/>
      <c r="D13" s="1228">
        <v>27076</v>
      </c>
      <c r="E13" s="1227">
        <f t="shared" si="1"/>
        <v>27076</v>
      </c>
      <c r="F13" s="1229"/>
    </row>
    <row r="14" spans="1:6" ht="12" hidden="1" customHeight="1" x14ac:dyDescent="0.2">
      <c r="A14" s="790"/>
      <c r="B14" s="814" t="s">
        <v>1098</v>
      </c>
      <c r="C14" s="1230"/>
      <c r="D14" s="1231">
        <v>4.37</v>
      </c>
      <c r="E14" s="1230">
        <f t="shared" si="1"/>
        <v>4.37</v>
      </c>
      <c r="F14" s="1232"/>
    </row>
    <row r="15" spans="1:6" ht="15.75" customHeight="1" x14ac:dyDescent="0.2">
      <c r="A15" s="1233" t="s">
        <v>1025</v>
      </c>
      <c r="B15" s="842" t="s">
        <v>1211</v>
      </c>
      <c r="C15" s="1234">
        <f t="shared" ref="C15" si="2">C17+C19+C20</f>
        <v>244148</v>
      </c>
      <c r="D15" s="1235">
        <f>+D16+D21</f>
        <v>289218</v>
      </c>
      <c r="E15" s="1234">
        <f t="shared" si="1"/>
        <v>45070</v>
      </c>
      <c r="F15" s="1236">
        <f>E15/C15*100</f>
        <v>18.46011435686551</v>
      </c>
    </row>
    <row r="16" spans="1:6" ht="18" hidden="1" customHeight="1" x14ac:dyDescent="0.2">
      <c r="A16" s="846" t="s">
        <v>1027</v>
      </c>
      <c r="B16" s="847" t="s">
        <v>1100</v>
      </c>
      <c r="C16" s="1237">
        <f>+C17+C19</f>
        <v>244148</v>
      </c>
      <c r="D16" s="1235">
        <f>+D17+D19</f>
        <v>282189</v>
      </c>
      <c r="E16" s="1238">
        <f t="shared" si="1"/>
        <v>38041</v>
      </c>
      <c r="F16" s="1239">
        <f>E16/C16*100</f>
        <v>15.581122925438667</v>
      </c>
    </row>
    <row r="17" spans="1:6" ht="15" hidden="1" customHeight="1" x14ac:dyDescent="0.2">
      <c r="A17" s="1509"/>
      <c r="B17" s="1511" t="s">
        <v>1212</v>
      </c>
      <c r="C17" s="1240">
        <v>219624</v>
      </c>
      <c r="D17" s="1241">
        <v>261408</v>
      </c>
      <c r="E17" s="1242">
        <f t="shared" si="1"/>
        <v>41784</v>
      </c>
      <c r="F17" s="1243">
        <f>E17/C17*100</f>
        <v>19.025243142825921</v>
      </c>
    </row>
    <row r="18" spans="1:6" ht="12" hidden="1" customHeight="1" x14ac:dyDescent="0.2">
      <c r="A18" s="1510"/>
      <c r="B18" s="1512"/>
      <c r="C18" s="1244">
        <v>45.94</v>
      </c>
      <c r="D18" s="1245">
        <v>53.78</v>
      </c>
      <c r="E18" s="1246">
        <f t="shared" si="1"/>
        <v>7.8400000000000034</v>
      </c>
      <c r="F18" s="1247"/>
    </row>
    <row r="19" spans="1:6" ht="14.25" hidden="1" customHeight="1" x14ac:dyDescent="0.2">
      <c r="A19" s="1248"/>
      <c r="B19" s="1249" t="s">
        <v>1102</v>
      </c>
      <c r="C19" s="1250">
        <v>24524</v>
      </c>
      <c r="D19" s="1251">
        <v>20781</v>
      </c>
      <c r="E19" s="1238">
        <f t="shared" si="1"/>
        <v>-3743</v>
      </c>
      <c r="F19" s="1252">
        <f>E19/C19*100</f>
        <v>-15.262599902136683</v>
      </c>
    </row>
    <row r="20" spans="1:6" ht="30.75" hidden="1" customHeight="1" x14ac:dyDescent="0.2">
      <c r="A20" s="1253"/>
      <c r="B20" s="1254" t="s">
        <v>1213</v>
      </c>
      <c r="C20" s="1255"/>
      <c r="D20" s="1235"/>
      <c r="E20" s="1255">
        <f t="shared" si="1"/>
        <v>0</v>
      </c>
      <c r="F20" s="1256" t="e">
        <f>E20/C20*100</f>
        <v>#DIV/0!</v>
      </c>
    </row>
    <row r="21" spans="1:6" ht="30.75" hidden="1" customHeight="1" x14ac:dyDescent="0.2">
      <c r="A21" s="877" t="s">
        <v>1043</v>
      </c>
      <c r="B21" s="878" t="s">
        <v>1172</v>
      </c>
      <c r="C21" s="1257"/>
      <c r="D21" s="1251">
        <v>7029</v>
      </c>
      <c r="E21" s="1257">
        <f t="shared" si="1"/>
        <v>7029</v>
      </c>
      <c r="F21" s="1258"/>
    </row>
    <row r="22" spans="1:6" ht="14.25" customHeight="1" x14ac:dyDescent="0.2">
      <c r="A22" s="1259" t="s">
        <v>1035</v>
      </c>
      <c r="B22" s="1260" t="s">
        <v>1260</v>
      </c>
      <c r="C22" s="1261">
        <f t="shared" ref="C22:D22" si="3">C23+C24+C25</f>
        <v>33400</v>
      </c>
      <c r="D22" s="1262">
        <f t="shared" si="3"/>
        <v>43000</v>
      </c>
      <c r="E22" s="1263">
        <f t="shared" si="1"/>
        <v>9600</v>
      </c>
      <c r="F22" s="1264">
        <f t="shared" ref="F22:F31" si="4">E22/C22*100</f>
        <v>28.742514970059879</v>
      </c>
    </row>
    <row r="23" spans="1:6" ht="12.75" customHeight="1" x14ac:dyDescent="0.2">
      <c r="A23" s="1265" t="s">
        <v>1037</v>
      </c>
      <c r="B23" s="1266" t="s">
        <v>1105</v>
      </c>
      <c r="C23" s="1267">
        <v>1500</v>
      </c>
      <c r="D23" s="1268">
        <v>3508</v>
      </c>
      <c r="E23" s="1269">
        <f t="shared" si="1"/>
        <v>2008</v>
      </c>
      <c r="F23" s="1270">
        <f t="shared" si="4"/>
        <v>133.86666666666667</v>
      </c>
    </row>
    <row r="24" spans="1:6" ht="12.75" customHeight="1" x14ac:dyDescent="0.2">
      <c r="A24" s="1265" t="s">
        <v>1030</v>
      </c>
      <c r="B24" s="1266" t="s">
        <v>1106</v>
      </c>
      <c r="C24" s="1267">
        <v>400</v>
      </c>
      <c r="D24" s="1268">
        <v>471</v>
      </c>
      <c r="E24" s="1269">
        <f t="shared" si="1"/>
        <v>71</v>
      </c>
      <c r="F24" s="1270">
        <f t="shared" si="4"/>
        <v>17.75</v>
      </c>
    </row>
    <row r="25" spans="1:6" ht="12.75" customHeight="1" x14ac:dyDescent="0.2">
      <c r="A25" s="1265" t="s">
        <v>1032</v>
      </c>
      <c r="B25" s="1266" t="s">
        <v>1108</v>
      </c>
      <c r="C25" s="1267">
        <v>31500</v>
      </c>
      <c r="D25" s="1268">
        <v>39021</v>
      </c>
      <c r="E25" s="1269">
        <f t="shared" si="1"/>
        <v>7521</v>
      </c>
      <c r="F25" s="1270">
        <f t="shared" si="4"/>
        <v>23.876190476190477</v>
      </c>
    </row>
    <row r="26" spans="1:6" ht="14.25" customHeight="1" x14ac:dyDescent="0.2">
      <c r="A26" s="1271" t="s">
        <v>1174</v>
      </c>
      <c r="B26" s="1272" t="s">
        <v>1278</v>
      </c>
      <c r="C26" s="1273">
        <f t="shared" ref="C26:D26" si="5">C27+C28+C29</f>
        <v>14613</v>
      </c>
      <c r="D26" s="1274">
        <f t="shared" si="5"/>
        <v>1200</v>
      </c>
      <c r="E26" s="1275">
        <f t="shared" si="1"/>
        <v>-13413</v>
      </c>
      <c r="F26" s="1276">
        <f t="shared" si="4"/>
        <v>-91.788133853418188</v>
      </c>
    </row>
    <row r="27" spans="1:6" x14ac:dyDescent="0.2">
      <c r="A27" s="1265" t="s">
        <v>1176</v>
      </c>
      <c r="B27" s="1277" t="s">
        <v>1177</v>
      </c>
      <c r="C27" s="1267">
        <v>1200</v>
      </c>
      <c r="D27" s="1268">
        <v>1200</v>
      </c>
      <c r="E27" s="1269">
        <f t="shared" si="1"/>
        <v>0</v>
      </c>
      <c r="F27" s="1270">
        <f t="shared" si="4"/>
        <v>0</v>
      </c>
    </row>
    <row r="28" spans="1:6" x14ac:dyDescent="0.2">
      <c r="A28" s="1265" t="s">
        <v>1178</v>
      </c>
      <c r="B28" s="1266" t="s">
        <v>1116</v>
      </c>
      <c r="C28" s="1267">
        <v>490</v>
      </c>
      <c r="D28" s="1268"/>
      <c r="E28" s="1269">
        <f t="shared" si="1"/>
        <v>-490</v>
      </c>
      <c r="F28" s="1270">
        <f t="shared" si="4"/>
        <v>-100</v>
      </c>
    </row>
    <row r="29" spans="1:6" ht="13.5" thickBot="1" x14ac:dyDescent="0.25">
      <c r="A29" s="1278" t="s">
        <v>1179</v>
      </c>
      <c r="B29" s="1279" t="s">
        <v>1180</v>
      </c>
      <c r="C29" s="1267">
        <v>12923</v>
      </c>
      <c r="D29" s="1280"/>
      <c r="E29" s="1281">
        <f t="shared" si="1"/>
        <v>-12923</v>
      </c>
      <c r="F29" s="1282">
        <f t="shared" si="4"/>
        <v>-100</v>
      </c>
    </row>
    <row r="30" spans="1:6" ht="17.25" customHeight="1" thickBot="1" x14ac:dyDescent="0.25">
      <c r="A30" s="1283" t="s">
        <v>1056</v>
      </c>
      <c r="B30" s="1284" t="s">
        <v>1181</v>
      </c>
      <c r="C30" s="1285">
        <f t="shared" ref="C30:D30" si="6">C31+C38+C47+C48</f>
        <v>29983.7</v>
      </c>
      <c r="D30" s="1198">
        <f t="shared" si="6"/>
        <v>47102</v>
      </c>
      <c r="E30" s="1285">
        <f t="shared" si="1"/>
        <v>17118.3</v>
      </c>
      <c r="F30" s="1286">
        <f t="shared" si="4"/>
        <v>57.092019997531985</v>
      </c>
    </row>
    <row r="31" spans="1:6" ht="15" customHeight="1" x14ac:dyDescent="0.2">
      <c r="A31" s="1259" t="s">
        <v>1058</v>
      </c>
      <c r="B31" s="1287" t="s">
        <v>1279</v>
      </c>
      <c r="C31" s="1261">
        <f t="shared" ref="C31:D31" si="7">C32+C33+C34+C35+C36+C37</f>
        <v>4785</v>
      </c>
      <c r="D31" s="1262">
        <f t="shared" si="7"/>
        <v>5903</v>
      </c>
      <c r="E31" s="1263">
        <f t="shared" si="1"/>
        <v>1118</v>
      </c>
      <c r="F31" s="1264">
        <f t="shared" si="4"/>
        <v>23.364681295715776</v>
      </c>
    </row>
    <row r="32" spans="1:6" ht="12.75" hidden="1" customHeight="1" x14ac:dyDescent="0.2">
      <c r="A32" s="1265" t="s">
        <v>1183</v>
      </c>
      <c r="B32" s="1288" t="s">
        <v>1214</v>
      </c>
      <c r="C32" s="1267">
        <v>0</v>
      </c>
      <c r="D32" s="1268">
        <v>0</v>
      </c>
      <c r="E32" s="1269">
        <f t="shared" si="1"/>
        <v>0</v>
      </c>
      <c r="F32" s="1270"/>
    </row>
    <row r="33" spans="1:6" ht="12.75" customHeight="1" x14ac:dyDescent="0.2">
      <c r="A33" s="1265" t="s">
        <v>1183</v>
      </c>
      <c r="B33" s="1288" t="s">
        <v>1118</v>
      </c>
      <c r="C33" s="1267">
        <v>15</v>
      </c>
      <c r="D33" s="1268"/>
      <c r="E33" s="1269">
        <f t="shared" si="1"/>
        <v>-15</v>
      </c>
      <c r="F33" s="1270"/>
    </row>
    <row r="34" spans="1:6" ht="12.75" customHeight="1" x14ac:dyDescent="0.2">
      <c r="A34" s="1289" t="s">
        <v>1185</v>
      </c>
      <c r="B34" s="1290" t="s">
        <v>1184</v>
      </c>
      <c r="C34" s="1267"/>
      <c r="D34" s="1268">
        <v>943</v>
      </c>
      <c r="E34" s="1269">
        <f t="shared" si="1"/>
        <v>943</v>
      </c>
      <c r="F34" s="1270"/>
    </row>
    <row r="35" spans="1:6" hidden="1" x14ac:dyDescent="0.2">
      <c r="A35" s="1265"/>
      <c r="B35" s="1288"/>
      <c r="C35" s="1267">
        <v>0</v>
      </c>
      <c r="D35" s="1268">
        <v>0</v>
      </c>
      <c r="E35" s="1269">
        <f t="shared" si="1"/>
        <v>0</v>
      </c>
      <c r="F35" s="1270" t="e">
        <f t="shared" ref="F35:F41" si="8">E35/C35*100</f>
        <v>#DIV/0!</v>
      </c>
    </row>
    <row r="36" spans="1:6" ht="12.75" customHeight="1" x14ac:dyDescent="0.2">
      <c r="A36" s="1289" t="s">
        <v>1186</v>
      </c>
      <c r="B36" s="1290" t="s">
        <v>1112</v>
      </c>
      <c r="C36" s="1267">
        <v>4600</v>
      </c>
      <c r="D36" s="1268">
        <v>4600</v>
      </c>
      <c r="E36" s="1269">
        <f t="shared" si="1"/>
        <v>0</v>
      </c>
      <c r="F36" s="1270">
        <f t="shared" si="8"/>
        <v>0</v>
      </c>
    </row>
    <row r="37" spans="1:6" ht="12.75" customHeight="1" x14ac:dyDescent="0.2">
      <c r="A37" s="1265" t="s">
        <v>1215</v>
      </c>
      <c r="B37" s="1288" t="s">
        <v>1187</v>
      </c>
      <c r="C37" s="1267">
        <v>170</v>
      </c>
      <c r="D37" s="1268">
        <v>360</v>
      </c>
      <c r="E37" s="1269">
        <f t="shared" si="1"/>
        <v>190</v>
      </c>
      <c r="F37" s="1270">
        <f t="shared" si="8"/>
        <v>111.76470588235294</v>
      </c>
    </row>
    <row r="38" spans="1:6" ht="15" customHeight="1" x14ac:dyDescent="0.2">
      <c r="A38" s="1271" t="s">
        <v>1060</v>
      </c>
      <c r="B38" s="1291" t="s">
        <v>1280</v>
      </c>
      <c r="C38" s="1273">
        <f>+C39++C44+C45+C46</f>
        <v>21298.7</v>
      </c>
      <c r="D38" s="1274">
        <f>+D39++D44+D45+D46</f>
        <v>37968</v>
      </c>
      <c r="E38" s="1275">
        <f t="shared" si="1"/>
        <v>16669.3</v>
      </c>
      <c r="F38" s="1276">
        <f t="shared" si="8"/>
        <v>78.264401113682993</v>
      </c>
    </row>
    <row r="39" spans="1:6" ht="12.75" customHeight="1" x14ac:dyDescent="0.2">
      <c r="A39" s="1292" t="s">
        <v>1189</v>
      </c>
      <c r="B39" s="1293" t="s">
        <v>1190</v>
      </c>
      <c r="C39" s="1267">
        <f>C40+C41+C42</f>
        <v>5690.6</v>
      </c>
      <c r="D39" s="1268">
        <f>D40+D41+D42</f>
        <v>3060.1</v>
      </c>
      <c r="E39" s="1269">
        <f t="shared" si="1"/>
        <v>-2630.5000000000005</v>
      </c>
      <c r="F39" s="1270">
        <f t="shared" si="8"/>
        <v>-46.225354092714305</v>
      </c>
    </row>
    <row r="40" spans="1:6" ht="12.75" customHeight="1" x14ac:dyDescent="0.2">
      <c r="A40" s="1265"/>
      <c r="B40" s="1294" t="s">
        <v>1216</v>
      </c>
      <c r="C40" s="1267">
        <v>2000</v>
      </c>
      <c r="D40" s="1268">
        <v>2300</v>
      </c>
      <c r="E40" s="1269">
        <f t="shared" si="1"/>
        <v>300</v>
      </c>
      <c r="F40" s="1270">
        <f t="shared" si="8"/>
        <v>15</v>
      </c>
    </row>
    <row r="41" spans="1:6" ht="12.75" customHeight="1" x14ac:dyDescent="0.2">
      <c r="A41" s="1265"/>
      <c r="B41" s="1294" t="s">
        <v>1217</v>
      </c>
      <c r="C41" s="1267">
        <v>690.6</v>
      </c>
      <c r="D41" s="1268">
        <v>760.1</v>
      </c>
      <c r="E41" s="1269">
        <f t="shared" si="1"/>
        <v>69.5</v>
      </c>
      <c r="F41" s="1270">
        <f t="shared" si="8"/>
        <v>10.063712713582392</v>
      </c>
    </row>
    <row r="42" spans="1:6" ht="12.75" customHeight="1" x14ac:dyDescent="0.2">
      <c r="A42" s="1265"/>
      <c r="B42" s="1295" t="s">
        <v>1218</v>
      </c>
      <c r="C42" s="1267">
        <v>3000</v>
      </c>
      <c r="D42" s="1268"/>
      <c r="E42" s="1269"/>
      <c r="F42" s="1270"/>
    </row>
    <row r="43" spans="1:6" hidden="1" x14ac:dyDescent="0.2">
      <c r="A43" s="1265" t="s">
        <v>1192</v>
      </c>
      <c r="B43" s="1294" t="s">
        <v>1143</v>
      </c>
      <c r="C43" s="1267"/>
      <c r="D43" s="1268"/>
      <c r="E43" s="1269">
        <f t="shared" ref="E43:E76" si="9">D43-C43</f>
        <v>0</v>
      </c>
      <c r="F43" s="1270" t="e">
        <f t="shared" ref="F43:F57" si="10">E43/C43*100</f>
        <v>#DIV/0!</v>
      </c>
    </row>
    <row r="44" spans="1:6" ht="12.75" customHeight="1" x14ac:dyDescent="0.2">
      <c r="A44" s="1265" t="s">
        <v>1192</v>
      </c>
      <c r="B44" s="1295" t="s">
        <v>1145</v>
      </c>
      <c r="C44" s="1267">
        <f>15236.2+371.9</f>
        <v>15608.1</v>
      </c>
      <c r="D44" s="1268">
        <f>15718.8+367.1</f>
        <v>16085.9</v>
      </c>
      <c r="E44" s="1269">
        <f t="shared" si="9"/>
        <v>477.79999999999927</v>
      </c>
      <c r="F44" s="1270">
        <f t="shared" si="10"/>
        <v>3.0612310274793169</v>
      </c>
    </row>
    <row r="45" spans="1:6" ht="12.75" customHeight="1" x14ac:dyDescent="0.2">
      <c r="A45" s="1289" t="s">
        <v>1193</v>
      </c>
      <c r="B45" s="1296" t="s">
        <v>1116</v>
      </c>
      <c r="C45" s="1267"/>
      <c r="D45" s="1268">
        <v>490</v>
      </c>
      <c r="E45" s="1269">
        <f t="shared" si="9"/>
        <v>490</v>
      </c>
      <c r="F45" s="1270"/>
    </row>
    <row r="46" spans="1:6" ht="12.75" customHeight="1" x14ac:dyDescent="0.2">
      <c r="A46" s="1289" t="s">
        <v>1194</v>
      </c>
      <c r="B46" s="1297" t="s">
        <v>1180</v>
      </c>
      <c r="C46" s="1267"/>
      <c r="D46" s="1268">
        <f>31132-12800</f>
        <v>18332</v>
      </c>
      <c r="E46" s="1269">
        <f t="shared" si="9"/>
        <v>18332</v>
      </c>
      <c r="F46" s="1270"/>
    </row>
    <row r="47" spans="1:6" ht="13.5" customHeight="1" x14ac:dyDescent="0.2">
      <c r="A47" s="1298" t="s">
        <v>1107</v>
      </c>
      <c r="B47" s="1299" t="s">
        <v>1120</v>
      </c>
      <c r="C47" s="1273">
        <v>1688</v>
      </c>
      <c r="D47" s="1274">
        <v>1688</v>
      </c>
      <c r="E47" s="1275">
        <f t="shared" si="9"/>
        <v>0</v>
      </c>
      <c r="F47" s="1276">
        <f t="shared" si="10"/>
        <v>0</v>
      </c>
    </row>
    <row r="48" spans="1:6" ht="13.5" customHeight="1" x14ac:dyDescent="0.2">
      <c r="A48" s="1300" t="s">
        <v>1109</v>
      </c>
      <c r="B48" s="1301" t="s">
        <v>1195</v>
      </c>
      <c r="C48" s="1273">
        <f t="shared" ref="C48:D48" si="11">C49+C50+C51</f>
        <v>2212</v>
      </c>
      <c r="D48" s="1274">
        <f t="shared" si="11"/>
        <v>1543</v>
      </c>
      <c r="E48" s="1275">
        <f t="shared" si="9"/>
        <v>-669</v>
      </c>
      <c r="F48" s="1276">
        <f t="shared" si="10"/>
        <v>-30.244122965641949</v>
      </c>
    </row>
    <row r="49" spans="1:6" ht="12.75" customHeight="1" x14ac:dyDescent="0.2">
      <c r="A49" s="1302"/>
      <c r="B49" s="1303" t="s">
        <v>1219</v>
      </c>
      <c r="C49" s="1267">
        <v>1262</v>
      </c>
      <c r="D49" s="1268">
        <v>443</v>
      </c>
      <c r="E49" s="1269">
        <f t="shared" si="9"/>
        <v>-819</v>
      </c>
      <c r="F49" s="1270">
        <f t="shared" si="10"/>
        <v>-64.896988906497626</v>
      </c>
    </row>
    <row r="50" spans="1:6" ht="12.75" customHeight="1" x14ac:dyDescent="0.2">
      <c r="A50" s="1302"/>
      <c r="B50" s="1303" t="s">
        <v>1197</v>
      </c>
      <c r="C50" s="1267">
        <v>150</v>
      </c>
      <c r="D50" s="1268">
        <v>200</v>
      </c>
      <c r="E50" s="1269">
        <f t="shared" si="9"/>
        <v>50</v>
      </c>
      <c r="F50" s="1270">
        <f t="shared" si="10"/>
        <v>33.333333333333329</v>
      </c>
    </row>
    <row r="51" spans="1:6" ht="12.75" customHeight="1" thickBot="1" x14ac:dyDescent="0.25">
      <c r="A51" s="1304"/>
      <c r="B51" s="1305" t="s">
        <v>1198</v>
      </c>
      <c r="C51" s="1306">
        <v>800</v>
      </c>
      <c r="D51" s="1307">
        <v>900</v>
      </c>
      <c r="E51" s="1308">
        <f t="shared" si="9"/>
        <v>100</v>
      </c>
      <c r="F51" s="1309">
        <f t="shared" si="10"/>
        <v>12.5</v>
      </c>
    </row>
    <row r="52" spans="1:6" ht="25.5" customHeight="1" thickBot="1" x14ac:dyDescent="0.25">
      <c r="A52" s="1283" t="s">
        <v>1071</v>
      </c>
      <c r="B52" s="1310" t="s">
        <v>1199</v>
      </c>
      <c r="C52" s="1285">
        <f t="shared" ref="C52:D52" si="12">C54+C55+C56</f>
        <v>11450</v>
      </c>
      <c r="D52" s="1198">
        <f t="shared" si="12"/>
        <v>10322</v>
      </c>
      <c r="E52" s="1285">
        <f t="shared" si="9"/>
        <v>-1128</v>
      </c>
      <c r="F52" s="1286">
        <f t="shared" si="10"/>
        <v>-9.8515283842794759</v>
      </c>
    </row>
    <row r="53" spans="1:6" ht="14.25" hidden="1" customHeight="1" x14ac:dyDescent="0.2">
      <c r="A53" s="1311" t="s">
        <v>1115</v>
      </c>
      <c r="B53" s="1312" t="s">
        <v>1220</v>
      </c>
      <c r="C53" s="1313" t="e">
        <f>B53+#REF!</f>
        <v>#VALUE!</v>
      </c>
      <c r="D53" s="1314" t="e">
        <f>#REF!+#REF!</f>
        <v>#REF!</v>
      </c>
      <c r="E53" s="1315" t="e">
        <f t="shared" si="9"/>
        <v>#REF!</v>
      </c>
      <c r="F53" s="1316" t="e">
        <f t="shared" si="10"/>
        <v>#REF!</v>
      </c>
    </row>
    <row r="54" spans="1:6" ht="13.5" customHeight="1" x14ac:dyDescent="0.2">
      <c r="A54" s="1302" t="s">
        <v>1115</v>
      </c>
      <c r="B54" s="1317" t="s">
        <v>1200</v>
      </c>
      <c r="C54" s="1267">
        <v>2450</v>
      </c>
      <c r="D54" s="1268">
        <v>1750</v>
      </c>
      <c r="E54" s="1269">
        <f t="shared" si="9"/>
        <v>-700</v>
      </c>
      <c r="F54" s="1270">
        <f t="shared" si="10"/>
        <v>-28.571428571428569</v>
      </c>
    </row>
    <row r="55" spans="1:6" ht="23.25" customHeight="1" x14ac:dyDescent="0.2">
      <c r="A55" s="1302" t="s">
        <v>1117</v>
      </c>
      <c r="B55" s="1318" t="s">
        <v>1221</v>
      </c>
      <c r="C55" s="1267">
        <v>1000</v>
      </c>
      <c r="D55" s="1268">
        <v>2572</v>
      </c>
      <c r="E55" s="1269">
        <f t="shared" si="9"/>
        <v>1572</v>
      </c>
      <c r="F55" s="1270">
        <f t="shared" si="10"/>
        <v>157.20000000000002</v>
      </c>
    </row>
    <row r="56" spans="1:6" ht="27" customHeight="1" thickBot="1" x14ac:dyDescent="0.25">
      <c r="A56" s="1319" t="s">
        <v>1119</v>
      </c>
      <c r="B56" s="1320" t="s">
        <v>1222</v>
      </c>
      <c r="C56" s="1321">
        <v>8000</v>
      </c>
      <c r="D56" s="1322">
        <v>6000</v>
      </c>
      <c r="E56" s="1323">
        <f t="shared" si="9"/>
        <v>-2000</v>
      </c>
      <c r="F56" s="1324">
        <f t="shared" si="10"/>
        <v>-25</v>
      </c>
    </row>
    <row r="57" spans="1:6" ht="30.75" customHeight="1" thickBot="1" x14ac:dyDescent="0.25">
      <c r="A57" s="1325"/>
      <c r="B57" s="1326" t="s">
        <v>1223</v>
      </c>
      <c r="C57" s="1327">
        <f t="shared" ref="C57:D57" si="13">C6+C30+C52</f>
        <v>333594.7</v>
      </c>
      <c r="D57" s="1327">
        <f t="shared" si="13"/>
        <v>390842</v>
      </c>
      <c r="E57" s="1327">
        <f t="shared" si="9"/>
        <v>57247.299999999988</v>
      </c>
      <c r="F57" s="1168">
        <f t="shared" si="10"/>
        <v>17.160734268260253</v>
      </c>
    </row>
    <row r="58" spans="1:6" ht="30" customHeight="1" thickBot="1" x14ac:dyDescent="0.25">
      <c r="A58" s="1328" t="s">
        <v>1128</v>
      </c>
      <c r="B58" s="1329" t="s">
        <v>1224</v>
      </c>
      <c r="C58" s="1330">
        <f>C59+C60</f>
        <v>1863</v>
      </c>
      <c r="D58" s="1198">
        <f>D59+D60</f>
        <v>0</v>
      </c>
      <c r="E58" s="1330">
        <f t="shared" si="9"/>
        <v>-1863</v>
      </c>
      <c r="F58" s="1331"/>
    </row>
    <row r="59" spans="1:6" ht="24" hidden="1" customHeight="1" x14ac:dyDescent="0.2">
      <c r="A59" s="1332" t="s">
        <v>1130</v>
      </c>
      <c r="B59" s="1333" t="s">
        <v>1131</v>
      </c>
      <c r="C59" s="1334">
        <v>1543</v>
      </c>
      <c r="D59" s="1335"/>
      <c r="E59" s="1334">
        <f t="shared" si="9"/>
        <v>-1543</v>
      </c>
      <c r="F59" s="1336"/>
    </row>
    <row r="60" spans="1:6" ht="14.25" hidden="1" customHeight="1" x14ac:dyDescent="0.2">
      <c r="A60" s="1337" t="s">
        <v>1132</v>
      </c>
      <c r="B60" s="1338" t="s">
        <v>1133</v>
      </c>
      <c r="C60" s="1267">
        <v>320</v>
      </c>
      <c r="D60" s="1268"/>
      <c r="E60" s="1267">
        <f t="shared" si="9"/>
        <v>-320</v>
      </c>
      <c r="F60" s="1339"/>
    </row>
    <row r="61" spans="1:6" ht="30" customHeight="1" thickBot="1" x14ac:dyDescent="0.25">
      <c r="A61" s="1340"/>
      <c r="B61" s="1341" t="s">
        <v>1225</v>
      </c>
      <c r="C61" s="1342">
        <f>C57+C58</f>
        <v>335457.7</v>
      </c>
      <c r="D61" s="1342">
        <f>D57+D58</f>
        <v>390842</v>
      </c>
      <c r="E61" s="1342">
        <f t="shared" si="9"/>
        <v>55384.299999999988</v>
      </c>
      <c r="F61" s="1343">
        <f t="shared" ref="F61:F76" si="14">E61/C61*100</f>
        <v>16.510069674954543</v>
      </c>
    </row>
    <row r="62" spans="1:6" ht="26.25" customHeight="1" thickBot="1" x14ac:dyDescent="0.25">
      <c r="A62" s="1344" t="s">
        <v>1073</v>
      </c>
      <c r="B62" s="1345" t="s">
        <v>1226</v>
      </c>
      <c r="C62" s="1285">
        <f>+C63+C73</f>
        <v>133843.79999999999</v>
      </c>
      <c r="D62" s="1198">
        <f>+D63+D73</f>
        <v>161106.19999999998</v>
      </c>
      <c r="E62" s="1285">
        <f t="shared" si="9"/>
        <v>27262.399999999994</v>
      </c>
      <c r="F62" s="1286">
        <f t="shared" si="14"/>
        <v>20.368817980362181</v>
      </c>
    </row>
    <row r="63" spans="1:6" ht="27.75" customHeight="1" thickBot="1" x14ac:dyDescent="0.25">
      <c r="A63" s="1346" t="s">
        <v>1227</v>
      </c>
      <c r="B63" s="1347" t="s">
        <v>1265</v>
      </c>
      <c r="C63" s="1330">
        <f>+C64+C65+C66+C67+C68+C69+C70+C71</f>
        <v>133543.79999999999</v>
      </c>
      <c r="D63" s="1348">
        <f>+D64+D65+D66+D67+D68+D69+D70+D71</f>
        <v>158718.39999999999</v>
      </c>
      <c r="E63" s="1330">
        <f t="shared" si="9"/>
        <v>25174.600000000006</v>
      </c>
      <c r="F63" s="1331">
        <f t="shared" si="14"/>
        <v>18.851193391231945</v>
      </c>
    </row>
    <row r="64" spans="1:6" ht="26.25" customHeight="1" x14ac:dyDescent="0.2">
      <c r="A64" s="1349" t="s">
        <v>1228</v>
      </c>
      <c r="B64" s="1350" t="s">
        <v>1229</v>
      </c>
      <c r="C64" s="1351">
        <v>12254.4</v>
      </c>
      <c r="D64" s="1352">
        <v>12202</v>
      </c>
      <c r="E64" s="1353">
        <f t="shared" si="9"/>
        <v>-52.399999999999636</v>
      </c>
      <c r="F64" s="1354">
        <f t="shared" si="14"/>
        <v>-0.42760151455803336</v>
      </c>
    </row>
    <row r="65" spans="1:8" ht="15" customHeight="1" x14ac:dyDescent="0.2">
      <c r="A65" s="1349" t="s">
        <v>1230</v>
      </c>
      <c r="B65" s="1355" t="s">
        <v>1231</v>
      </c>
      <c r="C65" s="1356">
        <v>116428.9</v>
      </c>
      <c r="D65" s="1357">
        <v>124901.3</v>
      </c>
      <c r="E65" s="1269">
        <f t="shared" si="9"/>
        <v>8472.4000000000087</v>
      </c>
      <c r="F65" s="1270">
        <f t="shared" si="14"/>
        <v>7.2768874394587684</v>
      </c>
      <c r="H65" s="762"/>
    </row>
    <row r="66" spans="1:8" ht="15" customHeight="1" x14ac:dyDescent="0.2">
      <c r="A66" s="1349" t="s">
        <v>1232</v>
      </c>
      <c r="B66" s="1358" t="s">
        <v>1233</v>
      </c>
      <c r="C66" s="1356">
        <v>561</v>
      </c>
      <c r="D66" s="1357">
        <v>525.4</v>
      </c>
      <c r="E66" s="1269">
        <f t="shared" si="9"/>
        <v>-35.600000000000023</v>
      </c>
      <c r="F66" s="1270">
        <f t="shared" si="14"/>
        <v>-6.345811051693409</v>
      </c>
      <c r="H66" s="762"/>
    </row>
    <row r="67" spans="1:8" ht="24" x14ac:dyDescent="0.2">
      <c r="A67" s="1349" t="s">
        <v>1234</v>
      </c>
      <c r="B67" s="1358" t="s">
        <v>1235</v>
      </c>
      <c r="C67" s="1356">
        <v>2111</v>
      </c>
      <c r="D67" s="1359">
        <v>2489.6999999999998</v>
      </c>
      <c r="E67" s="1269">
        <f t="shared" si="9"/>
        <v>378.69999999999982</v>
      </c>
      <c r="F67" s="1270">
        <f t="shared" si="14"/>
        <v>17.939365229748923</v>
      </c>
    </row>
    <row r="68" spans="1:8" ht="25.5" hidden="1" customHeight="1" x14ac:dyDescent="0.2">
      <c r="A68" s="1360" t="s">
        <v>1236</v>
      </c>
      <c r="B68" s="1361" t="s">
        <v>1237</v>
      </c>
      <c r="C68" s="1362">
        <v>804</v>
      </c>
      <c r="D68" s="1359"/>
      <c r="E68" s="1353">
        <f t="shared" si="9"/>
        <v>-804</v>
      </c>
      <c r="F68" s="1354">
        <f t="shared" si="14"/>
        <v>-100</v>
      </c>
    </row>
    <row r="69" spans="1:8" ht="36" hidden="1" x14ac:dyDescent="0.2">
      <c r="A69" s="1337" t="s">
        <v>1238</v>
      </c>
      <c r="B69" s="1363" t="s">
        <v>1239</v>
      </c>
      <c r="C69" s="1362"/>
      <c r="D69" s="1359"/>
      <c r="E69" s="1353">
        <f t="shared" si="9"/>
        <v>0</v>
      </c>
      <c r="F69" s="1354" t="e">
        <f t="shared" si="14"/>
        <v>#DIV/0!</v>
      </c>
    </row>
    <row r="70" spans="1:8" hidden="1" x14ac:dyDescent="0.2">
      <c r="A70" s="1364" t="s">
        <v>1240</v>
      </c>
      <c r="B70" s="1365" t="s">
        <v>1241</v>
      </c>
      <c r="C70" s="1366">
        <v>0</v>
      </c>
      <c r="D70" s="1367">
        <v>0</v>
      </c>
      <c r="E70" s="1368">
        <f t="shared" si="9"/>
        <v>0</v>
      </c>
      <c r="F70" s="1215" t="e">
        <f t="shared" si="14"/>
        <v>#DIV/0!</v>
      </c>
    </row>
    <row r="71" spans="1:8" ht="15" customHeight="1" x14ac:dyDescent="0.2">
      <c r="A71" s="1337" t="s">
        <v>1236</v>
      </c>
      <c r="B71" s="1363" t="s">
        <v>1242</v>
      </c>
      <c r="C71" s="1356">
        <v>1384.5</v>
      </c>
      <c r="D71" s="1369">
        <f>+D72</f>
        <v>18600</v>
      </c>
      <c r="E71" s="1269">
        <f t="shared" si="9"/>
        <v>17215.5</v>
      </c>
      <c r="F71" s="1270"/>
    </row>
    <row r="72" spans="1:8" ht="39" customHeight="1" thickBot="1" x14ac:dyDescent="0.25">
      <c r="A72" s="1370"/>
      <c r="B72" s="1371" t="s">
        <v>1243</v>
      </c>
      <c r="C72" s="1372"/>
      <c r="D72" s="1373">
        <v>18600</v>
      </c>
      <c r="E72" s="1323">
        <f t="shared" si="9"/>
        <v>18600</v>
      </c>
      <c r="F72" s="1324"/>
    </row>
    <row r="73" spans="1:8" ht="26.25" customHeight="1" thickBot="1" x14ac:dyDescent="0.25">
      <c r="A73" s="1328" t="s">
        <v>1244</v>
      </c>
      <c r="B73" s="1374" t="s">
        <v>1074</v>
      </c>
      <c r="C73" s="1375">
        <f>+C74+C75</f>
        <v>300</v>
      </c>
      <c r="D73" s="1376">
        <f>+D74+D75</f>
        <v>2387.8000000000002</v>
      </c>
      <c r="E73" s="1330">
        <f t="shared" si="9"/>
        <v>2087.8000000000002</v>
      </c>
      <c r="F73" s="1331">
        <f t="shared" si="14"/>
        <v>695.93333333333339</v>
      </c>
    </row>
    <row r="74" spans="1:8" ht="15" customHeight="1" x14ac:dyDescent="0.2">
      <c r="A74" s="1377" t="s">
        <v>1245</v>
      </c>
      <c r="B74" s="1378" t="s">
        <v>1246</v>
      </c>
      <c r="C74" s="1379">
        <v>300</v>
      </c>
      <c r="D74" s="1380">
        <v>2227.9</v>
      </c>
      <c r="E74" s="1381">
        <f t="shared" si="9"/>
        <v>1927.9</v>
      </c>
      <c r="F74" s="1382">
        <f t="shared" si="14"/>
        <v>642.63333333333344</v>
      </c>
    </row>
    <row r="75" spans="1:8" ht="15" customHeight="1" thickBot="1" x14ac:dyDescent="0.25">
      <c r="A75" s="1383" t="s">
        <v>1247</v>
      </c>
      <c r="B75" s="1384" t="s">
        <v>1248</v>
      </c>
      <c r="C75" s="1385"/>
      <c r="D75" s="1386">
        <v>159.9</v>
      </c>
      <c r="E75" s="1387">
        <f t="shared" si="9"/>
        <v>159.9</v>
      </c>
      <c r="F75" s="1388"/>
    </row>
    <row r="76" spans="1:8" ht="30" customHeight="1" thickBot="1" x14ac:dyDescent="0.25">
      <c r="A76" s="1389"/>
      <c r="B76" s="1390" t="s">
        <v>1249</v>
      </c>
      <c r="C76" s="1391">
        <f>+C61+C62</f>
        <v>469301.5</v>
      </c>
      <c r="D76" s="1391">
        <f>+D61+D62</f>
        <v>551948.19999999995</v>
      </c>
      <c r="E76" s="1391">
        <f t="shared" si="9"/>
        <v>82646.699999999953</v>
      </c>
      <c r="F76" s="1392">
        <f t="shared" si="14"/>
        <v>17.610576569646582</v>
      </c>
    </row>
    <row r="77" spans="1:8" ht="20.25" hidden="1" customHeight="1" x14ac:dyDescent="0.2">
      <c r="A77" s="1513" t="s">
        <v>1250</v>
      </c>
      <c r="B77" s="1513"/>
      <c r="C77" s="1513"/>
      <c r="D77" s="1513"/>
      <c r="E77" s="1513"/>
      <c r="F77" s="1513"/>
    </row>
    <row r="78" spans="1:8" ht="25.5" hidden="1" customHeight="1" x14ac:dyDescent="0.2">
      <c r="A78" s="1514" t="s">
        <v>1251</v>
      </c>
      <c r="B78" s="1514"/>
      <c r="C78" s="1514"/>
      <c r="D78" s="1514"/>
      <c r="E78" s="1514"/>
      <c r="F78" s="1514"/>
    </row>
    <row r="79" spans="1:8" ht="19.5" hidden="1" customHeight="1" x14ac:dyDescent="0.2">
      <c r="A79" s="1505" t="s">
        <v>1252</v>
      </c>
      <c r="B79" s="1505"/>
      <c r="C79" s="1505"/>
      <c r="D79" s="1505"/>
      <c r="E79" s="1505"/>
      <c r="F79" s="1505"/>
    </row>
    <row r="80" spans="1:8" x14ac:dyDescent="0.2">
      <c r="A80" s="1010"/>
      <c r="B80" s="1010"/>
    </row>
    <row r="81" spans="1:2" x14ac:dyDescent="0.2">
      <c r="A81" s="1010"/>
      <c r="B81" s="1010"/>
    </row>
    <row r="82" spans="1:2" x14ac:dyDescent="0.2">
      <c r="A82" s="1010"/>
      <c r="B82" s="1010"/>
    </row>
    <row r="83" spans="1:2" x14ac:dyDescent="0.2">
      <c r="A83" s="1010"/>
      <c r="B83" s="1010"/>
    </row>
    <row r="84" spans="1:2" x14ac:dyDescent="0.2">
      <c r="A84" s="1010"/>
      <c r="B84" s="1010"/>
    </row>
    <row r="85" spans="1:2" x14ac:dyDescent="0.2">
      <c r="A85" s="1010"/>
      <c r="B85" s="1010"/>
    </row>
    <row r="86" spans="1:2" x14ac:dyDescent="0.2">
      <c r="A86" s="1010"/>
      <c r="B86" s="1010"/>
    </row>
    <row r="87" spans="1:2" x14ac:dyDescent="0.2">
      <c r="A87" s="1010"/>
      <c r="B87" s="1010"/>
    </row>
    <row r="88" spans="1:2" x14ac:dyDescent="0.2">
      <c r="A88" s="1010"/>
      <c r="B88" s="1010"/>
    </row>
    <row r="89" spans="1:2" x14ac:dyDescent="0.2">
      <c r="A89" s="1010"/>
      <c r="B89" s="1010"/>
    </row>
    <row r="90" spans="1:2" x14ac:dyDescent="0.2">
      <c r="A90" s="1010"/>
      <c r="B90" s="1010"/>
    </row>
    <row r="91" spans="1:2" x14ac:dyDescent="0.2">
      <c r="A91" s="1010"/>
      <c r="B91" s="1010"/>
    </row>
    <row r="92" spans="1:2" x14ac:dyDescent="0.2">
      <c r="A92" s="1010"/>
      <c r="B92" s="1010"/>
    </row>
    <row r="93" spans="1:2" x14ac:dyDescent="0.2">
      <c r="A93" s="1010"/>
      <c r="B93" s="1010"/>
    </row>
    <row r="94" spans="1:2" x14ac:dyDescent="0.2">
      <c r="A94" s="1010"/>
      <c r="B94" s="1010"/>
    </row>
    <row r="95" spans="1:2" x14ac:dyDescent="0.2">
      <c r="A95" s="1010"/>
      <c r="B95" s="1010"/>
    </row>
    <row r="96" spans="1:2" x14ac:dyDescent="0.2">
      <c r="A96" s="1010"/>
      <c r="B96" s="1010"/>
    </row>
    <row r="97" spans="1:2" x14ac:dyDescent="0.2">
      <c r="A97" s="1010"/>
      <c r="B97" s="1010"/>
    </row>
    <row r="98" spans="1:2" x14ac:dyDescent="0.2">
      <c r="A98" s="1010"/>
      <c r="B98" s="1010"/>
    </row>
    <row r="99" spans="1:2" x14ac:dyDescent="0.2">
      <c r="A99" s="1010"/>
      <c r="B99" s="1010"/>
    </row>
    <row r="100" spans="1:2" x14ac:dyDescent="0.2">
      <c r="A100" s="1010"/>
      <c r="B100" s="1010"/>
    </row>
    <row r="101" spans="1:2" x14ac:dyDescent="0.2">
      <c r="A101" s="1010"/>
      <c r="B101" s="1010"/>
    </row>
    <row r="102" spans="1:2" x14ac:dyDescent="0.2">
      <c r="A102" s="1010"/>
      <c r="B102" s="1010"/>
    </row>
    <row r="103" spans="1:2" x14ac:dyDescent="0.2">
      <c r="A103" s="1010"/>
      <c r="B103" s="1010"/>
    </row>
    <row r="104" spans="1:2" x14ac:dyDescent="0.2">
      <c r="A104" s="1010"/>
      <c r="B104" s="1010"/>
    </row>
    <row r="105" spans="1:2" x14ac:dyDescent="0.2">
      <c r="A105" s="1010"/>
      <c r="B105" s="1010"/>
    </row>
    <row r="106" spans="1:2" x14ac:dyDescent="0.2">
      <c r="A106" s="1010"/>
      <c r="B106" s="1010"/>
    </row>
    <row r="107" spans="1:2" x14ac:dyDescent="0.2">
      <c r="A107" s="1010"/>
      <c r="B107" s="1010"/>
    </row>
    <row r="108" spans="1:2" x14ac:dyDescent="0.2">
      <c r="A108" s="1010"/>
      <c r="B108" s="1010"/>
    </row>
    <row r="109" spans="1:2" x14ac:dyDescent="0.2">
      <c r="A109" s="1010"/>
      <c r="B109" s="1010"/>
    </row>
    <row r="110" spans="1:2" x14ac:dyDescent="0.2">
      <c r="A110" s="1010"/>
      <c r="B110" s="1010"/>
    </row>
    <row r="111" spans="1:2" x14ac:dyDescent="0.2">
      <c r="A111" s="1010"/>
      <c r="B111" s="1010"/>
    </row>
    <row r="112" spans="1:2" x14ac:dyDescent="0.2">
      <c r="A112" s="1010"/>
      <c r="B112" s="1010"/>
    </row>
    <row r="113" spans="1:2" x14ac:dyDescent="0.2">
      <c r="A113" s="1010"/>
      <c r="B113" s="1010"/>
    </row>
    <row r="114" spans="1:2" x14ac:dyDescent="0.2">
      <c r="A114" s="1010"/>
      <c r="B114" s="1010"/>
    </row>
    <row r="115" spans="1:2" x14ac:dyDescent="0.2">
      <c r="A115" s="1010"/>
      <c r="B115" s="1010"/>
    </row>
    <row r="116" spans="1:2" x14ac:dyDescent="0.2">
      <c r="A116" s="1010"/>
      <c r="B116" s="1010"/>
    </row>
    <row r="117" spans="1:2" x14ac:dyDescent="0.2">
      <c r="A117" s="1010"/>
      <c r="B117" s="1010"/>
    </row>
    <row r="118" spans="1:2" x14ac:dyDescent="0.2">
      <c r="A118" s="1010"/>
      <c r="B118" s="1010"/>
    </row>
    <row r="119" spans="1:2" x14ac:dyDescent="0.2">
      <c r="A119" s="1010"/>
      <c r="B119" s="1010"/>
    </row>
    <row r="120" spans="1:2" x14ac:dyDescent="0.2">
      <c r="A120" s="1010"/>
      <c r="B120" s="1010"/>
    </row>
    <row r="121" spans="1:2" x14ac:dyDescent="0.2">
      <c r="A121" s="1010"/>
      <c r="B121" s="1010"/>
    </row>
    <row r="122" spans="1:2" x14ac:dyDescent="0.2">
      <c r="A122" s="1010"/>
      <c r="B122" s="1010"/>
    </row>
    <row r="123" spans="1:2" x14ac:dyDescent="0.2">
      <c r="A123" s="1010"/>
      <c r="B123" s="1010"/>
    </row>
    <row r="124" spans="1:2" x14ac:dyDescent="0.2">
      <c r="A124" s="1010"/>
      <c r="B124" s="1010"/>
    </row>
    <row r="125" spans="1:2" x14ac:dyDescent="0.2">
      <c r="A125" s="1010"/>
      <c r="B125" s="1010"/>
    </row>
    <row r="126" spans="1:2" x14ac:dyDescent="0.2">
      <c r="A126" s="1010"/>
      <c r="B126" s="1010"/>
    </row>
    <row r="127" spans="1:2" x14ac:dyDescent="0.2">
      <c r="A127" s="1010"/>
      <c r="B127" s="1010"/>
    </row>
    <row r="128" spans="1:2" x14ac:dyDescent="0.2">
      <c r="A128" s="1010"/>
      <c r="B128" s="1010"/>
    </row>
    <row r="129" spans="1:2" x14ac:dyDescent="0.2">
      <c r="A129" s="1010"/>
      <c r="B129" s="1010"/>
    </row>
    <row r="130" spans="1:2" x14ac:dyDescent="0.2">
      <c r="A130" s="1010"/>
      <c r="B130" s="1010"/>
    </row>
    <row r="131" spans="1:2" x14ac:dyDescent="0.2">
      <c r="A131" s="1010"/>
      <c r="B131" s="1010"/>
    </row>
    <row r="132" spans="1:2" x14ac:dyDescent="0.2">
      <c r="A132" s="1010"/>
      <c r="B132" s="1010"/>
    </row>
    <row r="133" spans="1:2" x14ac:dyDescent="0.2">
      <c r="A133" s="1010"/>
      <c r="B133" s="1010"/>
    </row>
    <row r="134" spans="1:2" x14ac:dyDescent="0.2">
      <c r="A134" s="1010"/>
      <c r="B134" s="1010"/>
    </row>
    <row r="135" spans="1:2" x14ac:dyDescent="0.2">
      <c r="A135" s="1010"/>
      <c r="B135" s="1010"/>
    </row>
    <row r="136" spans="1:2" x14ac:dyDescent="0.2">
      <c r="A136" s="1010"/>
      <c r="B136" s="1010"/>
    </row>
    <row r="137" spans="1:2" x14ac:dyDescent="0.2">
      <c r="A137" s="1010"/>
      <c r="B137" s="1010"/>
    </row>
    <row r="138" spans="1:2" x14ac:dyDescent="0.2">
      <c r="A138" s="1010"/>
      <c r="B138" s="1010"/>
    </row>
    <row r="139" spans="1:2" x14ac:dyDescent="0.2">
      <c r="A139" s="1010"/>
      <c r="B139" s="1010"/>
    </row>
    <row r="140" spans="1:2" x14ac:dyDescent="0.2">
      <c r="A140" s="1010"/>
      <c r="B140" s="1010"/>
    </row>
    <row r="141" spans="1:2" x14ac:dyDescent="0.2">
      <c r="A141" s="1010"/>
      <c r="B141" s="1010"/>
    </row>
    <row r="142" spans="1:2" x14ac:dyDescent="0.2">
      <c r="A142" s="1010"/>
      <c r="B142" s="1010"/>
    </row>
    <row r="143" spans="1:2" x14ac:dyDescent="0.2">
      <c r="A143" s="1010"/>
      <c r="B143" s="1010"/>
    </row>
    <row r="144" spans="1:2" x14ac:dyDescent="0.2">
      <c r="A144" s="1010"/>
      <c r="B144" s="1010"/>
    </row>
    <row r="145" spans="1:2" x14ac:dyDescent="0.2">
      <c r="A145" s="1010"/>
      <c r="B145" s="1010"/>
    </row>
    <row r="146" spans="1:2" x14ac:dyDescent="0.2">
      <c r="A146" s="1010"/>
      <c r="B146" s="1010"/>
    </row>
    <row r="147" spans="1:2" x14ac:dyDescent="0.2">
      <c r="A147" s="1010"/>
      <c r="B147" s="1010"/>
    </row>
    <row r="148" spans="1:2" x14ac:dyDescent="0.2">
      <c r="A148" s="1010"/>
      <c r="B148" s="1010"/>
    </row>
    <row r="149" spans="1:2" x14ac:dyDescent="0.2">
      <c r="A149" s="1010"/>
      <c r="B149" s="1010"/>
    </row>
    <row r="150" spans="1:2" x14ac:dyDescent="0.2">
      <c r="A150" s="1010"/>
      <c r="B150" s="1010"/>
    </row>
    <row r="151" spans="1:2" x14ac:dyDescent="0.2">
      <c r="A151" s="1010"/>
      <c r="B151" s="1010"/>
    </row>
    <row r="152" spans="1:2" x14ac:dyDescent="0.2">
      <c r="A152" s="1010"/>
      <c r="B152" s="1010"/>
    </row>
    <row r="153" spans="1:2" x14ac:dyDescent="0.2">
      <c r="A153" s="1010"/>
      <c r="B153" s="1010"/>
    </row>
    <row r="154" spans="1:2" x14ac:dyDescent="0.2">
      <c r="A154" s="1010"/>
      <c r="B154" s="1010"/>
    </row>
    <row r="155" spans="1:2" x14ac:dyDescent="0.2">
      <c r="A155" s="1010"/>
      <c r="B155" s="1010"/>
    </row>
    <row r="156" spans="1:2" x14ac:dyDescent="0.2">
      <c r="A156" s="1010"/>
      <c r="B156" s="1010"/>
    </row>
    <row r="157" spans="1:2" x14ac:dyDescent="0.2">
      <c r="A157" s="1010"/>
      <c r="B157" s="1010"/>
    </row>
    <row r="158" spans="1:2" x14ac:dyDescent="0.2">
      <c r="A158" s="1010"/>
      <c r="B158" s="1010"/>
    </row>
    <row r="159" spans="1:2" x14ac:dyDescent="0.2">
      <c r="A159" s="1010"/>
      <c r="B159" s="1010"/>
    </row>
    <row r="160" spans="1:2" x14ac:dyDescent="0.2">
      <c r="A160" s="1010"/>
      <c r="B160" s="1010"/>
    </row>
    <row r="161" spans="1:2" x14ac:dyDescent="0.2">
      <c r="A161" s="1010"/>
      <c r="B161" s="1010"/>
    </row>
    <row r="162" spans="1:2" x14ac:dyDescent="0.2">
      <c r="A162" s="1010"/>
      <c r="B162" s="1010"/>
    </row>
    <row r="163" spans="1:2" x14ac:dyDescent="0.2">
      <c r="A163" s="1010"/>
      <c r="B163" s="1010"/>
    </row>
    <row r="164" spans="1:2" x14ac:dyDescent="0.2">
      <c r="A164" s="1010"/>
      <c r="B164" s="1010"/>
    </row>
    <row r="165" spans="1:2" x14ac:dyDescent="0.2">
      <c r="A165" s="1010"/>
      <c r="B165" s="1010"/>
    </row>
    <row r="166" spans="1:2" x14ac:dyDescent="0.2">
      <c r="A166" s="1010"/>
      <c r="B166" s="1010"/>
    </row>
    <row r="167" spans="1:2" x14ac:dyDescent="0.2">
      <c r="A167" s="1010"/>
      <c r="B167" s="1010"/>
    </row>
    <row r="168" spans="1:2" x14ac:dyDescent="0.2">
      <c r="A168" s="1010"/>
      <c r="B168" s="1010"/>
    </row>
    <row r="169" spans="1:2" x14ac:dyDescent="0.2">
      <c r="A169" s="1010"/>
      <c r="B169" s="1010"/>
    </row>
    <row r="170" spans="1:2" x14ac:dyDescent="0.2">
      <c r="A170" s="1010"/>
      <c r="B170" s="1010"/>
    </row>
    <row r="171" spans="1:2" x14ac:dyDescent="0.2">
      <c r="A171" s="1010"/>
      <c r="B171" s="1010"/>
    </row>
    <row r="172" spans="1:2" x14ac:dyDescent="0.2">
      <c r="A172" s="1010"/>
      <c r="B172" s="1010"/>
    </row>
    <row r="173" spans="1:2" x14ac:dyDescent="0.2">
      <c r="A173" s="1010"/>
      <c r="B173" s="1010"/>
    </row>
    <row r="174" spans="1:2" x14ac:dyDescent="0.2">
      <c r="A174" s="1010"/>
      <c r="B174" s="1010"/>
    </row>
    <row r="175" spans="1:2" x14ac:dyDescent="0.2">
      <c r="A175" s="1010"/>
      <c r="B175" s="1010"/>
    </row>
    <row r="176" spans="1:2" x14ac:dyDescent="0.2">
      <c r="A176" s="1010"/>
      <c r="B176" s="1010"/>
    </row>
    <row r="177" spans="1:2" x14ac:dyDescent="0.2">
      <c r="A177" s="1010"/>
      <c r="B177" s="1010"/>
    </row>
    <row r="178" spans="1:2" x14ac:dyDescent="0.2">
      <c r="A178" s="1010"/>
      <c r="B178" s="1010"/>
    </row>
    <row r="179" spans="1:2" x14ac:dyDescent="0.2">
      <c r="A179" s="1013"/>
      <c r="B179" s="1013"/>
    </row>
    <row r="180" spans="1:2" x14ac:dyDescent="0.2">
      <c r="A180" s="1013"/>
      <c r="B180" s="1013"/>
    </row>
    <row r="181" spans="1:2" x14ac:dyDescent="0.2">
      <c r="A181" s="1013"/>
      <c r="B181" s="1013"/>
    </row>
    <row r="182" spans="1:2" x14ac:dyDescent="0.2">
      <c r="A182" s="1013"/>
      <c r="B182" s="1013"/>
    </row>
    <row r="183" spans="1:2" x14ac:dyDescent="0.2">
      <c r="A183" s="1013"/>
      <c r="B183" s="1013"/>
    </row>
    <row r="184" spans="1:2" x14ac:dyDescent="0.2">
      <c r="A184" s="1013"/>
      <c r="B184" s="1013"/>
    </row>
    <row r="185" spans="1:2" x14ac:dyDescent="0.2">
      <c r="A185" s="1013"/>
      <c r="B185" s="1013"/>
    </row>
    <row r="186" spans="1:2" x14ac:dyDescent="0.2">
      <c r="A186" s="1013"/>
      <c r="B186" s="1013"/>
    </row>
    <row r="187" spans="1:2" x14ac:dyDescent="0.2">
      <c r="A187" s="1013"/>
      <c r="B187" s="1013"/>
    </row>
    <row r="188" spans="1:2" x14ac:dyDescent="0.2">
      <c r="A188" s="1013"/>
      <c r="B188" s="1013"/>
    </row>
    <row r="189" spans="1:2" x14ac:dyDescent="0.2">
      <c r="A189" s="1013"/>
      <c r="B189" s="1013"/>
    </row>
    <row r="190" spans="1:2" x14ac:dyDescent="0.2">
      <c r="A190" s="1013"/>
      <c r="B190" s="1013"/>
    </row>
    <row r="191" spans="1:2" x14ac:dyDescent="0.2">
      <c r="A191" s="1013"/>
      <c r="B191" s="1013"/>
    </row>
    <row r="192" spans="1:2" x14ac:dyDescent="0.2">
      <c r="A192" s="1013"/>
      <c r="B192" s="1013"/>
    </row>
    <row r="193" spans="1:2" x14ac:dyDescent="0.2">
      <c r="A193" s="1013"/>
      <c r="B193" s="1013"/>
    </row>
    <row r="194" spans="1:2" x14ac:dyDescent="0.2">
      <c r="A194" s="1013"/>
      <c r="B194" s="1013"/>
    </row>
    <row r="195" spans="1:2" x14ac:dyDescent="0.2">
      <c r="A195" s="1013"/>
      <c r="B195" s="1013"/>
    </row>
    <row r="196" spans="1:2" x14ac:dyDescent="0.2">
      <c r="A196" s="1013"/>
      <c r="B196" s="1013"/>
    </row>
    <row r="197" spans="1:2" x14ac:dyDescent="0.2">
      <c r="A197" s="1013"/>
      <c r="B197" s="1013"/>
    </row>
    <row r="198" spans="1:2" x14ac:dyDescent="0.2">
      <c r="A198" s="1013"/>
      <c r="B198" s="1013"/>
    </row>
    <row r="199" spans="1:2" x14ac:dyDescent="0.2">
      <c r="A199" s="1013"/>
      <c r="B199" s="1013"/>
    </row>
    <row r="200" spans="1:2" x14ac:dyDescent="0.2">
      <c r="A200" s="1013"/>
      <c r="B200" s="1013"/>
    </row>
    <row r="201" spans="1:2" x14ac:dyDescent="0.2">
      <c r="A201" s="1013"/>
      <c r="B201" s="1013"/>
    </row>
    <row r="202" spans="1:2" x14ac:dyDescent="0.2">
      <c r="A202" s="1013"/>
      <c r="B202" s="1013"/>
    </row>
    <row r="203" spans="1:2" x14ac:dyDescent="0.2">
      <c r="A203" s="1013"/>
      <c r="B203" s="1013"/>
    </row>
    <row r="204" spans="1:2" x14ac:dyDescent="0.2">
      <c r="A204" s="1013"/>
      <c r="B204" s="1013"/>
    </row>
    <row r="205" spans="1:2" x14ac:dyDescent="0.2">
      <c r="A205" s="1013"/>
      <c r="B205" s="1013"/>
    </row>
    <row r="206" spans="1:2" x14ac:dyDescent="0.2">
      <c r="A206" s="1013"/>
      <c r="B206" s="1013"/>
    </row>
    <row r="207" spans="1:2" x14ac:dyDescent="0.2">
      <c r="A207" s="1013"/>
      <c r="B207" s="1013"/>
    </row>
    <row r="208" spans="1:2" x14ac:dyDescent="0.2">
      <c r="A208" s="1013"/>
      <c r="B208" s="1013"/>
    </row>
    <row r="209" spans="1:2" x14ac:dyDescent="0.2">
      <c r="A209" s="1013"/>
      <c r="B209" s="1013"/>
    </row>
    <row r="210" spans="1:2" x14ac:dyDescent="0.2">
      <c r="A210" s="1013"/>
      <c r="B210" s="1013"/>
    </row>
    <row r="211" spans="1:2" x14ac:dyDescent="0.2">
      <c r="A211" s="1013"/>
      <c r="B211" s="1013"/>
    </row>
    <row r="212" spans="1:2" x14ac:dyDescent="0.2">
      <c r="A212" s="1013"/>
      <c r="B212" s="1013"/>
    </row>
    <row r="213" spans="1:2" x14ac:dyDescent="0.2">
      <c r="A213" s="1013"/>
      <c r="B213" s="1013"/>
    </row>
  </sheetData>
  <mergeCells count="7">
    <mergeCell ref="A79:F79"/>
    <mergeCell ref="A2:F2"/>
    <mergeCell ref="B7:B8"/>
    <mergeCell ref="A17:A18"/>
    <mergeCell ref="B17:B18"/>
    <mergeCell ref="A77:F77"/>
    <mergeCell ref="A78:F78"/>
  </mergeCells>
  <pageMargins left="0.62992125984251968" right="0.23622047244094491" top="0.55118110236220474" bottom="0.74803149606299213" header="0.31496062992125984" footer="0.31496062992125984"/>
  <pageSetup paperSize="9" fitToHeight="0" orientation="portrait" r:id="rId1"/>
  <headerFooter alignWithMargins="0">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5"/>
  <sheetViews>
    <sheetView showZeros="0" zoomScaleNormal="100" workbookViewId="0">
      <selection activeCell="K40" sqref="K40"/>
    </sheetView>
  </sheetViews>
  <sheetFormatPr defaultColWidth="9.140625" defaultRowHeight="12.75" x14ac:dyDescent="0.2"/>
  <cols>
    <col min="1" max="1" width="7" style="612" customWidth="1"/>
    <col min="2" max="2" width="51" style="612" customWidth="1"/>
    <col min="3" max="3" width="13.28515625" style="612" customWidth="1"/>
    <col min="4" max="4" width="10.140625" style="612" customWidth="1"/>
    <col min="5" max="5" width="5.28515625" style="612" customWidth="1"/>
    <col min="6" max="16384" width="9.140625" style="612"/>
  </cols>
  <sheetData>
    <row r="1" spans="1:8" ht="15" customHeight="1" x14ac:dyDescent="0.2">
      <c r="D1" s="1014" t="s">
        <v>1253</v>
      </c>
      <c r="E1" s="1393"/>
    </row>
    <row r="2" spans="1:8" ht="18" customHeight="1" x14ac:dyDescent="0.2">
      <c r="A2" s="1515" t="s">
        <v>1254</v>
      </c>
      <c r="B2" s="1515"/>
      <c r="C2" s="1515"/>
      <c r="D2" s="1515"/>
    </row>
    <row r="3" spans="1:8" ht="21.75" customHeight="1" thickBot="1" x14ac:dyDescent="0.3">
      <c r="A3" s="614"/>
      <c r="B3" s="614"/>
      <c r="D3" s="1014" t="s">
        <v>0</v>
      </c>
    </row>
    <row r="4" spans="1:8" ht="19.5" customHeight="1" thickBot="1" x14ac:dyDescent="0.25">
      <c r="A4" s="1516" t="s">
        <v>1255</v>
      </c>
      <c r="B4" s="1518" t="s">
        <v>1083</v>
      </c>
      <c r="C4" s="1520" t="s">
        <v>1256</v>
      </c>
      <c r="D4" s="1521"/>
    </row>
    <row r="5" spans="1:8" ht="45" customHeight="1" thickBot="1" x14ac:dyDescent="0.25">
      <c r="A5" s="1517"/>
      <c r="B5" s="1519"/>
      <c r="C5" s="1394" t="s">
        <v>1257</v>
      </c>
      <c r="D5" s="1395" t="s">
        <v>1258</v>
      </c>
    </row>
    <row r="6" spans="1:8" ht="20.25" customHeight="1" thickBot="1" x14ac:dyDescent="0.25">
      <c r="A6" s="1396" t="s">
        <v>1023</v>
      </c>
      <c r="B6" s="1397" t="s">
        <v>1167</v>
      </c>
      <c r="C6" s="1398">
        <f>C7+C8+C12</f>
        <v>333418</v>
      </c>
      <c r="D6" s="1399">
        <f>C6/C51*100</f>
        <v>60.407480267170001</v>
      </c>
    </row>
    <row r="7" spans="1:8" ht="15" customHeight="1" x14ac:dyDescent="0.2">
      <c r="A7" s="1400" t="s">
        <v>1025</v>
      </c>
      <c r="B7" s="1401" t="s">
        <v>1259</v>
      </c>
      <c r="C7" s="1402">
        <v>289218</v>
      </c>
      <c r="D7" s="1403">
        <f>C7/C51*100</f>
        <v>52.39948241519766</v>
      </c>
    </row>
    <row r="8" spans="1:8" ht="15" customHeight="1" x14ac:dyDescent="0.2">
      <c r="A8" s="1404" t="s">
        <v>1035</v>
      </c>
      <c r="B8" s="1405" t="s">
        <v>1260</v>
      </c>
      <c r="C8" s="1406">
        <f>C9+C10+C11</f>
        <v>43000</v>
      </c>
      <c r="D8" s="1407">
        <f>C8/C51*100</f>
        <v>7.7905861455839522</v>
      </c>
    </row>
    <row r="9" spans="1:8" ht="15" customHeight="1" x14ac:dyDescent="0.2">
      <c r="A9" s="1408" t="s">
        <v>1037</v>
      </c>
      <c r="B9" s="1409" t="s">
        <v>1105</v>
      </c>
      <c r="C9" s="1410">
        <v>3508</v>
      </c>
      <c r="D9" s="1411">
        <f>C9/C51*100</f>
        <v>0.63556688834205821</v>
      </c>
    </row>
    <row r="10" spans="1:8" ht="15" customHeight="1" x14ac:dyDescent="0.2">
      <c r="A10" s="1408" t="s">
        <v>1030</v>
      </c>
      <c r="B10" s="1409" t="s">
        <v>1106</v>
      </c>
      <c r="C10" s="1410">
        <v>471</v>
      </c>
      <c r="D10" s="1411">
        <f>C10/C51*100</f>
        <v>8.533409475744283E-2</v>
      </c>
    </row>
    <row r="11" spans="1:8" ht="15" customHeight="1" x14ac:dyDescent="0.2">
      <c r="A11" s="1408" t="s">
        <v>1032</v>
      </c>
      <c r="B11" s="1409" t="s">
        <v>1108</v>
      </c>
      <c r="C11" s="1410">
        <v>39021</v>
      </c>
      <c r="D11" s="1411">
        <f>C11/C51*100</f>
        <v>7.0696851624844514</v>
      </c>
    </row>
    <row r="12" spans="1:8" ht="15" customHeight="1" x14ac:dyDescent="0.2">
      <c r="A12" s="1404" t="s">
        <v>1174</v>
      </c>
      <c r="B12" s="1405" t="s">
        <v>1175</v>
      </c>
      <c r="C12" s="1406">
        <f>C13+C14+C15</f>
        <v>1200</v>
      </c>
      <c r="D12" s="1412">
        <f>C12/C51*100</f>
        <v>0.21741170638838936</v>
      </c>
    </row>
    <row r="13" spans="1:8" ht="15" customHeight="1" thickBot="1" x14ac:dyDescent="0.25">
      <c r="A13" s="1408" t="s">
        <v>1176</v>
      </c>
      <c r="B13" s="1413" t="s">
        <v>1261</v>
      </c>
      <c r="C13" s="1410">
        <v>1200</v>
      </c>
      <c r="D13" s="1411">
        <f>C13/C51*100</f>
        <v>0.21741170638838936</v>
      </c>
      <c r="H13" s="1414"/>
    </row>
    <row r="14" spans="1:8" ht="15" hidden="1" customHeight="1" x14ac:dyDescent="0.2">
      <c r="A14" s="1408" t="s">
        <v>1178</v>
      </c>
      <c r="B14" s="1409" t="s">
        <v>1116</v>
      </c>
      <c r="C14" s="1410"/>
      <c r="D14" s="1411" t="e">
        <f t="shared" ref="D14:D49" si="0">C14/C59*100</f>
        <v>#DIV/0!</v>
      </c>
    </row>
    <row r="15" spans="1:8" ht="15" hidden="1" customHeight="1" thickBot="1" x14ac:dyDescent="0.25">
      <c r="A15" s="1408" t="s">
        <v>1179</v>
      </c>
      <c r="B15" s="1409" t="s">
        <v>1180</v>
      </c>
      <c r="C15" s="1410"/>
      <c r="D15" s="1415" t="e">
        <f t="shared" si="0"/>
        <v>#DIV/0!</v>
      </c>
    </row>
    <row r="16" spans="1:8" ht="20.25" customHeight="1" thickBot="1" x14ac:dyDescent="0.25">
      <c r="A16" s="1416" t="s">
        <v>1056</v>
      </c>
      <c r="B16" s="1417" t="s">
        <v>1181</v>
      </c>
      <c r="C16" s="1418">
        <f>C17+C23+C31+C32</f>
        <v>47102</v>
      </c>
      <c r="D16" s="1399">
        <f>C16/C51*100</f>
        <v>8.5337718285882627</v>
      </c>
    </row>
    <row r="17" spans="1:4" ht="15" customHeight="1" x14ac:dyDescent="0.2">
      <c r="A17" s="1419" t="s">
        <v>1058</v>
      </c>
      <c r="B17" s="1420" t="s">
        <v>1182</v>
      </c>
      <c r="C17" s="1421">
        <f>C18+C19+C20+C21+C22</f>
        <v>5903</v>
      </c>
      <c r="D17" s="1407">
        <f>C17/C51*100</f>
        <v>1.0694844190088852</v>
      </c>
    </row>
    <row r="18" spans="1:4" ht="15" hidden="1" x14ac:dyDescent="0.2">
      <c r="A18" s="1408" t="s">
        <v>1183</v>
      </c>
      <c r="B18" s="1413" t="s">
        <v>1118</v>
      </c>
      <c r="C18" s="1410"/>
      <c r="D18" s="1411" t="e">
        <f t="shared" si="0"/>
        <v>#DIV/0!</v>
      </c>
    </row>
    <row r="19" spans="1:4" ht="15" x14ac:dyDescent="0.2">
      <c r="A19" s="1422" t="s">
        <v>1183</v>
      </c>
      <c r="B19" s="1423" t="s">
        <v>1184</v>
      </c>
      <c r="C19" s="1410">
        <v>943</v>
      </c>
      <c r="D19" s="1424">
        <f>C19/C51*100</f>
        <v>0.170849365936876</v>
      </c>
    </row>
    <row r="20" spans="1:4" ht="15" hidden="1" x14ac:dyDescent="0.2">
      <c r="A20" s="1408"/>
      <c r="B20" s="1413"/>
      <c r="C20" s="1410"/>
      <c r="D20" s="1411" t="e">
        <f t="shared" si="0"/>
        <v>#DIV/0!</v>
      </c>
    </row>
    <row r="21" spans="1:4" ht="15" customHeight="1" x14ac:dyDescent="0.2">
      <c r="A21" s="1422" t="s">
        <v>1185</v>
      </c>
      <c r="B21" s="1423" t="s">
        <v>1112</v>
      </c>
      <c r="C21" s="1410">
        <v>4600</v>
      </c>
      <c r="D21" s="1411">
        <f>C21/C51*100</f>
        <v>0.83341154115549254</v>
      </c>
    </row>
    <row r="22" spans="1:4" ht="15.75" customHeight="1" x14ac:dyDescent="0.2">
      <c r="A22" s="1408" t="s">
        <v>1186</v>
      </c>
      <c r="B22" s="1425" t="s">
        <v>1187</v>
      </c>
      <c r="C22" s="1410">
        <v>360</v>
      </c>
      <c r="D22" s="1411">
        <f>C22/C51*100</f>
        <v>6.5223511916516805E-2</v>
      </c>
    </row>
    <row r="23" spans="1:4" ht="15" customHeight="1" x14ac:dyDescent="0.2">
      <c r="A23" s="1404" t="s">
        <v>1060</v>
      </c>
      <c r="B23" s="1405" t="s">
        <v>1188</v>
      </c>
      <c r="C23" s="1406">
        <f>+C24+C28+C29+C30</f>
        <v>37968</v>
      </c>
      <c r="D23" s="1412">
        <f>C23/C51*100</f>
        <v>6.8789063901286394</v>
      </c>
    </row>
    <row r="24" spans="1:4" ht="32.25" customHeight="1" x14ac:dyDescent="0.2">
      <c r="A24" s="1426" t="s">
        <v>1189</v>
      </c>
      <c r="B24" s="1427" t="s">
        <v>1190</v>
      </c>
      <c r="C24" s="1410">
        <f>C25+C26</f>
        <v>3060.1</v>
      </c>
      <c r="D24" s="1411">
        <f>C24/C51*100</f>
        <v>0.55441796893259188</v>
      </c>
    </row>
    <row r="25" spans="1:4" ht="15" customHeight="1" x14ac:dyDescent="0.2">
      <c r="A25" s="1408"/>
      <c r="B25" s="1428" t="s">
        <v>1191</v>
      </c>
      <c r="C25" s="1410">
        <v>2300</v>
      </c>
      <c r="D25" s="1411">
        <f>C25/C51*100</f>
        <v>0.41670577057774627</v>
      </c>
    </row>
    <row r="26" spans="1:4" ht="15" customHeight="1" x14ac:dyDescent="0.2">
      <c r="A26" s="1408"/>
      <c r="B26" s="1428" t="s">
        <v>1141</v>
      </c>
      <c r="C26" s="1410">
        <v>760.1</v>
      </c>
      <c r="D26" s="1411">
        <f>C26/C51*100</f>
        <v>0.13771219835484563</v>
      </c>
    </row>
    <row r="27" spans="1:4" ht="15" hidden="1" customHeight="1" x14ac:dyDescent="0.2">
      <c r="A27" s="1408" t="s">
        <v>1192</v>
      </c>
      <c r="B27" s="1409" t="s">
        <v>1143</v>
      </c>
      <c r="C27" s="1410">
        <v>367.1</v>
      </c>
      <c r="D27" s="1411" t="e">
        <f t="shared" si="0"/>
        <v>#DIV/0!</v>
      </c>
    </row>
    <row r="28" spans="1:4" ht="30.75" customHeight="1" x14ac:dyDescent="0.2">
      <c r="A28" s="1408" t="s">
        <v>1192</v>
      </c>
      <c r="B28" s="1429" t="s">
        <v>1145</v>
      </c>
      <c r="C28" s="1410">
        <f>15718.8+367.1</f>
        <v>16085.9</v>
      </c>
      <c r="D28" s="1411">
        <f>C28/C51*100</f>
        <v>2.9143858064941601</v>
      </c>
    </row>
    <row r="29" spans="1:4" ht="15" customHeight="1" x14ac:dyDescent="0.2">
      <c r="A29" s="1422" t="s">
        <v>1193</v>
      </c>
      <c r="B29" s="1430" t="s">
        <v>1116</v>
      </c>
      <c r="C29" s="1410">
        <v>490</v>
      </c>
      <c r="D29" s="1411">
        <f>C29/C51*100</f>
        <v>8.8776446775258991E-2</v>
      </c>
    </row>
    <row r="30" spans="1:4" ht="15" customHeight="1" x14ac:dyDescent="0.2">
      <c r="A30" s="1422" t="s">
        <v>1194</v>
      </c>
      <c r="B30" s="1431" t="s">
        <v>1180</v>
      </c>
      <c r="C30" s="1410">
        <v>18332</v>
      </c>
      <c r="D30" s="1411">
        <f>C30/C51*100</f>
        <v>3.3213261679266282</v>
      </c>
    </row>
    <row r="31" spans="1:4" ht="15" customHeight="1" x14ac:dyDescent="0.2">
      <c r="A31" s="1432" t="s">
        <v>1107</v>
      </c>
      <c r="B31" s="1433" t="s">
        <v>1120</v>
      </c>
      <c r="C31" s="1406">
        <v>1688</v>
      </c>
      <c r="D31" s="1407">
        <f>C31/C51*100</f>
        <v>0.30582580031966772</v>
      </c>
    </row>
    <row r="32" spans="1:4" ht="15" customHeight="1" thickBot="1" x14ac:dyDescent="0.25">
      <c r="A32" s="1434" t="s">
        <v>1109</v>
      </c>
      <c r="B32" s="1435" t="s">
        <v>1122</v>
      </c>
      <c r="C32" s="1406">
        <v>1543</v>
      </c>
      <c r="D32" s="1436">
        <f>C32/C51*100</f>
        <v>0.27955521913107068</v>
      </c>
    </row>
    <row r="33" spans="1:4" ht="45" customHeight="1" thickBot="1" x14ac:dyDescent="0.25">
      <c r="A33" s="1416" t="s">
        <v>1071</v>
      </c>
      <c r="B33" s="1437" t="s">
        <v>1199</v>
      </c>
      <c r="C33" s="1418">
        <f>C35+C36+C37</f>
        <v>10322</v>
      </c>
      <c r="D33" s="1399">
        <f>C33/C51*100</f>
        <v>1.8701030277841293</v>
      </c>
    </row>
    <row r="34" spans="1:4" ht="14.25" hidden="1" x14ac:dyDescent="0.2">
      <c r="A34" s="1438" t="s">
        <v>1115</v>
      </c>
      <c r="B34" s="1439" t="s">
        <v>1220</v>
      </c>
      <c r="C34" s="1440">
        <f>C35+C36</f>
        <v>4322</v>
      </c>
      <c r="D34" s="1403" t="e">
        <f t="shared" si="0"/>
        <v>#DIV/0!</v>
      </c>
    </row>
    <row r="35" spans="1:4" ht="15" customHeight="1" x14ac:dyDescent="0.2">
      <c r="A35" s="1441" t="s">
        <v>1115</v>
      </c>
      <c r="B35" s="1442" t="s">
        <v>1200</v>
      </c>
      <c r="C35" s="1410">
        <v>1750</v>
      </c>
      <c r="D35" s="1411">
        <f>C35/C51*100</f>
        <v>0.31705873848306781</v>
      </c>
    </row>
    <row r="36" spans="1:4" ht="30" x14ac:dyDescent="0.2">
      <c r="A36" s="1443" t="s">
        <v>1117</v>
      </c>
      <c r="B36" s="1444" t="s">
        <v>1221</v>
      </c>
      <c r="C36" s="1410">
        <v>2572</v>
      </c>
      <c r="D36" s="1411">
        <f>C36/C51*100</f>
        <v>0.46598575735911452</v>
      </c>
    </row>
    <row r="37" spans="1:4" ht="33" customHeight="1" thickBot="1" x14ac:dyDescent="0.25">
      <c r="A37" s="1445" t="s">
        <v>1119</v>
      </c>
      <c r="B37" s="1446" t="s">
        <v>1113</v>
      </c>
      <c r="C37" s="1447">
        <v>6000</v>
      </c>
      <c r="D37" s="1448">
        <f>C37/C51*100</f>
        <v>1.0870585319419468</v>
      </c>
    </row>
    <row r="38" spans="1:4" ht="15.75" hidden="1" customHeight="1" thickBot="1" x14ac:dyDescent="0.25">
      <c r="A38" s="1416" t="s">
        <v>1128</v>
      </c>
      <c r="B38" s="1449" t="s">
        <v>1262</v>
      </c>
      <c r="C38" s="1418"/>
      <c r="D38" s="1450" t="e">
        <f t="shared" si="0"/>
        <v>#DIV/0!</v>
      </c>
    </row>
    <row r="39" spans="1:4" ht="34.5" customHeight="1" thickBot="1" x14ac:dyDescent="0.25">
      <c r="A39" s="1451"/>
      <c r="B39" s="1452" t="s">
        <v>1263</v>
      </c>
      <c r="C39" s="1453">
        <f>C6+C16+C33+C38</f>
        <v>390842</v>
      </c>
      <c r="D39" s="1454">
        <f>C39/C51*100</f>
        <v>70.811355123542398</v>
      </c>
    </row>
    <row r="40" spans="1:4" ht="26.25" customHeight="1" thickBot="1" x14ac:dyDescent="0.25">
      <c r="A40" s="1455" t="s">
        <v>1128</v>
      </c>
      <c r="B40" s="1456" t="s">
        <v>1264</v>
      </c>
      <c r="C40" s="1457">
        <f>+C41+C50</f>
        <v>161106.19999999998</v>
      </c>
      <c r="D40" s="1450">
        <f>C40/C51*100</f>
        <v>29.188644876457609</v>
      </c>
    </row>
    <row r="41" spans="1:4" ht="28.5" customHeight="1" thickBot="1" x14ac:dyDescent="0.25">
      <c r="A41" s="1458" t="s">
        <v>1130</v>
      </c>
      <c r="B41" s="1459" t="s">
        <v>1265</v>
      </c>
      <c r="C41" s="1460">
        <v>158718.39999999999</v>
      </c>
      <c r="D41" s="1461">
        <f>C41/C51*100</f>
        <v>28.756031816029115</v>
      </c>
    </row>
    <row r="42" spans="1:4" ht="36.75" hidden="1" customHeight="1" x14ac:dyDescent="0.2">
      <c r="A42" s="1462" t="s">
        <v>1228</v>
      </c>
      <c r="B42" s="1463" t="s">
        <v>1229</v>
      </c>
      <c r="C42" s="1464"/>
      <c r="D42" s="1465" t="e">
        <f t="shared" si="0"/>
        <v>#DIV/0!</v>
      </c>
    </row>
    <row r="43" spans="1:4" ht="25.5" hidden="1" customHeight="1" x14ac:dyDescent="0.2">
      <c r="A43" s="1462" t="s">
        <v>1230</v>
      </c>
      <c r="B43" s="1466" t="s">
        <v>1231</v>
      </c>
      <c r="C43" s="1467"/>
      <c r="D43" s="1468" t="e">
        <f t="shared" si="0"/>
        <v>#DIV/0!</v>
      </c>
    </row>
    <row r="44" spans="1:4" ht="27.75" hidden="1" customHeight="1" x14ac:dyDescent="0.2">
      <c r="A44" s="1462" t="s">
        <v>1232</v>
      </c>
      <c r="B44" s="1469" t="s">
        <v>1233</v>
      </c>
      <c r="C44" s="1467"/>
      <c r="D44" s="1470" t="e">
        <f t="shared" si="0"/>
        <v>#DIV/0!</v>
      </c>
    </row>
    <row r="45" spans="1:4" ht="30" hidden="1" customHeight="1" x14ac:dyDescent="0.2">
      <c r="A45" s="1462" t="s">
        <v>1234</v>
      </c>
      <c r="B45" s="1469" t="s">
        <v>1235</v>
      </c>
      <c r="C45" s="1471"/>
      <c r="D45" s="1470" t="e">
        <f t="shared" si="0"/>
        <v>#DIV/0!</v>
      </c>
    </row>
    <row r="46" spans="1:4" ht="30" hidden="1" customHeight="1" x14ac:dyDescent="0.2">
      <c r="A46" s="1472" t="s">
        <v>1236</v>
      </c>
      <c r="B46" s="1463" t="s">
        <v>1237</v>
      </c>
      <c r="C46" s="1471"/>
      <c r="D46" s="1470" t="e">
        <f t="shared" si="0"/>
        <v>#DIV/0!</v>
      </c>
    </row>
    <row r="47" spans="1:4" ht="37.5" hidden="1" customHeight="1" x14ac:dyDescent="0.2">
      <c r="A47" s="1473" t="s">
        <v>1238</v>
      </c>
      <c r="B47" s="1469" t="s">
        <v>1239</v>
      </c>
      <c r="C47" s="1471"/>
      <c r="D47" s="1470" t="e">
        <f t="shared" si="0"/>
        <v>#DIV/0!</v>
      </c>
    </row>
    <row r="48" spans="1:4" ht="15.75" hidden="1" customHeight="1" x14ac:dyDescent="0.2">
      <c r="A48" s="1474" t="s">
        <v>1240</v>
      </c>
      <c r="B48" s="1475" t="s">
        <v>1241</v>
      </c>
      <c r="C48" s="1476">
        <v>0</v>
      </c>
      <c r="D48" s="1477" t="e">
        <f t="shared" si="0"/>
        <v>#DIV/0!</v>
      </c>
    </row>
    <row r="49" spans="1:4" ht="19.5" hidden="1" customHeight="1" thickBot="1" x14ac:dyDescent="0.25">
      <c r="A49" s="1474" t="s">
        <v>1266</v>
      </c>
      <c r="B49" s="1475" t="s">
        <v>1267</v>
      </c>
      <c r="C49" s="1476"/>
      <c r="D49" s="1477" t="e">
        <f t="shared" si="0"/>
        <v>#DIV/0!</v>
      </c>
    </row>
    <row r="50" spans="1:4" ht="35.25" customHeight="1" thickBot="1" x14ac:dyDescent="0.25">
      <c r="A50" s="1478" t="s">
        <v>1132</v>
      </c>
      <c r="B50" s="1479" t="s">
        <v>1074</v>
      </c>
      <c r="C50" s="1480">
        <v>2387.8000000000002</v>
      </c>
      <c r="D50" s="1481">
        <f>C50/C51*100</f>
        <v>0.43261306042849679</v>
      </c>
    </row>
    <row r="51" spans="1:4" ht="35.25" customHeight="1" thickBot="1" x14ac:dyDescent="0.25">
      <c r="A51" s="1451"/>
      <c r="B51" s="1482" t="s">
        <v>1277</v>
      </c>
      <c r="C51" s="1483">
        <f>+C39+C40</f>
        <v>551948.19999999995</v>
      </c>
      <c r="D51" s="1484">
        <f>C51/C51*100</f>
        <v>100</v>
      </c>
    </row>
    <row r="52" spans="1:4" ht="33" hidden="1" customHeight="1" x14ac:dyDescent="0.2">
      <c r="A52" s="1522" t="s">
        <v>1268</v>
      </c>
      <c r="B52" s="1522"/>
      <c r="C52" s="1523"/>
      <c r="D52" s="1523"/>
    </row>
    <row r="53" spans="1:4" ht="30" hidden="1" customHeight="1" x14ac:dyDescent="0.2">
      <c r="A53" s="1488" t="s">
        <v>1269</v>
      </c>
      <c r="B53" s="1488"/>
      <c r="C53" s="1488"/>
      <c r="D53" s="1488"/>
    </row>
    <row r="54" spans="1:4" x14ac:dyDescent="0.2">
      <c r="A54" s="1010"/>
      <c r="B54" s="1010"/>
      <c r="C54" s="1485"/>
      <c r="D54" s="1485"/>
    </row>
    <row r="55" spans="1:4" x14ac:dyDescent="0.2">
      <c r="A55" s="1010"/>
      <c r="B55" s="1010"/>
      <c r="C55" s="1485"/>
      <c r="D55" s="1485"/>
    </row>
    <row r="56" spans="1:4" x14ac:dyDescent="0.2">
      <c r="A56" s="1010"/>
      <c r="B56" s="1010"/>
      <c r="C56" s="1485"/>
      <c r="D56" s="1485"/>
    </row>
    <row r="57" spans="1:4" x14ac:dyDescent="0.2">
      <c r="A57" s="1010"/>
      <c r="B57" s="1010"/>
      <c r="C57" s="1485"/>
      <c r="D57" s="1485"/>
    </row>
    <row r="58" spans="1:4" x14ac:dyDescent="0.2">
      <c r="A58" s="1010"/>
      <c r="B58" s="1010"/>
      <c r="C58" s="1485"/>
      <c r="D58" s="1485"/>
    </row>
    <row r="59" spans="1:4" x14ac:dyDescent="0.2">
      <c r="A59" s="1010"/>
      <c r="B59" s="1010"/>
      <c r="C59" s="1485"/>
      <c r="D59" s="1485"/>
    </row>
    <row r="60" spans="1:4" x14ac:dyDescent="0.2">
      <c r="A60" s="1010"/>
      <c r="B60" s="1010"/>
      <c r="C60" s="1485"/>
      <c r="D60" s="1485"/>
    </row>
    <row r="61" spans="1:4" x14ac:dyDescent="0.2">
      <c r="A61" s="1010"/>
      <c r="B61" s="1010"/>
      <c r="C61" s="1485"/>
      <c r="D61" s="1485"/>
    </row>
    <row r="62" spans="1:4" x14ac:dyDescent="0.2">
      <c r="A62" s="1010"/>
      <c r="B62" s="1010"/>
      <c r="C62" s="1485"/>
      <c r="D62" s="1485"/>
    </row>
    <row r="63" spans="1:4" x14ac:dyDescent="0.2">
      <c r="A63" s="1010"/>
      <c r="B63" s="1010"/>
      <c r="C63" s="1485"/>
      <c r="D63" s="1485"/>
    </row>
    <row r="64" spans="1:4" x14ac:dyDescent="0.2">
      <c r="A64" s="1010"/>
      <c r="B64" s="1010"/>
      <c r="C64" s="1485"/>
      <c r="D64" s="1485"/>
    </row>
    <row r="65" spans="1:4" x14ac:dyDescent="0.2">
      <c r="A65" s="1010"/>
      <c r="B65" s="1010"/>
      <c r="C65" s="1485"/>
      <c r="D65" s="1485"/>
    </row>
    <row r="66" spans="1:4" x14ac:dyDescent="0.2">
      <c r="A66" s="1010"/>
      <c r="B66" s="1010"/>
      <c r="C66" s="1485"/>
      <c r="D66" s="1485"/>
    </row>
    <row r="67" spans="1:4" x14ac:dyDescent="0.2">
      <c r="A67" s="1010"/>
      <c r="B67" s="1010"/>
      <c r="C67" s="1485"/>
      <c r="D67" s="1485"/>
    </row>
    <row r="68" spans="1:4" x14ac:dyDescent="0.2">
      <c r="A68" s="1010"/>
      <c r="B68" s="1010"/>
      <c r="C68" s="1485"/>
      <c r="D68" s="1485"/>
    </row>
    <row r="69" spans="1:4" x14ac:dyDescent="0.2">
      <c r="A69" s="1010"/>
      <c r="B69" s="1010"/>
      <c r="C69" s="1485"/>
      <c r="D69" s="1485"/>
    </row>
    <row r="70" spans="1:4" x14ac:dyDescent="0.2">
      <c r="A70" s="1010"/>
      <c r="B70" s="1010"/>
      <c r="C70" s="1485"/>
      <c r="D70" s="1485"/>
    </row>
    <row r="71" spans="1:4" x14ac:dyDescent="0.2">
      <c r="A71" s="1010"/>
      <c r="B71" s="1010"/>
      <c r="C71" s="1486"/>
      <c r="D71" s="1486"/>
    </row>
    <row r="72" spans="1:4" x14ac:dyDescent="0.2">
      <c r="A72" s="1010"/>
      <c r="B72" s="1010"/>
      <c r="C72" s="1486"/>
      <c r="D72" s="1486"/>
    </row>
    <row r="73" spans="1:4" x14ac:dyDescent="0.2">
      <c r="A73" s="1010"/>
      <c r="B73" s="1010"/>
      <c r="C73" s="1486"/>
      <c r="D73" s="1486"/>
    </row>
    <row r="74" spans="1:4" x14ac:dyDescent="0.2">
      <c r="A74" s="1010"/>
      <c r="B74" s="1010"/>
      <c r="C74" s="1486"/>
      <c r="D74" s="1486"/>
    </row>
    <row r="75" spans="1:4" x14ac:dyDescent="0.2">
      <c r="A75" s="1010"/>
      <c r="B75" s="1010"/>
      <c r="C75" s="1486"/>
      <c r="D75" s="1486"/>
    </row>
    <row r="76" spans="1:4" x14ac:dyDescent="0.2">
      <c r="A76" s="1010"/>
      <c r="B76" s="1010"/>
      <c r="C76" s="1486"/>
      <c r="D76" s="1486"/>
    </row>
    <row r="77" spans="1:4" x14ac:dyDescent="0.2">
      <c r="A77" s="1010"/>
      <c r="B77" s="1010"/>
      <c r="C77" s="1486"/>
      <c r="D77" s="1486"/>
    </row>
    <row r="78" spans="1:4" x14ac:dyDescent="0.2">
      <c r="A78" s="1010"/>
      <c r="B78" s="1010"/>
      <c r="C78" s="1486"/>
      <c r="D78" s="1486"/>
    </row>
    <row r="79" spans="1:4" x14ac:dyDescent="0.2">
      <c r="A79" s="1010"/>
      <c r="B79" s="1010"/>
      <c r="C79" s="1486"/>
      <c r="D79" s="1486"/>
    </row>
    <row r="80" spans="1:4" x14ac:dyDescent="0.2">
      <c r="A80" s="1010"/>
      <c r="B80" s="1010"/>
      <c r="C80" s="1486"/>
      <c r="D80" s="1486"/>
    </row>
    <row r="81" spans="1:4" x14ac:dyDescent="0.2">
      <c r="A81" s="1010"/>
      <c r="B81" s="1010"/>
      <c r="C81" s="1486"/>
      <c r="D81" s="1486"/>
    </row>
    <row r="82" spans="1:4" x14ac:dyDescent="0.2">
      <c r="A82" s="1010"/>
      <c r="B82" s="1010"/>
      <c r="C82" s="1486"/>
      <c r="D82" s="1486"/>
    </row>
    <row r="83" spans="1:4" x14ac:dyDescent="0.2">
      <c r="A83" s="1010"/>
      <c r="B83" s="1010"/>
      <c r="C83" s="1486"/>
      <c r="D83" s="1486"/>
    </row>
    <row r="84" spans="1:4" x14ac:dyDescent="0.2">
      <c r="A84" s="1010"/>
      <c r="B84" s="1010"/>
      <c r="C84" s="1486"/>
      <c r="D84" s="1486"/>
    </row>
    <row r="85" spans="1:4" x14ac:dyDescent="0.2">
      <c r="A85" s="1010"/>
      <c r="B85" s="1010"/>
      <c r="C85" s="1486"/>
      <c r="D85" s="1486"/>
    </row>
    <row r="86" spans="1:4" x14ac:dyDescent="0.2">
      <c r="A86" s="1010"/>
      <c r="B86" s="1010"/>
      <c r="C86" s="1486"/>
      <c r="D86" s="1486"/>
    </row>
    <row r="87" spans="1:4" x14ac:dyDescent="0.2">
      <c r="A87" s="1010"/>
      <c r="B87" s="1010"/>
      <c r="C87" s="1486"/>
      <c r="D87" s="1486"/>
    </row>
    <row r="88" spans="1:4" x14ac:dyDescent="0.2">
      <c r="A88" s="1010"/>
      <c r="B88" s="1010"/>
      <c r="C88" s="1486"/>
      <c r="D88" s="1486"/>
    </row>
    <row r="89" spans="1:4" x14ac:dyDescent="0.2">
      <c r="A89" s="1010"/>
      <c r="B89" s="1010"/>
      <c r="C89" s="1486"/>
      <c r="D89" s="1486"/>
    </row>
    <row r="90" spans="1:4" x14ac:dyDescent="0.2">
      <c r="A90" s="1010"/>
      <c r="B90" s="1010"/>
      <c r="C90" s="1486"/>
      <c r="D90" s="1486"/>
    </row>
    <row r="91" spans="1:4" x14ac:dyDescent="0.2">
      <c r="A91" s="1010"/>
      <c r="B91" s="1010"/>
      <c r="C91" s="1486"/>
      <c r="D91" s="1486"/>
    </row>
    <row r="92" spans="1:4" x14ac:dyDescent="0.2">
      <c r="A92" s="1010"/>
      <c r="B92" s="1010"/>
      <c r="C92" s="1486"/>
      <c r="D92" s="1486"/>
    </row>
    <row r="93" spans="1:4" x14ac:dyDescent="0.2">
      <c r="A93" s="1010"/>
      <c r="B93" s="1010"/>
      <c r="C93" s="1486"/>
      <c r="D93" s="1486"/>
    </row>
    <row r="94" spans="1:4" x14ac:dyDescent="0.2">
      <c r="A94" s="1010"/>
      <c r="B94" s="1010"/>
      <c r="C94" s="1486"/>
      <c r="D94" s="1486"/>
    </row>
    <row r="95" spans="1:4" x14ac:dyDescent="0.2">
      <c r="A95" s="1010"/>
      <c r="B95" s="1010"/>
      <c r="C95" s="1486"/>
      <c r="D95" s="1486"/>
    </row>
    <row r="96" spans="1:4" x14ac:dyDescent="0.2">
      <c r="A96" s="1010"/>
      <c r="B96" s="1010"/>
      <c r="C96" s="1486"/>
      <c r="D96" s="1486"/>
    </row>
    <row r="97" spans="1:4" x14ac:dyDescent="0.2">
      <c r="A97" s="1010"/>
      <c r="B97" s="1010"/>
      <c r="C97" s="1486"/>
      <c r="D97" s="1486"/>
    </row>
    <row r="98" spans="1:4" x14ac:dyDescent="0.2">
      <c r="A98" s="1010"/>
      <c r="B98" s="1010"/>
      <c r="C98" s="1486"/>
      <c r="D98" s="1486"/>
    </row>
    <row r="99" spans="1:4" x14ac:dyDescent="0.2">
      <c r="A99" s="1010"/>
      <c r="B99" s="1010"/>
      <c r="C99" s="1486"/>
      <c r="D99" s="1486"/>
    </row>
    <row r="100" spans="1:4" x14ac:dyDescent="0.2">
      <c r="A100" s="1010"/>
      <c r="B100" s="1010"/>
      <c r="C100" s="1486"/>
      <c r="D100" s="1486"/>
    </row>
    <row r="101" spans="1:4" x14ac:dyDescent="0.2">
      <c r="A101" s="1010"/>
      <c r="B101" s="1010"/>
      <c r="C101" s="1486"/>
      <c r="D101" s="1486"/>
    </row>
    <row r="102" spans="1:4" x14ac:dyDescent="0.2">
      <c r="A102" s="1010"/>
      <c r="B102" s="1010"/>
      <c r="C102" s="1486"/>
      <c r="D102" s="1486"/>
    </row>
    <row r="103" spans="1:4" x14ac:dyDescent="0.2">
      <c r="A103" s="1010"/>
      <c r="B103" s="1010"/>
      <c r="C103" s="1486"/>
      <c r="D103" s="1486"/>
    </row>
    <row r="104" spans="1:4" x14ac:dyDescent="0.2">
      <c r="A104" s="1010"/>
      <c r="B104" s="1010"/>
      <c r="C104" s="1486"/>
      <c r="D104" s="1486"/>
    </row>
    <row r="105" spans="1:4" x14ac:dyDescent="0.2">
      <c r="A105" s="1010"/>
      <c r="B105" s="1010"/>
      <c r="C105" s="1486"/>
      <c r="D105" s="1486"/>
    </row>
    <row r="106" spans="1:4" x14ac:dyDescent="0.2">
      <c r="A106" s="1010"/>
      <c r="B106" s="1010"/>
      <c r="C106" s="1486"/>
      <c r="D106" s="1486"/>
    </row>
    <row r="107" spans="1:4" x14ac:dyDescent="0.2">
      <c r="A107" s="1010"/>
      <c r="B107" s="1010"/>
      <c r="C107" s="1486"/>
      <c r="D107" s="1486"/>
    </row>
    <row r="108" spans="1:4" x14ac:dyDescent="0.2">
      <c r="A108" s="1010"/>
      <c r="B108" s="1010"/>
      <c r="C108" s="1486"/>
      <c r="D108" s="1486"/>
    </row>
    <row r="109" spans="1:4" x14ac:dyDescent="0.2">
      <c r="A109" s="1010"/>
      <c r="B109" s="1010"/>
      <c r="C109" s="1486"/>
      <c r="D109" s="1486"/>
    </row>
    <row r="110" spans="1:4" x14ac:dyDescent="0.2">
      <c r="A110" s="1010"/>
      <c r="B110" s="1010"/>
      <c r="C110" s="1486"/>
      <c r="D110" s="1486"/>
    </row>
    <row r="111" spans="1:4" x14ac:dyDescent="0.2">
      <c r="A111" s="1010"/>
      <c r="B111" s="1010"/>
    </row>
    <row r="112" spans="1:4" x14ac:dyDescent="0.2">
      <c r="A112" s="1010"/>
      <c r="B112" s="1010"/>
    </row>
    <row r="113" spans="1:2" x14ac:dyDescent="0.2">
      <c r="A113" s="1010"/>
      <c r="B113" s="1010"/>
    </row>
    <row r="114" spans="1:2" x14ac:dyDescent="0.2">
      <c r="A114" s="1010"/>
      <c r="B114" s="1010"/>
    </row>
    <row r="115" spans="1:2" x14ac:dyDescent="0.2">
      <c r="A115" s="1010"/>
      <c r="B115" s="1010"/>
    </row>
    <row r="116" spans="1:2" x14ac:dyDescent="0.2">
      <c r="A116" s="1010"/>
      <c r="B116" s="1010"/>
    </row>
    <row r="117" spans="1:2" x14ac:dyDescent="0.2">
      <c r="A117" s="1010"/>
      <c r="B117" s="1010"/>
    </row>
    <row r="118" spans="1:2" x14ac:dyDescent="0.2">
      <c r="A118" s="1010"/>
      <c r="B118" s="1010"/>
    </row>
    <row r="119" spans="1:2" x14ac:dyDescent="0.2">
      <c r="A119" s="1010"/>
      <c r="B119" s="1010"/>
    </row>
    <row r="120" spans="1:2" x14ac:dyDescent="0.2">
      <c r="A120" s="1010"/>
      <c r="B120" s="1010"/>
    </row>
    <row r="121" spans="1:2" x14ac:dyDescent="0.2">
      <c r="A121" s="1010"/>
      <c r="B121" s="1010"/>
    </row>
    <row r="122" spans="1:2" x14ac:dyDescent="0.2">
      <c r="A122" s="1010"/>
      <c r="B122" s="1010"/>
    </row>
    <row r="123" spans="1:2" x14ac:dyDescent="0.2">
      <c r="A123" s="1010"/>
      <c r="B123" s="1010"/>
    </row>
    <row r="124" spans="1:2" x14ac:dyDescent="0.2">
      <c r="A124" s="1010"/>
      <c r="B124" s="1010"/>
    </row>
    <row r="125" spans="1:2" x14ac:dyDescent="0.2">
      <c r="A125" s="1010"/>
      <c r="B125" s="1010"/>
    </row>
    <row r="126" spans="1:2" x14ac:dyDescent="0.2">
      <c r="A126" s="1010"/>
      <c r="B126" s="1010"/>
    </row>
    <row r="127" spans="1:2" x14ac:dyDescent="0.2">
      <c r="A127" s="1010"/>
      <c r="B127" s="1010"/>
    </row>
    <row r="128" spans="1:2" x14ac:dyDescent="0.2">
      <c r="A128" s="1010"/>
      <c r="B128" s="1010"/>
    </row>
    <row r="129" spans="1:2" x14ac:dyDescent="0.2">
      <c r="A129" s="1010"/>
      <c r="B129" s="1010"/>
    </row>
    <row r="130" spans="1:2" x14ac:dyDescent="0.2">
      <c r="A130" s="1010"/>
      <c r="B130" s="1010"/>
    </row>
    <row r="131" spans="1:2" x14ac:dyDescent="0.2">
      <c r="A131" s="1010"/>
      <c r="B131" s="1010"/>
    </row>
    <row r="132" spans="1:2" x14ac:dyDescent="0.2">
      <c r="A132" s="1010"/>
      <c r="B132" s="1010"/>
    </row>
    <row r="133" spans="1:2" x14ac:dyDescent="0.2">
      <c r="A133" s="1010"/>
      <c r="B133" s="1010"/>
    </row>
    <row r="134" spans="1:2" x14ac:dyDescent="0.2">
      <c r="A134" s="1010"/>
      <c r="B134" s="1010"/>
    </row>
    <row r="135" spans="1:2" x14ac:dyDescent="0.2">
      <c r="A135" s="1010"/>
      <c r="B135" s="1010"/>
    </row>
    <row r="136" spans="1:2" x14ac:dyDescent="0.2">
      <c r="A136" s="1010"/>
      <c r="B136" s="1010"/>
    </row>
    <row r="137" spans="1:2" x14ac:dyDescent="0.2">
      <c r="A137" s="1010"/>
      <c r="B137" s="1010"/>
    </row>
    <row r="138" spans="1:2" x14ac:dyDescent="0.2">
      <c r="A138" s="1010"/>
      <c r="B138" s="1010"/>
    </row>
    <row r="139" spans="1:2" x14ac:dyDescent="0.2">
      <c r="A139" s="1010"/>
      <c r="B139" s="1010"/>
    </row>
    <row r="140" spans="1:2" x14ac:dyDescent="0.2">
      <c r="A140" s="1010"/>
      <c r="B140" s="1010"/>
    </row>
    <row r="141" spans="1:2" x14ac:dyDescent="0.2">
      <c r="A141" s="1010"/>
      <c r="B141" s="1010"/>
    </row>
    <row r="142" spans="1:2" x14ac:dyDescent="0.2">
      <c r="A142" s="1010"/>
      <c r="B142" s="1010"/>
    </row>
    <row r="143" spans="1:2" x14ac:dyDescent="0.2">
      <c r="A143" s="1010"/>
      <c r="B143" s="1010"/>
    </row>
    <row r="144" spans="1:2" x14ac:dyDescent="0.2">
      <c r="A144" s="1010"/>
      <c r="B144" s="1010"/>
    </row>
    <row r="145" spans="1:2" x14ac:dyDescent="0.2">
      <c r="A145" s="1010"/>
      <c r="B145" s="1010"/>
    </row>
    <row r="146" spans="1:2" x14ac:dyDescent="0.2">
      <c r="A146" s="1010"/>
      <c r="B146" s="1010"/>
    </row>
    <row r="147" spans="1:2" x14ac:dyDescent="0.2">
      <c r="A147" s="1010"/>
      <c r="B147" s="1010"/>
    </row>
    <row r="148" spans="1:2" x14ac:dyDescent="0.2">
      <c r="A148" s="1010"/>
      <c r="B148" s="1010"/>
    </row>
    <row r="149" spans="1:2" x14ac:dyDescent="0.2">
      <c r="A149" s="1010"/>
      <c r="B149" s="1010"/>
    </row>
    <row r="150" spans="1:2" x14ac:dyDescent="0.2">
      <c r="A150" s="1010"/>
      <c r="B150" s="1010"/>
    </row>
    <row r="151" spans="1:2" x14ac:dyDescent="0.2">
      <c r="A151" s="1010"/>
      <c r="B151" s="1010"/>
    </row>
    <row r="152" spans="1:2" x14ac:dyDescent="0.2">
      <c r="A152" s="1010"/>
      <c r="B152" s="1010"/>
    </row>
    <row r="153" spans="1:2" x14ac:dyDescent="0.2">
      <c r="A153" s="1010"/>
      <c r="B153" s="1010"/>
    </row>
    <row r="154" spans="1:2" x14ac:dyDescent="0.2">
      <c r="A154" s="1010"/>
      <c r="B154" s="1010"/>
    </row>
    <row r="155" spans="1:2" x14ac:dyDescent="0.2">
      <c r="A155" s="1010"/>
      <c r="B155" s="1010"/>
    </row>
    <row r="156" spans="1:2" x14ac:dyDescent="0.2">
      <c r="A156" s="1010"/>
      <c r="B156" s="1010"/>
    </row>
    <row r="157" spans="1:2" x14ac:dyDescent="0.2">
      <c r="A157" s="1010"/>
      <c r="B157" s="1010"/>
    </row>
    <row r="158" spans="1:2" x14ac:dyDescent="0.2">
      <c r="A158" s="1010"/>
      <c r="B158" s="1010"/>
    </row>
    <row r="159" spans="1:2" x14ac:dyDescent="0.2">
      <c r="A159" s="1010"/>
      <c r="B159" s="1010"/>
    </row>
    <row r="160" spans="1:2" x14ac:dyDescent="0.2">
      <c r="A160" s="1010"/>
      <c r="B160" s="1010"/>
    </row>
    <row r="161" spans="1:2" x14ac:dyDescent="0.2">
      <c r="A161" s="1010"/>
      <c r="B161" s="1010"/>
    </row>
    <row r="162" spans="1:2" x14ac:dyDescent="0.2">
      <c r="A162" s="1010"/>
      <c r="B162" s="1010"/>
    </row>
    <row r="163" spans="1:2" x14ac:dyDescent="0.2">
      <c r="A163" s="1010"/>
      <c r="B163" s="1010"/>
    </row>
    <row r="164" spans="1:2" x14ac:dyDescent="0.2">
      <c r="A164" s="1010"/>
      <c r="B164" s="1010"/>
    </row>
    <row r="165" spans="1:2" x14ac:dyDescent="0.2">
      <c r="A165" s="1010"/>
      <c r="B165" s="1010"/>
    </row>
    <row r="166" spans="1:2" x14ac:dyDescent="0.2">
      <c r="A166" s="1010"/>
      <c r="B166" s="1010"/>
    </row>
    <row r="167" spans="1:2" x14ac:dyDescent="0.2">
      <c r="A167" s="1010"/>
      <c r="B167" s="1010"/>
    </row>
    <row r="168" spans="1:2" x14ac:dyDescent="0.2">
      <c r="A168" s="1010"/>
      <c r="B168" s="1010"/>
    </row>
    <row r="169" spans="1:2" x14ac:dyDescent="0.2">
      <c r="A169" s="1010"/>
      <c r="B169" s="1010"/>
    </row>
    <row r="170" spans="1:2" x14ac:dyDescent="0.2">
      <c r="A170" s="1010"/>
      <c r="B170" s="1010"/>
    </row>
    <row r="171" spans="1:2" x14ac:dyDescent="0.2">
      <c r="A171" s="1010"/>
      <c r="B171" s="1010"/>
    </row>
    <row r="172" spans="1:2" x14ac:dyDescent="0.2">
      <c r="A172" s="1010"/>
      <c r="B172" s="1010"/>
    </row>
    <row r="173" spans="1:2" x14ac:dyDescent="0.2">
      <c r="A173" s="1010"/>
      <c r="B173" s="1010"/>
    </row>
    <row r="174" spans="1:2" x14ac:dyDescent="0.2">
      <c r="A174" s="1010"/>
      <c r="B174" s="1010"/>
    </row>
    <row r="175" spans="1:2" x14ac:dyDescent="0.2">
      <c r="A175" s="1010"/>
      <c r="B175" s="1010"/>
    </row>
    <row r="176" spans="1:2" x14ac:dyDescent="0.2">
      <c r="A176" s="1010"/>
      <c r="B176" s="1010"/>
    </row>
    <row r="177" spans="1:2" x14ac:dyDescent="0.2">
      <c r="A177" s="1010"/>
      <c r="B177" s="1010"/>
    </row>
    <row r="178" spans="1:2" x14ac:dyDescent="0.2">
      <c r="A178" s="1010"/>
      <c r="B178" s="1010"/>
    </row>
    <row r="179" spans="1:2" x14ac:dyDescent="0.2">
      <c r="A179" s="1010"/>
      <c r="B179" s="1010"/>
    </row>
    <row r="180" spans="1:2" x14ac:dyDescent="0.2">
      <c r="A180" s="1010"/>
      <c r="B180" s="1010"/>
    </row>
    <row r="181" spans="1:2" x14ac:dyDescent="0.2">
      <c r="A181" s="1010"/>
      <c r="B181" s="1010"/>
    </row>
    <row r="182" spans="1:2" x14ac:dyDescent="0.2">
      <c r="A182" s="1010"/>
      <c r="B182" s="1010"/>
    </row>
    <row r="183" spans="1:2" x14ac:dyDescent="0.2">
      <c r="A183" s="1010"/>
      <c r="B183" s="1010"/>
    </row>
    <row r="184" spans="1:2" x14ac:dyDescent="0.2">
      <c r="A184" s="1010"/>
      <c r="B184" s="1010"/>
    </row>
    <row r="185" spans="1:2" x14ac:dyDescent="0.2">
      <c r="A185" s="1010"/>
      <c r="B185" s="1010"/>
    </row>
    <row r="186" spans="1:2" x14ac:dyDescent="0.2">
      <c r="A186" s="1010"/>
      <c r="B186" s="1010"/>
    </row>
    <row r="187" spans="1:2" x14ac:dyDescent="0.2">
      <c r="A187" s="1010"/>
      <c r="B187" s="1010"/>
    </row>
    <row r="188" spans="1:2" x14ac:dyDescent="0.2">
      <c r="A188" s="1010"/>
      <c r="B188" s="1010"/>
    </row>
    <row r="189" spans="1:2" x14ac:dyDescent="0.2">
      <c r="A189" s="1010"/>
      <c r="B189" s="1010"/>
    </row>
    <row r="190" spans="1:2" x14ac:dyDescent="0.2">
      <c r="A190" s="1010"/>
      <c r="B190" s="1010"/>
    </row>
    <row r="191" spans="1:2" x14ac:dyDescent="0.2">
      <c r="A191" s="1010"/>
      <c r="B191" s="1010"/>
    </row>
    <row r="192" spans="1:2" x14ac:dyDescent="0.2">
      <c r="A192" s="1010"/>
      <c r="B192" s="1010"/>
    </row>
    <row r="193" spans="1:2" x14ac:dyDescent="0.2">
      <c r="A193" s="1010"/>
      <c r="B193" s="1010"/>
    </row>
    <row r="194" spans="1:2" x14ac:dyDescent="0.2">
      <c r="A194" s="1010"/>
      <c r="B194" s="1010"/>
    </row>
    <row r="195" spans="1:2" x14ac:dyDescent="0.2">
      <c r="A195" s="1010"/>
      <c r="B195" s="1010"/>
    </row>
    <row r="196" spans="1:2" x14ac:dyDescent="0.2">
      <c r="A196" s="1010"/>
      <c r="B196" s="1010"/>
    </row>
    <row r="197" spans="1:2" x14ac:dyDescent="0.2">
      <c r="A197" s="1010"/>
      <c r="B197" s="1010"/>
    </row>
    <row r="198" spans="1:2" x14ac:dyDescent="0.2">
      <c r="A198" s="1010"/>
      <c r="B198" s="1010"/>
    </row>
    <row r="199" spans="1:2" x14ac:dyDescent="0.2">
      <c r="A199" s="1010"/>
      <c r="B199" s="1010"/>
    </row>
    <row r="200" spans="1:2" x14ac:dyDescent="0.2">
      <c r="A200" s="1010"/>
      <c r="B200" s="1010"/>
    </row>
    <row r="201" spans="1:2" x14ac:dyDescent="0.2">
      <c r="A201" s="1010"/>
      <c r="B201" s="1010"/>
    </row>
    <row r="202" spans="1:2" x14ac:dyDescent="0.2">
      <c r="A202" s="1010"/>
      <c r="B202" s="1010"/>
    </row>
    <row r="203" spans="1:2" x14ac:dyDescent="0.2">
      <c r="A203" s="1010"/>
      <c r="B203" s="1010"/>
    </row>
    <row r="204" spans="1:2" x14ac:dyDescent="0.2">
      <c r="A204" s="1010"/>
      <c r="B204" s="1010"/>
    </row>
    <row r="205" spans="1:2" x14ac:dyDescent="0.2">
      <c r="A205" s="1010"/>
      <c r="B205" s="1010"/>
    </row>
    <row r="206" spans="1:2" x14ac:dyDescent="0.2">
      <c r="A206" s="1010"/>
      <c r="B206" s="1010"/>
    </row>
    <row r="207" spans="1:2" x14ac:dyDescent="0.2">
      <c r="A207" s="1010"/>
      <c r="B207" s="1010"/>
    </row>
    <row r="208" spans="1:2" x14ac:dyDescent="0.2">
      <c r="A208" s="1010"/>
      <c r="B208" s="1010"/>
    </row>
    <row r="209" spans="1:2" x14ac:dyDescent="0.2">
      <c r="A209" s="1010"/>
      <c r="B209" s="1010"/>
    </row>
    <row r="210" spans="1:2" x14ac:dyDescent="0.2">
      <c r="A210" s="1010"/>
      <c r="B210" s="1010"/>
    </row>
    <row r="211" spans="1:2" x14ac:dyDescent="0.2">
      <c r="A211" s="1010"/>
      <c r="B211" s="1010"/>
    </row>
    <row r="212" spans="1:2" x14ac:dyDescent="0.2">
      <c r="A212" s="1010"/>
      <c r="B212" s="1010"/>
    </row>
    <row r="213" spans="1:2" x14ac:dyDescent="0.2">
      <c r="A213" s="1010"/>
      <c r="B213" s="1010"/>
    </row>
    <row r="214" spans="1:2" x14ac:dyDescent="0.2">
      <c r="A214" s="1010"/>
      <c r="B214" s="1010"/>
    </row>
    <row r="215" spans="1:2" x14ac:dyDescent="0.2">
      <c r="A215" s="1010"/>
      <c r="B215" s="1010"/>
    </row>
    <row r="216" spans="1:2" x14ac:dyDescent="0.2">
      <c r="A216" s="1010"/>
      <c r="B216" s="1010"/>
    </row>
    <row r="217" spans="1:2" x14ac:dyDescent="0.2">
      <c r="A217" s="1010"/>
      <c r="B217" s="1010"/>
    </row>
    <row r="218" spans="1:2" x14ac:dyDescent="0.2">
      <c r="A218" s="1010"/>
      <c r="B218" s="1010"/>
    </row>
    <row r="219" spans="1:2" x14ac:dyDescent="0.2">
      <c r="A219" s="1010"/>
      <c r="B219" s="1010"/>
    </row>
    <row r="220" spans="1:2" x14ac:dyDescent="0.2">
      <c r="A220" s="1010"/>
      <c r="B220" s="1010"/>
    </row>
    <row r="221" spans="1:2" x14ac:dyDescent="0.2">
      <c r="A221" s="1010"/>
      <c r="B221" s="1010"/>
    </row>
    <row r="222" spans="1:2" x14ac:dyDescent="0.2">
      <c r="A222" s="1010"/>
      <c r="B222" s="1010"/>
    </row>
    <row r="223" spans="1:2" x14ac:dyDescent="0.2">
      <c r="A223" s="1010"/>
      <c r="B223" s="1010"/>
    </row>
    <row r="224" spans="1:2" x14ac:dyDescent="0.2">
      <c r="A224" s="1010"/>
      <c r="B224" s="1010"/>
    </row>
    <row r="225" spans="1:2" x14ac:dyDescent="0.2">
      <c r="A225" s="1010"/>
      <c r="B225" s="1010"/>
    </row>
    <row r="226" spans="1:2" x14ac:dyDescent="0.2">
      <c r="A226" s="1010"/>
      <c r="B226" s="1010"/>
    </row>
    <row r="227" spans="1:2" x14ac:dyDescent="0.2">
      <c r="A227" s="1010"/>
      <c r="B227" s="1010"/>
    </row>
    <row r="228" spans="1:2" x14ac:dyDescent="0.2">
      <c r="A228" s="1010"/>
      <c r="B228" s="1010"/>
    </row>
    <row r="229" spans="1:2" x14ac:dyDescent="0.2">
      <c r="A229" s="1010"/>
      <c r="B229" s="1010"/>
    </row>
    <row r="230" spans="1:2" x14ac:dyDescent="0.2">
      <c r="A230" s="1010"/>
      <c r="B230" s="1010"/>
    </row>
    <row r="231" spans="1:2" x14ac:dyDescent="0.2">
      <c r="A231" s="1010"/>
      <c r="B231" s="1010"/>
    </row>
    <row r="232" spans="1:2" x14ac:dyDescent="0.2">
      <c r="A232" s="1010"/>
      <c r="B232" s="1010"/>
    </row>
    <row r="233" spans="1:2" x14ac:dyDescent="0.2">
      <c r="A233" s="1010"/>
      <c r="B233" s="1010"/>
    </row>
    <row r="234" spans="1:2" x14ac:dyDescent="0.2">
      <c r="A234" s="1010"/>
      <c r="B234" s="1010"/>
    </row>
    <row r="235" spans="1:2" x14ac:dyDescent="0.2">
      <c r="A235" s="1010"/>
      <c r="B235" s="1010"/>
    </row>
    <row r="236" spans="1:2" x14ac:dyDescent="0.2">
      <c r="A236" s="1010"/>
      <c r="B236" s="1010"/>
    </row>
    <row r="237" spans="1:2" x14ac:dyDescent="0.2">
      <c r="A237" s="1010"/>
      <c r="B237" s="1010"/>
    </row>
    <row r="238" spans="1:2" x14ac:dyDescent="0.2">
      <c r="A238" s="1010"/>
      <c r="B238" s="1010"/>
    </row>
    <row r="239" spans="1:2" x14ac:dyDescent="0.2">
      <c r="A239" s="1010"/>
      <c r="B239" s="1010"/>
    </row>
    <row r="240" spans="1:2" x14ac:dyDescent="0.2">
      <c r="A240" s="1010"/>
      <c r="B240" s="1010"/>
    </row>
    <row r="241" spans="1:2" x14ac:dyDescent="0.2">
      <c r="A241" s="1013"/>
      <c r="B241" s="1013"/>
    </row>
    <row r="242" spans="1:2" x14ac:dyDescent="0.2">
      <c r="A242" s="1013"/>
      <c r="B242" s="1013"/>
    </row>
    <row r="243" spans="1:2" x14ac:dyDescent="0.2">
      <c r="A243" s="1013"/>
      <c r="B243" s="1013"/>
    </row>
    <row r="244" spans="1:2" x14ac:dyDescent="0.2">
      <c r="A244" s="1013"/>
      <c r="B244" s="1013"/>
    </row>
    <row r="245" spans="1:2" x14ac:dyDescent="0.2">
      <c r="A245" s="1013"/>
      <c r="B245" s="1013"/>
    </row>
    <row r="246" spans="1:2" x14ac:dyDescent="0.2">
      <c r="A246" s="1013"/>
      <c r="B246" s="1013"/>
    </row>
    <row r="247" spans="1:2" x14ac:dyDescent="0.2">
      <c r="A247" s="1013"/>
      <c r="B247" s="1013"/>
    </row>
    <row r="248" spans="1:2" x14ac:dyDescent="0.2">
      <c r="A248" s="1013"/>
      <c r="B248" s="1013"/>
    </row>
    <row r="249" spans="1:2" x14ac:dyDescent="0.2">
      <c r="A249" s="1013"/>
      <c r="B249" s="1013"/>
    </row>
    <row r="250" spans="1:2" x14ac:dyDescent="0.2">
      <c r="A250" s="1013"/>
      <c r="B250" s="1013"/>
    </row>
    <row r="251" spans="1:2" x14ac:dyDescent="0.2">
      <c r="A251" s="1013"/>
      <c r="B251" s="1013"/>
    </row>
    <row r="252" spans="1:2" x14ac:dyDescent="0.2">
      <c r="A252" s="1013"/>
      <c r="B252" s="1013"/>
    </row>
    <row r="253" spans="1:2" x14ac:dyDescent="0.2">
      <c r="A253" s="1013"/>
      <c r="B253" s="1013"/>
    </row>
    <row r="254" spans="1:2" x14ac:dyDescent="0.2">
      <c r="A254" s="1013"/>
      <c r="B254" s="1013"/>
    </row>
    <row r="255" spans="1:2" x14ac:dyDescent="0.2">
      <c r="A255" s="1013"/>
      <c r="B255" s="1013"/>
    </row>
    <row r="256" spans="1:2" x14ac:dyDescent="0.2">
      <c r="A256" s="1013"/>
      <c r="B256" s="1013"/>
    </row>
    <row r="257" spans="1:2" x14ac:dyDescent="0.2">
      <c r="A257" s="1013"/>
      <c r="B257" s="1013"/>
    </row>
    <row r="258" spans="1:2" x14ac:dyDescent="0.2">
      <c r="A258" s="1013"/>
      <c r="B258" s="1013"/>
    </row>
    <row r="259" spans="1:2" x14ac:dyDescent="0.2">
      <c r="A259" s="1013"/>
      <c r="B259" s="1013"/>
    </row>
    <row r="260" spans="1:2" x14ac:dyDescent="0.2">
      <c r="A260" s="1013"/>
      <c r="B260" s="1013"/>
    </row>
    <row r="261" spans="1:2" x14ac:dyDescent="0.2">
      <c r="A261" s="1013"/>
      <c r="B261" s="1013"/>
    </row>
    <row r="262" spans="1:2" x14ac:dyDescent="0.2">
      <c r="A262" s="1013"/>
      <c r="B262" s="1013"/>
    </row>
    <row r="263" spans="1:2" x14ac:dyDescent="0.2">
      <c r="A263" s="1013"/>
      <c r="B263" s="1013"/>
    </row>
    <row r="264" spans="1:2" x14ac:dyDescent="0.2">
      <c r="A264" s="1013"/>
      <c r="B264" s="1013"/>
    </row>
    <row r="265" spans="1:2" x14ac:dyDescent="0.2">
      <c r="A265" s="1013"/>
      <c r="B265" s="1013"/>
    </row>
    <row r="266" spans="1:2" x14ac:dyDescent="0.2">
      <c r="A266" s="1013"/>
      <c r="B266" s="1013"/>
    </row>
    <row r="267" spans="1:2" x14ac:dyDescent="0.2">
      <c r="A267" s="1013"/>
      <c r="B267" s="1013"/>
    </row>
    <row r="268" spans="1:2" x14ac:dyDescent="0.2">
      <c r="A268" s="1013"/>
      <c r="B268" s="1013"/>
    </row>
    <row r="269" spans="1:2" x14ac:dyDescent="0.2">
      <c r="A269" s="1013"/>
      <c r="B269" s="1013"/>
    </row>
    <row r="270" spans="1:2" x14ac:dyDescent="0.2">
      <c r="A270" s="1013"/>
      <c r="B270" s="1013"/>
    </row>
    <row r="271" spans="1:2" x14ac:dyDescent="0.2">
      <c r="A271" s="1013"/>
      <c r="B271" s="1013"/>
    </row>
    <row r="272" spans="1:2" x14ac:dyDescent="0.2">
      <c r="A272" s="1013"/>
      <c r="B272" s="1013"/>
    </row>
    <row r="273" spans="1:2" x14ac:dyDescent="0.2">
      <c r="A273" s="1013"/>
      <c r="B273" s="1013"/>
    </row>
    <row r="274" spans="1:2" x14ac:dyDescent="0.2">
      <c r="A274" s="1013"/>
      <c r="B274" s="1013"/>
    </row>
    <row r="275" spans="1:2" x14ac:dyDescent="0.2">
      <c r="A275" s="1013"/>
      <c r="B275" s="1013"/>
    </row>
  </sheetData>
  <mergeCells count="6">
    <mergeCell ref="A53:D53"/>
    <mergeCell ref="A2:D2"/>
    <mergeCell ref="A4:A5"/>
    <mergeCell ref="B4:B5"/>
    <mergeCell ref="C4:D4"/>
    <mergeCell ref="A52:D52"/>
  </mergeCells>
  <pageMargins left="0.86614173228346458" right="0.31496062992125984" top="0.55118110236220474" bottom="0.31496062992125984" header="0.31496062992125984" footer="0.1968503937007874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2"/>
  <sheetViews>
    <sheetView showZeros="0" topLeftCell="A58" zoomScaleNormal="100" workbookViewId="0">
      <selection activeCell="J48" sqref="J48"/>
    </sheetView>
  </sheetViews>
  <sheetFormatPr defaultRowHeight="12.75" x14ac:dyDescent="0.2"/>
  <cols>
    <col min="1" max="1" width="4" style="583" customWidth="1"/>
    <col min="2" max="2" width="20.85546875" style="583" customWidth="1"/>
    <col min="3" max="3" width="10.42578125" style="583" customWidth="1"/>
    <col min="4" max="5" width="11.42578125" style="583" customWidth="1"/>
    <col min="6" max="6" width="12" style="583" customWidth="1"/>
    <col min="7" max="7" width="10.85546875" style="583" customWidth="1"/>
    <col min="8" max="9" width="10.42578125" style="583" customWidth="1"/>
    <col min="10" max="11" width="11.42578125" style="583" customWidth="1"/>
    <col min="12" max="12" width="11.140625" style="583" customWidth="1"/>
    <col min="13" max="13" width="12.28515625" style="583" customWidth="1"/>
    <col min="14" max="14" width="10.85546875" style="583" customWidth="1"/>
    <col min="15" max="15" width="10.42578125" style="583" customWidth="1"/>
    <col min="16" max="16" width="9.85546875" style="583" customWidth="1"/>
    <col min="17" max="17" width="10.140625" style="583" customWidth="1"/>
    <col min="18" max="16384" width="9.140625" style="583"/>
  </cols>
  <sheetData>
    <row r="1" spans="1:19" x14ac:dyDescent="0.2">
      <c r="Q1" s="584" t="s">
        <v>967</v>
      </c>
    </row>
    <row r="2" spans="1:19" s="585" customFormat="1" ht="30.75" customHeight="1" x14ac:dyDescent="0.25">
      <c r="A2" s="1527" t="s">
        <v>1012</v>
      </c>
      <c r="B2" s="1527"/>
      <c r="C2" s="1527"/>
      <c r="D2" s="1527"/>
      <c r="E2" s="1527"/>
      <c r="F2" s="1527"/>
      <c r="G2" s="1527"/>
      <c r="H2" s="1527"/>
      <c r="I2" s="1527"/>
      <c r="J2" s="1527"/>
      <c r="K2" s="1527"/>
      <c r="L2" s="1527"/>
      <c r="M2" s="1527"/>
      <c r="N2" s="1527"/>
      <c r="O2" s="1527"/>
      <c r="P2" s="1527"/>
      <c r="Q2" s="1527"/>
    </row>
    <row r="3" spans="1:19" s="585" customFormat="1" x14ac:dyDescent="0.25">
      <c r="Q3" s="585" t="s">
        <v>0</v>
      </c>
    </row>
    <row r="4" spans="1:19" s="585" customFormat="1" ht="12.75" customHeight="1" x14ac:dyDescent="0.25">
      <c r="A4" s="1528" t="s">
        <v>968</v>
      </c>
      <c r="B4" s="1529" t="s">
        <v>969</v>
      </c>
      <c r="C4" s="1530" t="s">
        <v>60</v>
      </c>
      <c r="D4" s="1531" t="s">
        <v>5</v>
      </c>
      <c r="E4" s="1531"/>
      <c r="F4" s="1531"/>
      <c r="G4" s="1531"/>
      <c r="H4" s="1531"/>
      <c r="I4" s="1531"/>
      <c r="J4" s="1526" t="s">
        <v>64</v>
      </c>
      <c r="K4" s="1531" t="s">
        <v>5</v>
      </c>
      <c r="L4" s="1531"/>
      <c r="M4" s="1531"/>
      <c r="N4" s="1531"/>
      <c r="O4" s="1531"/>
      <c r="P4" s="1531"/>
      <c r="Q4" s="1532" t="s">
        <v>970</v>
      </c>
    </row>
    <row r="5" spans="1:19" s="585" customFormat="1" ht="69.75" customHeight="1" x14ac:dyDescent="0.25">
      <c r="A5" s="1528"/>
      <c r="B5" s="1529"/>
      <c r="C5" s="1530"/>
      <c r="D5" s="586" t="s">
        <v>1010</v>
      </c>
      <c r="E5" s="586" t="s">
        <v>971</v>
      </c>
      <c r="F5" s="586" t="s">
        <v>972</v>
      </c>
      <c r="G5" s="586" t="s">
        <v>973</v>
      </c>
      <c r="H5" s="586" t="s">
        <v>974</v>
      </c>
      <c r="I5" s="587" t="s">
        <v>975</v>
      </c>
      <c r="J5" s="1526"/>
      <c r="K5" s="586" t="s">
        <v>1010</v>
      </c>
      <c r="L5" s="586" t="s">
        <v>971</v>
      </c>
      <c r="M5" s="586" t="s">
        <v>972</v>
      </c>
      <c r="N5" s="586" t="s">
        <v>973</v>
      </c>
      <c r="O5" s="586" t="s">
        <v>974</v>
      </c>
      <c r="P5" s="586" t="s">
        <v>975</v>
      </c>
      <c r="Q5" s="1532"/>
    </row>
    <row r="6" spans="1:19" s="585" customFormat="1" x14ac:dyDescent="0.25">
      <c r="A6" s="587">
        <v>1</v>
      </c>
      <c r="B6" s="589">
        <v>2</v>
      </c>
      <c r="C6" s="588">
        <v>3</v>
      </c>
      <c r="D6" s="589">
        <v>4</v>
      </c>
      <c r="E6" s="589">
        <v>5</v>
      </c>
      <c r="F6" s="589">
        <v>6</v>
      </c>
      <c r="G6" s="589">
        <v>7</v>
      </c>
      <c r="H6" s="589">
        <v>8</v>
      </c>
      <c r="I6" s="589">
        <v>9</v>
      </c>
      <c r="J6" s="590">
        <v>10</v>
      </c>
      <c r="K6" s="589">
        <v>11</v>
      </c>
      <c r="L6" s="589">
        <v>12</v>
      </c>
      <c r="M6" s="589">
        <v>13</v>
      </c>
      <c r="N6" s="589">
        <v>14</v>
      </c>
      <c r="O6" s="589">
        <v>15</v>
      </c>
      <c r="P6" s="589">
        <v>16</v>
      </c>
      <c r="Q6" s="588">
        <v>17</v>
      </c>
    </row>
    <row r="7" spans="1:19" s="585" customFormat="1" ht="33.75" customHeight="1" x14ac:dyDescent="0.25">
      <c r="A7" s="1525" t="s">
        <v>976</v>
      </c>
      <c r="B7" s="1525"/>
      <c r="C7" s="591">
        <f>+SUM(D7:I7)</f>
        <v>86761</v>
      </c>
      <c r="D7" s="592">
        <f t="shared" ref="D7:I7" si="0">+SUM(D9:D17)</f>
        <v>3139.7</v>
      </c>
      <c r="E7" s="592">
        <f t="shared" si="0"/>
        <v>80926.7</v>
      </c>
      <c r="F7" s="592">
        <f t="shared" si="0"/>
        <v>118.9</v>
      </c>
      <c r="G7" s="592">
        <f t="shared" si="0"/>
        <v>373.6</v>
      </c>
      <c r="H7" s="592">
        <f t="shared" si="0"/>
        <v>2202.1</v>
      </c>
      <c r="I7" s="592">
        <f t="shared" si="0"/>
        <v>0</v>
      </c>
      <c r="J7" s="591">
        <f>+SUM(K7:P7)</f>
        <v>82195.400000000009</v>
      </c>
      <c r="K7" s="592">
        <f t="shared" ref="K7:P7" si="1">+SUM(K9:K17)</f>
        <v>22617.300000000003</v>
      </c>
      <c r="L7" s="592">
        <f t="shared" si="1"/>
        <v>58882.9</v>
      </c>
      <c r="M7" s="592">
        <f t="shared" si="1"/>
        <v>87.4</v>
      </c>
      <c r="N7" s="592">
        <f t="shared" si="1"/>
        <v>390.5</v>
      </c>
      <c r="O7" s="592">
        <f t="shared" si="1"/>
        <v>217.3</v>
      </c>
      <c r="P7" s="592">
        <f t="shared" si="1"/>
        <v>0</v>
      </c>
      <c r="Q7" s="591">
        <f t="shared" ref="Q7:Q17" si="2">+J7-C7</f>
        <v>-4565.5999999999913</v>
      </c>
      <c r="S7" s="606"/>
    </row>
    <row r="8" spans="1:19" s="585" customFormat="1" x14ac:dyDescent="0.25">
      <c r="A8" s="593"/>
      <c r="B8" s="594" t="s">
        <v>5</v>
      </c>
      <c r="C8" s="595"/>
      <c r="D8" s="596"/>
      <c r="E8" s="596"/>
      <c r="F8" s="596"/>
      <c r="G8" s="596"/>
      <c r="H8" s="596"/>
      <c r="I8" s="596"/>
      <c r="J8" s="595"/>
      <c r="K8" s="596"/>
      <c r="L8" s="596"/>
      <c r="M8" s="596"/>
      <c r="N8" s="596"/>
      <c r="O8" s="596"/>
      <c r="P8" s="596"/>
      <c r="Q8" s="595">
        <f t="shared" si="2"/>
        <v>0</v>
      </c>
      <c r="S8" s="606"/>
    </row>
    <row r="9" spans="1:19" s="585" customFormat="1" ht="30.75" customHeight="1" x14ac:dyDescent="0.25">
      <c r="A9" s="597" t="s">
        <v>419</v>
      </c>
      <c r="B9" s="594" t="s">
        <v>637</v>
      </c>
      <c r="C9" s="595">
        <f t="shared" ref="C9:C17" si="3">+SUM(D9:I9)</f>
        <v>1775.1</v>
      </c>
      <c r="D9" s="596"/>
      <c r="E9" s="596">
        <v>1775.1</v>
      </c>
      <c r="F9" s="596"/>
      <c r="G9" s="596"/>
      <c r="H9" s="596"/>
      <c r="I9" s="596"/>
      <c r="J9" s="595">
        <f t="shared" ref="J9:J17" si="4">+SUM(K9:P9)</f>
        <v>1775.1</v>
      </c>
      <c r="K9" s="596"/>
      <c r="L9" s="596">
        <v>1775.1</v>
      </c>
      <c r="M9" s="596"/>
      <c r="N9" s="596"/>
      <c r="O9" s="596"/>
      <c r="P9" s="596"/>
      <c r="Q9" s="595">
        <f t="shared" si="2"/>
        <v>0</v>
      </c>
      <c r="S9" s="606"/>
    </row>
    <row r="10" spans="1:19" s="585" customFormat="1" ht="57.75" customHeight="1" x14ac:dyDescent="0.25">
      <c r="A10" s="597" t="s">
        <v>80</v>
      </c>
      <c r="B10" s="594" t="s">
        <v>79</v>
      </c>
      <c r="C10" s="595">
        <f t="shared" si="3"/>
        <v>100.5</v>
      </c>
      <c r="D10" s="596">
        <v>100.5</v>
      </c>
      <c r="E10" s="596"/>
      <c r="F10" s="596"/>
      <c r="G10" s="596"/>
      <c r="H10" s="596"/>
      <c r="I10" s="596"/>
      <c r="J10" s="595">
        <f t="shared" si="4"/>
        <v>355</v>
      </c>
      <c r="K10" s="596">
        <v>355</v>
      </c>
      <c r="L10" s="596"/>
      <c r="M10" s="596"/>
      <c r="N10" s="596"/>
      <c r="O10" s="596"/>
      <c r="P10" s="596"/>
      <c r="Q10" s="595">
        <f t="shared" si="2"/>
        <v>254.5</v>
      </c>
      <c r="S10" s="606"/>
    </row>
    <row r="11" spans="1:19" s="585" customFormat="1" ht="30" customHeight="1" x14ac:dyDescent="0.25">
      <c r="A11" s="597" t="s">
        <v>195</v>
      </c>
      <c r="B11" s="594" t="s">
        <v>196</v>
      </c>
      <c r="C11" s="595">
        <f t="shared" si="3"/>
        <v>4009</v>
      </c>
      <c r="D11" s="596">
        <v>1384.5</v>
      </c>
      <c r="E11" s="596">
        <v>2250.9</v>
      </c>
      <c r="F11" s="596"/>
      <c r="G11" s="596">
        <v>373.6</v>
      </c>
      <c r="H11" s="596"/>
      <c r="I11" s="596"/>
      <c r="J11" s="595">
        <f t="shared" si="4"/>
        <v>5429.0000000000009</v>
      </c>
      <c r="K11" s="596">
        <v>2227.9</v>
      </c>
      <c r="L11" s="596">
        <v>2593.3000000000002</v>
      </c>
      <c r="M11" s="596"/>
      <c r="N11" s="596">
        <f>7.6+382.9</f>
        <v>390.5</v>
      </c>
      <c r="O11" s="596">
        <f>214+3.3</f>
        <v>217.3</v>
      </c>
      <c r="P11" s="596"/>
      <c r="Q11" s="595">
        <f t="shared" si="2"/>
        <v>1420.0000000000009</v>
      </c>
      <c r="S11" s="606"/>
    </row>
    <row r="12" spans="1:19" s="585" customFormat="1" ht="55.5" customHeight="1" x14ac:dyDescent="0.25">
      <c r="A12" s="593" t="s">
        <v>424</v>
      </c>
      <c r="B12" s="594" t="s">
        <v>977</v>
      </c>
      <c r="C12" s="595">
        <f t="shared" si="3"/>
        <v>1558</v>
      </c>
      <c r="D12" s="596"/>
      <c r="E12" s="596">
        <v>1558</v>
      </c>
      <c r="F12" s="596"/>
      <c r="G12" s="596"/>
      <c r="H12" s="596"/>
      <c r="I12" s="596"/>
      <c r="J12" s="595">
        <f t="shared" si="4"/>
        <v>2443.6</v>
      </c>
      <c r="K12" s="596"/>
      <c r="L12" s="596">
        <v>2443.6</v>
      </c>
      <c r="M12" s="596"/>
      <c r="N12" s="596"/>
      <c r="O12" s="596"/>
      <c r="P12" s="596"/>
      <c r="Q12" s="595">
        <f t="shared" si="2"/>
        <v>885.59999999999991</v>
      </c>
      <c r="S12" s="606"/>
    </row>
    <row r="13" spans="1:19" s="585" customFormat="1" ht="27" customHeight="1" x14ac:dyDescent="0.25">
      <c r="A13" s="593">
        <v>10</v>
      </c>
      <c r="B13" s="594" t="s">
        <v>288</v>
      </c>
      <c r="C13" s="595">
        <f t="shared" si="3"/>
        <v>894.9</v>
      </c>
      <c r="D13" s="596"/>
      <c r="E13" s="596"/>
      <c r="F13" s="596"/>
      <c r="G13" s="596"/>
      <c r="H13" s="596">
        <v>894.9</v>
      </c>
      <c r="I13" s="596"/>
      <c r="J13" s="595">
        <f t="shared" si="4"/>
        <v>0</v>
      </c>
      <c r="K13" s="596"/>
      <c r="L13" s="596"/>
      <c r="M13" s="596"/>
      <c r="N13" s="596"/>
      <c r="O13" s="596"/>
      <c r="P13" s="596"/>
      <c r="Q13" s="595">
        <f t="shared" si="2"/>
        <v>-894.9</v>
      </c>
      <c r="S13" s="606"/>
    </row>
    <row r="14" spans="1:19" s="585" customFormat="1" ht="20.25" customHeight="1" x14ac:dyDescent="0.25">
      <c r="A14" s="593" t="s">
        <v>978</v>
      </c>
      <c r="B14" s="594" t="s">
        <v>979</v>
      </c>
      <c r="C14" s="595">
        <f t="shared" si="3"/>
        <v>220</v>
      </c>
      <c r="D14" s="596"/>
      <c r="E14" s="596">
        <v>220</v>
      </c>
      <c r="F14" s="596"/>
      <c r="G14" s="596"/>
      <c r="H14" s="596"/>
      <c r="I14" s="596"/>
      <c r="J14" s="595">
        <f t="shared" si="4"/>
        <v>220</v>
      </c>
      <c r="K14" s="596"/>
      <c r="L14" s="596">
        <v>220</v>
      </c>
      <c r="M14" s="596"/>
      <c r="N14" s="596"/>
      <c r="O14" s="596"/>
      <c r="P14" s="596"/>
      <c r="Q14" s="595">
        <f t="shared" si="2"/>
        <v>0</v>
      </c>
      <c r="S14" s="606"/>
    </row>
    <row r="15" spans="1:19" s="585" customFormat="1" ht="30.75" hidden="1" customHeight="1" x14ac:dyDescent="0.25">
      <c r="A15" s="593">
        <v>15</v>
      </c>
      <c r="B15" s="594" t="s">
        <v>980</v>
      </c>
      <c r="C15" s="595">
        <f t="shared" si="3"/>
        <v>0</v>
      </c>
      <c r="D15" s="596"/>
      <c r="E15" s="596"/>
      <c r="F15" s="596"/>
      <c r="G15" s="596"/>
      <c r="H15" s="596"/>
      <c r="I15" s="596"/>
      <c r="J15" s="595">
        <f t="shared" si="4"/>
        <v>0</v>
      </c>
      <c r="K15" s="596"/>
      <c r="L15" s="596"/>
      <c r="M15" s="596"/>
      <c r="N15" s="596"/>
      <c r="O15" s="596"/>
      <c r="P15" s="596"/>
      <c r="Q15" s="595">
        <f t="shared" si="2"/>
        <v>0</v>
      </c>
      <c r="S15" s="606"/>
    </row>
    <row r="16" spans="1:19" s="585" customFormat="1" ht="68.25" customHeight="1" x14ac:dyDescent="0.25">
      <c r="A16" s="593">
        <v>16</v>
      </c>
      <c r="B16" s="594" t="s">
        <v>213</v>
      </c>
      <c r="C16" s="595">
        <f t="shared" si="3"/>
        <v>77824.599999999991</v>
      </c>
      <c r="D16" s="596">
        <v>1654.7</v>
      </c>
      <c r="E16" s="596">
        <v>74862.7</v>
      </c>
      <c r="F16" s="596"/>
      <c r="G16" s="596"/>
      <c r="H16" s="596">
        <v>1307.2</v>
      </c>
      <c r="I16" s="596"/>
      <c r="J16" s="595">
        <f t="shared" si="4"/>
        <v>71585.3</v>
      </c>
      <c r="K16" s="596">
        <v>20034.400000000001</v>
      </c>
      <c r="L16" s="596">
        <v>51550.9</v>
      </c>
      <c r="M16" s="596"/>
      <c r="N16" s="596"/>
      <c r="O16" s="596"/>
      <c r="P16" s="596"/>
      <c r="Q16" s="595">
        <f t="shared" si="2"/>
        <v>-6239.2999999999884</v>
      </c>
      <c r="S16" s="606"/>
    </row>
    <row r="17" spans="1:19" s="585" customFormat="1" ht="27" customHeight="1" x14ac:dyDescent="0.25">
      <c r="A17" s="593" t="s">
        <v>981</v>
      </c>
      <c r="B17" s="594" t="s">
        <v>226</v>
      </c>
      <c r="C17" s="595">
        <f t="shared" si="3"/>
        <v>378.9</v>
      </c>
      <c r="D17" s="596"/>
      <c r="E17" s="596">
        <v>260</v>
      </c>
      <c r="F17" s="596">
        <v>118.9</v>
      </c>
      <c r="G17" s="596"/>
      <c r="H17" s="596"/>
      <c r="I17" s="596"/>
      <c r="J17" s="595">
        <f t="shared" si="4"/>
        <v>387.4</v>
      </c>
      <c r="K17" s="596"/>
      <c r="L17" s="596">
        <v>300</v>
      </c>
      <c r="M17" s="596">
        <v>87.4</v>
      </c>
      <c r="N17" s="596"/>
      <c r="O17" s="596"/>
      <c r="P17" s="596"/>
      <c r="Q17" s="595">
        <f t="shared" si="2"/>
        <v>8.5</v>
      </c>
      <c r="S17" s="606"/>
    </row>
    <row r="18" spans="1:19" s="585" customFormat="1" ht="27.75" customHeight="1" x14ac:dyDescent="0.25">
      <c r="A18" s="1525" t="s">
        <v>982</v>
      </c>
      <c r="B18" s="1525"/>
      <c r="C18" s="591">
        <f t="shared" ref="C18:Q18" si="5">+C20</f>
        <v>2529.5</v>
      </c>
      <c r="D18" s="592">
        <f t="shared" si="5"/>
        <v>0</v>
      </c>
      <c r="E18" s="592">
        <f t="shared" si="5"/>
        <v>2529.5</v>
      </c>
      <c r="F18" s="592">
        <f t="shared" si="5"/>
        <v>0</v>
      </c>
      <c r="G18" s="592">
        <f t="shared" si="5"/>
        <v>0</v>
      </c>
      <c r="H18" s="592">
        <f t="shared" si="5"/>
        <v>0</v>
      </c>
      <c r="I18" s="592">
        <f t="shared" si="5"/>
        <v>0</v>
      </c>
      <c r="J18" s="591">
        <f t="shared" si="5"/>
        <v>2523</v>
      </c>
      <c r="K18" s="592">
        <f t="shared" si="5"/>
        <v>0</v>
      </c>
      <c r="L18" s="592">
        <f t="shared" si="5"/>
        <v>2523</v>
      </c>
      <c r="M18" s="592">
        <f t="shared" si="5"/>
        <v>0</v>
      </c>
      <c r="N18" s="592">
        <f t="shared" si="5"/>
        <v>0</v>
      </c>
      <c r="O18" s="592">
        <f t="shared" si="5"/>
        <v>0</v>
      </c>
      <c r="P18" s="592">
        <f t="shared" si="5"/>
        <v>0</v>
      </c>
      <c r="Q18" s="591">
        <f t="shared" si="5"/>
        <v>-6.5</v>
      </c>
      <c r="S18" s="606"/>
    </row>
    <row r="19" spans="1:19" s="585" customFormat="1" x14ac:dyDescent="0.25">
      <c r="A19" s="593"/>
      <c r="B19" s="594" t="s">
        <v>5</v>
      </c>
      <c r="C19" s="595">
        <f>+SUM(D19:I19)</f>
        <v>0</v>
      </c>
      <c r="D19" s="596"/>
      <c r="E19" s="596"/>
      <c r="F19" s="596"/>
      <c r="G19" s="596"/>
      <c r="H19" s="596"/>
      <c r="I19" s="596"/>
      <c r="J19" s="595"/>
      <c r="K19" s="596"/>
      <c r="L19" s="596"/>
      <c r="M19" s="596"/>
      <c r="N19" s="596"/>
      <c r="O19" s="596"/>
      <c r="P19" s="596"/>
      <c r="Q19" s="595">
        <f>+J19-C19</f>
        <v>0</v>
      </c>
      <c r="S19" s="606"/>
    </row>
    <row r="20" spans="1:19" s="585" customFormat="1" ht="32.25" customHeight="1" x14ac:dyDescent="0.25">
      <c r="A20" s="593" t="s">
        <v>499</v>
      </c>
      <c r="B20" s="594" t="s">
        <v>983</v>
      </c>
      <c r="C20" s="595">
        <f>+SUM(D20:I20)</f>
        <v>2529.5</v>
      </c>
      <c r="D20" s="596"/>
      <c r="E20" s="596">
        <v>2529.5</v>
      </c>
      <c r="F20" s="596"/>
      <c r="G20" s="596"/>
      <c r="H20" s="596"/>
      <c r="I20" s="596"/>
      <c r="J20" s="595">
        <f>+SUM(K20:P20)</f>
        <v>2523</v>
      </c>
      <c r="K20" s="596"/>
      <c r="L20" s="596">
        <v>2523</v>
      </c>
      <c r="M20" s="596"/>
      <c r="N20" s="596"/>
      <c r="O20" s="596"/>
      <c r="P20" s="596"/>
      <c r="Q20" s="595">
        <f>+J20-C20</f>
        <v>-6.5</v>
      </c>
      <c r="S20" s="606"/>
    </row>
    <row r="21" spans="1:19" s="585" customFormat="1" ht="34.5" customHeight="1" x14ac:dyDescent="0.25">
      <c r="A21" s="1525" t="s">
        <v>984</v>
      </c>
      <c r="B21" s="1525"/>
      <c r="C21" s="591">
        <f>+SUM(C23:C26)</f>
        <v>2633.5</v>
      </c>
      <c r="D21" s="592">
        <f>+SUM(D23:D26)</f>
        <v>0</v>
      </c>
      <c r="E21" s="592">
        <f t="shared" ref="E21:I21" si="6">+SUM(E23:E26)</f>
        <v>1192.8</v>
      </c>
      <c r="F21" s="592">
        <f t="shared" si="6"/>
        <v>0</v>
      </c>
      <c r="G21" s="592">
        <f t="shared" si="6"/>
        <v>21</v>
      </c>
      <c r="H21" s="592">
        <f t="shared" si="6"/>
        <v>1419.7</v>
      </c>
      <c r="I21" s="592">
        <f t="shared" si="6"/>
        <v>0</v>
      </c>
      <c r="J21" s="591">
        <f>+SUM(J23:J26)</f>
        <v>2895.0000000000005</v>
      </c>
      <c r="K21" s="592">
        <f>+SUM(K23:K26)</f>
        <v>59.9</v>
      </c>
      <c r="L21" s="592">
        <f t="shared" ref="L21:P21" si="7">+SUM(L23:L26)</f>
        <v>1529.5</v>
      </c>
      <c r="M21" s="592">
        <f t="shared" si="7"/>
        <v>0</v>
      </c>
      <c r="N21" s="592">
        <f t="shared" si="7"/>
        <v>21</v>
      </c>
      <c r="O21" s="592">
        <f t="shared" si="7"/>
        <v>1284.6000000000001</v>
      </c>
      <c r="P21" s="592">
        <f t="shared" si="7"/>
        <v>0</v>
      </c>
      <c r="Q21" s="591">
        <f>+SUM(Q23:Q26)</f>
        <v>261.50000000000006</v>
      </c>
      <c r="S21" s="606"/>
    </row>
    <row r="22" spans="1:19" s="585" customFormat="1" x14ac:dyDescent="0.25">
      <c r="A22" s="593"/>
      <c r="B22" s="594" t="s">
        <v>5</v>
      </c>
      <c r="C22" s="595">
        <f>+SUM(D22:I22)</f>
        <v>0</v>
      </c>
      <c r="D22" s="596"/>
      <c r="E22" s="596"/>
      <c r="F22" s="596"/>
      <c r="G22" s="596"/>
      <c r="H22" s="596"/>
      <c r="I22" s="596"/>
      <c r="J22" s="595"/>
      <c r="K22" s="596"/>
      <c r="L22" s="596"/>
      <c r="M22" s="596"/>
      <c r="N22" s="596"/>
      <c r="O22" s="596"/>
      <c r="P22" s="596"/>
      <c r="Q22" s="595">
        <f>+J22-C22</f>
        <v>0</v>
      </c>
      <c r="S22" s="606"/>
    </row>
    <row r="23" spans="1:19" s="585" customFormat="1" ht="27" customHeight="1" x14ac:dyDescent="0.25">
      <c r="A23" s="593">
        <v>10</v>
      </c>
      <c r="B23" s="594" t="s">
        <v>288</v>
      </c>
      <c r="C23" s="595">
        <f>+SUM(D23:I23)</f>
        <v>64.900000000000006</v>
      </c>
      <c r="D23" s="596"/>
      <c r="E23" s="596">
        <v>64.900000000000006</v>
      </c>
      <c r="F23" s="596"/>
      <c r="G23" s="596"/>
      <c r="H23" s="596"/>
      <c r="I23" s="596"/>
      <c r="J23" s="595">
        <f>+SUM(K23:P23)</f>
        <v>121.6</v>
      </c>
      <c r="K23" s="596"/>
      <c r="L23" s="596">
        <v>121.6</v>
      </c>
      <c r="M23" s="596"/>
      <c r="N23" s="596"/>
      <c r="O23" s="596"/>
      <c r="P23" s="596"/>
      <c r="Q23" s="595">
        <f>+J23-C23</f>
        <v>56.699999999999989</v>
      </c>
      <c r="S23" s="606"/>
    </row>
    <row r="24" spans="1:19" s="585" customFormat="1" ht="33.75" customHeight="1" x14ac:dyDescent="0.25">
      <c r="A24" s="597" t="s">
        <v>985</v>
      </c>
      <c r="B24" s="594" t="s">
        <v>493</v>
      </c>
      <c r="C24" s="595">
        <f>+SUM(D24:I24)</f>
        <v>320.7</v>
      </c>
      <c r="D24" s="596"/>
      <c r="E24" s="596">
        <v>181.7</v>
      </c>
      <c r="F24" s="596"/>
      <c r="G24" s="596">
        <v>6</v>
      </c>
      <c r="H24" s="596">
        <f>110+23</f>
        <v>133</v>
      </c>
      <c r="I24" s="596"/>
      <c r="J24" s="595">
        <f>+SUM(K24:P24)</f>
        <v>477.7</v>
      </c>
      <c r="K24" s="596"/>
      <c r="L24" s="596">
        <v>361.7</v>
      </c>
      <c r="M24" s="596"/>
      <c r="N24" s="596">
        <v>6</v>
      </c>
      <c r="O24" s="596">
        <v>110</v>
      </c>
      <c r="P24" s="596"/>
      <c r="Q24" s="595">
        <f>+J24-C24</f>
        <v>157</v>
      </c>
      <c r="S24" s="606"/>
    </row>
    <row r="25" spans="1:19" s="585" customFormat="1" ht="34.5" customHeight="1" x14ac:dyDescent="0.25">
      <c r="A25" s="593">
        <v>13</v>
      </c>
      <c r="B25" s="594" t="s">
        <v>544</v>
      </c>
      <c r="C25" s="595">
        <f>+SUM(D25:I25)</f>
        <v>2247.9</v>
      </c>
      <c r="D25" s="596"/>
      <c r="E25" s="596">
        <v>946.2</v>
      </c>
      <c r="F25" s="596"/>
      <c r="G25" s="596">
        <v>15</v>
      </c>
      <c r="H25" s="596">
        <f>983.7+3+300</f>
        <v>1286.7</v>
      </c>
      <c r="I25" s="596"/>
      <c r="J25" s="595">
        <f>+SUM(K25:P25)</f>
        <v>2235.8000000000002</v>
      </c>
      <c r="K25" s="596"/>
      <c r="L25" s="596">
        <v>1046.2</v>
      </c>
      <c r="M25" s="596"/>
      <c r="N25" s="596">
        <v>15</v>
      </c>
      <c r="O25" s="596">
        <f>1043.7+84.4+46.5</f>
        <v>1174.6000000000001</v>
      </c>
      <c r="P25" s="596"/>
      <c r="Q25" s="595">
        <f>+J25-C25</f>
        <v>-12.099999999999909</v>
      </c>
      <c r="S25" s="606"/>
    </row>
    <row r="26" spans="1:19" s="585" customFormat="1" ht="67.5" customHeight="1" x14ac:dyDescent="0.25">
      <c r="A26" s="593">
        <v>16</v>
      </c>
      <c r="B26" s="594" t="s">
        <v>213</v>
      </c>
      <c r="C26" s="595">
        <f>+SUM(D26:I26)</f>
        <v>0</v>
      </c>
      <c r="D26" s="596"/>
      <c r="E26" s="596"/>
      <c r="F26" s="596"/>
      <c r="G26" s="596"/>
      <c r="H26" s="596"/>
      <c r="I26" s="596"/>
      <c r="J26" s="595">
        <f>+SUM(K26:P26)</f>
        <v>59.9</v>
      </c>
      <c r="K26" s="596">
        <v>59.9</v>
      </c>
      <c r="L26" s="596"/>
      <c r="M26" s="596"/>
      <c r="N26" s="596"/>
      <c r="O26" s="596"/>
      <c r="P26" s="596"/>
      <c r="Q26" s="595">
        <f>+J26-C26</f>
        <v>59.9</v>
      </c>
      <c r="S26" s="606"/>
    </row>
    <row r="27" spans="1:19" s="585" customFormat="1" ht="32.25" customHeight="1" x14ac:dyDescent="0.25">
      <c r="A27" s="1525" t="s">
        <v>986</v>
      </c>
      <c r="B27" s="1525"/>
      <c r="C27" s="591">
        <f t="shared" ref="C27:Q27" si="8">+SUM(C29:C36)</f>
        <v>114858.19999999998</v>
      </c>
      <c r="D27" s="592">
        <f t="shared" si="8"/>
        <v>600</v>
      </c>
      <c r="E27" s="592">
        <f t="shared" si="8"/>
        <v>87711.799999999988</v>
      </c>
      <c r="F27" s="592">
        <f t="shared" si="8"/>
        <v>339.6</v>
      </c>
      <c r="G27" s="592">
        <f t="shared" si="8"/>
        <v>0</v>
      </c>
      <c r="H27" s="592">
        <f t="shared" si="8"/>
        <v>16737.5</v>
      </c>
      <c r="I27" s="592">
        <f t="shared" si="8"/>
        <v>9469.2999999999993</v>
      </c>
      <c r="J27" s="591">
        <f t="shared" si="8"/>
        <v>132702.1</v>
      </c>
      <c r="K27" s="592">
        <f t="shared" si="8"/>
        <v>0</v>
      </c>
      <c r="L27" s="592">
        <f t="shared" si="8"/>
        <v>105865</v>
      </c>
      <c r="M27" s="592">
        <f t="shared" si="8"/>
        <v>289</v>
      </c>
      <c r="N27" s="592">
        <f t="shared" si="8"/>
        <v>0</v>
      </c>
      <c r="O27" s="592">
        <f t="shared" si="8"/>
        <v>26548.1</v>
      </c>
      <c r="P27" s="592">
        <f t="shared" si="8"/>
        <v>0</v>
      </c>
      <c r="Q27" s="591">
        <f t="shared" si="8"/>
        <v>17843.899999999998</v>
      </c>
      <c r="S27" s="606"/>
    </row>
    <row r="28" spans="1:19" s="585" customFormat="1" x14ac:dyDescent="0.25">
      <c r="A28" s="593"/>
      <c r="B28" s="594" t="s">
        <v>5</v>
      </c>
      <c r="C28" s="595">
        <f t="shared" ref="C28:C36" si="9">+SUM(D28:I28)</f>
        <v>0</v>
      </c>
      <c r="D28" s="596"/>
      <c r="E28" s="596"/>
      <c r="F28" s="596"/>
      <c r="G28" s="596"/>
      <c r="H28" s="596"/>
      <c r="I28" s="596"/>
      <c r="J28" s="595"/>
      <c r="K28" s="596"/>
      <c r="L28" s="596"/>
      <c r="M28" s="596"/>
      <c r="N28" s="596"/>
      <c r="O28" s="596"/>
      <c r="P28" s="596"/>
      <c r="Q28" s="595">
        <f t="shared" ref="Q28:Q36" si="10">+J28-C28</f>
        <v>0</v>
      </c>
      <c r="S28" s="606"/>
    </row>
    <row r="29" spans="1:19" s="585" customFormat="1" ht="53.25" customHeight="1" x14ac:dyDescent="0.25">
      <c r="A29" s="597" t="s">
        <v>80</v>
      </c>
      <c r="B29" s="594" t="s">
        <v>987</v>
      </c>
      <c r="C29" s="595">
        <f t="shared" si="9"/>
        <v>41055.599999999999</v>
      </c>
      <c r="D29" s="596"/>
      <c r="E29" s="596">
        <v>37046.1</v>
      </c>
      <c r="F29" s="596"/>
      <c r="G29" s="596"/>
      <c r="H29" s="596">
        <v>4009.5</v>
      </c>
      <c r="I29" s="596"/>
      <c r="J29" s="595">
        <f t="shared" ref="J29:J36" si="11">+SUM(K29:P29)</f>
        <v>40700</v>
      </c>
      <c r="K29" s="596"/>
      <c r="L29" s="596">
        <v>36700</v>
      </c>
      <c r="M29" s="596"/>
      <c r="N29" s="596"/>
      <c r="O29" s="596">
        <v>4000</v>
      </c>
      <c r="P29" s="596"/>
      <c r="Q29" s="595">
        <f t="shared" si="10"/>
        <v>-355.59999999999854</v>
      </c>
      <c r="S29" s="606"/>
    </row>
    <row r="30" spans="1:19" s="585" customFormat="1" ht="28.5" customHeight="1" x14ac:dyDescent="0.25">
      <c r="A30" s="593" t="s">
        <v>132</v>
      </c>
      <c r="B30" s="594" t="s">
        <v>988</v>
      </c>
      <c r="C30" s="595">
        <f t="shared" si="9"/>
        <v>60</v>
      </c>
      <c r="D30" s="596"/>
      <c r="E30" s="596"/>
      <c r="F30" s="596"/>
      <c r="G30" s="596"/>
      <c r="H30" s="596">
        <f>49+11</f>
        <v>60</v>
      </c>
      <c r="I30" s="596"/>
      <c r="J30" s="595">
        <f t="shared" si="11"/>
        <v>50</v>
      </c>
      <c r="K30" s="596"/>
      <c r="L30" s="596"/>
      <c r="M30" s="596"/>
      <c r="N30" s="596"/>
      <c r="O30" s="596">
        <v>50</v>
      </c>
      <c r="P30" s="596"/>
      <c r="Q30" s="595">
        <f t="shared" si="10"/>
        <v>-10</v>
      </c>
      <c r="S30" s="606"/>
    </row>
    <row r="31" spans="1:19" s="585" customFormat="1" ht="32.25" customHeight="1" x14ac:dyDescent="0.25">
      <c r="A31" s="593" t="s">
        <v>278</v>
      </c>
      <c r="B31" s="594" t="s">
        <v>989</v>
      </c>
      <c r="C31" s="595">
        <f t="shared" si="9"/>
        <v>35.700000000000003</v>
      </c>
      <c r="D31" s="596"/>
      <c r="E31" s="596">
        <v>35.700000000000003</v>
      </c>
      <c r="F31" s="596"/>
      <c r="G31" s="596"/>
      <c r="H31" s="596"/>
      <c r="I31" s="596"/>
      <c r="J31" s="595">
        <f t="shared" si="11"/>
        <v>424</v>
      </c>
      <c r="K31" s="596"/>
      <c r="L31" s="596">
        <v>424</v>
      </c>
      <c r="M31" s="596"/>
      <c r="N31" s="596"/>
      <c r="O31" s="596"/>
      <c r="P31" s="596"/>
      <c r="Q31" s="595">
        <f t="shared" si="10"/>
        <v>388.3</v>
      </c>
      <c r="S31" s="606"/>
    </row>
    <row r="32" spans="1:19" s="585" customFormat="1" ht="33.75" customHeight="1" x14ac:dyDescent="0.25">
      <c r="A32" s="597" t="s">
        <v>283</v>
      </c>
      <c r="B32" s="594" t="s">
        <v>571</v>
      </c>
      <c r="C32" s="595">
        <f t="shared" si="9"/>
        <v>93</v>
      </c>
      <c r="D32" s="596"/>
      <c r="E32" s="596">
        <v>93</v>
      </c>
      <c r="F32" s="596"/>
      <c r="G32" s="596"/>
      <c r="H32" s="596"/>
      <c r="I32" s="596"/>
      <c r="J32" s="595">
        <f t="shared" si="11"/>
        <v>60</v>
      </c>
      <c r="K32" s="596"/>
      <c r="L32" s="596">
        <v>60</v>
      </c>
      <c r="M32" s="596"/>
      <c r="N32" s="596"/>
      <c r="O32" s="596"/>
      <c r="P32" s="596"/>
      <c r="Q32" s="595">
        <f t="shared" si="10"/>
        <v>-33</v>
      </c>
      <c r="S32" s="606"/>
    </row>
    <row r="33" spans="1:19" s="585" customFormat="1" ht="31.5" customHeight="1" x14ac:dyDescent="0.25">
      <c r="A33" s="593">
        <v>10</v>
      </c>
      <c r="B33" s="594" t="s">
        <v>990</v>
      </c>
      <c r="C33" s="595">
        <f t="shared" si="9"/>
        <v>241</v>
      </c>
      <c r="D33" s="596"/>
      <c r="E33" s="596">
        <v>241</v>
      </c>
      <c r="F33" s="596"/>
      <c r="G33" s="596"/>
      <c r="H33" s="596"/>
      <c r="I33" s="596"/>
      <c r="J33" s="595">
        <f t="shared" si="11"/>
        <v>500</v>
      </c>
      <c r="K33" s="596"/>
      <c r="L33" s="596">
        <v>500</v>
      </c>
      <c r="M33" s="596"/>
      <c r="N33" s="596"/>
      <c r="O33" s="596"/>
      <c r="P33" s="596"/>
      <c r="Q33" s="595">
        <f t="shared" si="10"/>
        <v>259</v>
      </c>
      <c r="S33" s="606"/>
    </row>
    <row r="34" spans="1:19" s="585" customFormat="1" ht="36" customHeight="1" x14ac:dyDescent="0.25">
      <c r="A34" s="597" t="s">
        <v>985</v>
      </c>
      <c r="B34" s="594" t="s">
        <v>493</v>
      </c>
      <c r="C34" s="595">
        <f t="shared" si="9"/>
        <v>8793.1</v>
      </c>
      <c r="D34" s="596"/>
      <c r="E34" s="596">
        <v>2951.1</v>
      </c>
      <c r="F34" s="596"/>
      <c r="G34" s="596"/>
      <c r="H34" s="596">
        <f>1006+4500+336</f>
        <v>5842</v>
      </c>
      <c r="I34" s="596"/>
      <c r="J34" s="595">
        <f t="shared" si="11"/>
        <v>17131.5</v>
      </c>
      <c r="K34" s="596"/>
      <c r="L34" s="596">
        <v>4340</v>
      </c>
      <c r="M34" s="596"/>
      <c r="N34" s="596"/>
      <c r="O34" s="596">
        <f>1198+9000+593.5+2000</f>
        <v>12791.5</v>
      </c>
      <c r="P34" s="596"/>
      <c r="Q34" s="595">
        <f t="shared" si="10"/>
        <v>8338.4</v>
      </c>
      <c r="S34" s="606"/>
    </row>
    <row r="35" spans="1:19" s="585" customFormat="1" ht="43.5" customHeight="1" x14ac:dyDescent="0.25">
      <c r="A35" s="593">
        <v>14</v>
      </c>
      <c r="B35" s="594" t="s">
        <v>991</v>
      </c>
      <c r="C35" s="595">
        <f t="shared" si="9"/>
        <v>40909.4</v>
      </c>
      <c r="D35" s="596"/>
      <c r="E35" s="596">
        <v>34083.4</v>
      </c>
      <c r="F35" s="596"/>
      <c r="G35" s="596"/>
      <c r="H35" s="596">
        <f>1466.3+4500+859.7</f>
        <v>6826</v>
      </c>
      <c r="I35" s="596"/>
      <c r="J35" s="595">
        <f t="shared" si="11"/>
        <v>53547.3</v>
      </c>
      <c r="K35" s="596"/>
      <c r="L35" s="596">
        <v>43841</v>
      </c>
      <c r="M35" s="596"/>
      <c r="N35" s="596"/>
      <c r="O35" s="596">
        <f>706.3+9000</f>
        <v>9706.2999999999993</v>
      </c>
      <c r="P35" s="596"/>
      <c r="Q35" s="595">
        <f t="shared" si="10"/>
        <v>12637.900000000001</v>
      </c>
      <c r="S35" s="606"/>
    </row>
    <row r="36" spans="1:19" s="585" customFormat="1" ht="33" customHeight="1" x14ac:dyDescent="0.25">
      <c r="A36" s="593">
        <v>15</v>
      </c>
      <c r="B36" s="594" t="s">
        <v>980</v>
      </c>
      <c r="C36" s="595">
        <f t="shared" si="9"/>
        <v>23670.400000000001</v>
      </c>
      <c r="D36" s="596">
        <v>600</v>
      </c>
      <c r="E36" s="596">
        <v>13261.5</v>
      </c>
      <c r="F36" s="596">
        <v>339.6</v>
      </c>
      <c r="G36" s="596"/>
      <c r="H36" s="596"/>
      <c r="I36" s="596">
        <v>9469.2999999999993</v>
      </c>
      <c r="J36" s="595">
        <f t="shared" si="11"/>
        <v>20289.3</v>
      </c>
      <c r="K36" s="596"/>
      <c r="L36" s="596">
        <v>20000</v>
      </c>
      <c r="M36" s="596">
        <v>289</v>
      </c>
      <c r="N36" s="596"/>
      <c r="O36" s="596">
        <v>0.3</v>
      </c>
      <c r="P36" s="596"/>
      <c r="Q36" s="595">
        <f t="shared" si="10"/>
        <v>-3381.1000000000022</v>
      </c>
      <c r="S36" s="606"/>
    </row>
    <row r="37" spans="1:19" s="585" customFormat="1" ht="38.25" customHeight="1" x14ac:dyDescent="0.25">
      <c r="A37" s="1525" t="s">
        <v>992</v>
      </c>
      <c r="B37" s="1525"/>
      <c r="C37" s="591">
        <f t="shared" ref="C37:Q37" si="12">+SUM(C39:C40)</f>
        <v>1881.3</v>
      </c>
      <c r="D37" s="592">
        <f t="shared" si="12"/>
        <v>38.299999999999997</v>
      </c>
      <c r="E37" s="592">
        <f t="shared" si="12"/>
        <v>1743</v>
      </c>
      <c r="F37" s="592">
        <f t="shared" si="12"/>
        <v>0</v>
      </c>
      <c r="G37" s="592">
        <f t="shared" si="12"/>
        <v>0</v>
      </c>
      <c r="H37" s="592">
        <f t="shared" si="12"/>
        <v>100</v>
      </c>
      <c r="I37" s="592">
        <f t="shared" si="12"/>
        <v>0</v>
      </c>
      <c r="J37" s="591">
        <f t="shared" si="12"/>
        <v>1122</v>
      </c>
      <c r="K37" s="592">
        <f t="shared" si="12"/>
        <v>0</v>
      </c>
      <c r="L37" s="592">
        <f t="shared" si="12"/>
        <v>1000</v>
      </c>
      <c r="M37" s="592">
        <f t="shared" si="12"/>
        <v>0</v>
      </c>
      <c r="N37" s="592">
        <f t="shared" si="12"/>
        <v>0</v>
      </c>
      <c r="O37" s="592">
        <f t="shared" si="12"/>
        <v>122</v>
      </c>
      <c r="P37" s="592">
        <f t="shared" si="12"/>
        <v>0</v>
      </c>
      <c r="Q37" s="591">
        <f t="shared" si="12"/>
        <v>-759.3</v>
      </c>
      <c r="S37" s="606"/>
    </row>
    <row r="38" spans="1:19" s="585" customFormat="1" x14ac:dyDescent="0.25">
      <c r="A38" s="593"/>
      <c r="B38" s="594" t="s">
        <v>5</v>
      </c>
      <c r="C38" s="595">
        <f>+SUM(D38:I38)</f>
        <v>0</v>
      </c>
      <c r="D38" s="596"/>
      <c r="E38" s="596"/>
      <c r="F38" s="596"/>
      <c r="G38" s="596"/>
      <c r="H38" s="596"/>
      <c r="I38" s="596"/>
      <c r="J38" s="595"/>
      <c r="K38" s="596"/>
      <c r="L38" s="596"/>
      <c r="M38" s="596"/>
      <c r="N38" s="596"/>
      <c r="O38" s="596"/>
      <c r="P38" s="596"/>
      <c r="Q38" s="595">
        <f>+J38-C38</f>
        <v>0</v>
      </c>
      <c r="S38" s="606"/>
    </row>
    <row r="39" spans="1:19" s="585" customFormat="1" ht="35.25" customHeight="1" x14ac:dyDescent="0.25">
      <c r="A39" s="597" t="s">
        <v>985</v>
      </c>
      <c r="B39" s="594" t="s">
        <v>493</v>
      </c>
      <c r="C39" s="595">
        <f>+SUM(D39:I39)</f>
        <v>100</v>
      </c>
      <c r="D39" s="596"/>
      <c r="E39" s="596"/>
      <c r="F39" s="596"/>
      <c r="G39" s="596"/>
      <c r="H39" s="596">
        <v>100</v>
      </c>
      <c r="I39" s="596"/>
      <c r="J39" s="595">
        <f>+SUM(K39:P39)</f>
        <v>122</v>
      </c>
      <c r="K39" s="596"/>
      <c r="L39" s="596"/>
      <c r="M39" s="596"/>
      <c r="N39" s="596"/>
      <c r="O39" s="596">
        <f>100+22</f>
        <v>122</v>
      </c>
      <c r="P39" s="596"/>
      <c r="Q39" s="595">
        <f>+J39-C39</f>
        <v>22</v>
      </c>
      <c r="S39" s="606"/>
    </row>
    <row r="40" spans="1:19" s="585" customFormat="1" ht="75.75" customHeight="1" x14ac:dyDescent="0.25">
      <c r="A40" s="593" t="s">
        <v>191</v>
      </c>
      <c r="B40" s="594" t="s">
        <v>993</v>
      </c>
      <c r="C40" s="595">
        <f>+SUM(D40:I40)</f>
        <v>1781.3</v>
      </c>
      <c r="D40" s="596">
        <v>38.299999999999997</v>
      </c>
      <c r="E40" s="596">
        <v>1743</v>
      </c>
      <c r="F40" s="596"/>
      <c r="G40" s="596"/>
      <c r="H40" s="596"/>
      <c r="I40" s="596"/>
      <c r="J40" s="595">
        <f>+SUM(K40:P40)</f>
        <v>1000</v>
      </c>
      <c r="K40" s="596"/>
      <c r="L40" s="596">
        <v>1000</v>
      </c>
      <c r="M40" s="596"/>
      <c r="N40" s="596"/>
      <c r="O40" s="596"/>
      <c r="P40" s="596"/>
      <c r="Q40" s="595">
        <f>+J40-C40</f>
        <v>-781.3</v>
      </c>
      <c r="S40" s="606"/>
    </row>
    <row r="41" spans="1:19" s="585" customFormat="1" ht="41.25" customHeight="1" x14ac:dyDescent="0.25">
      <c r="A41" s="1525" t="s">
        <v>994</v>
      </c>
      <c r="B41" s="1525"/>
      <c r="C41" s="591">
        <f t="shared" ref="C41:Q41" si="13">+SUM(C43:C45)</f>
        <v>46460.600000000006</v>
      </c>
      <c r="D41" s="592">
        <f t="shared" si="13"/>
        <v>9259.6</v>
      </c>
      <c r="E41" s="592">
        <f t="shared" si="13"/>
        <v>30336.5</v>
      </c>
      <c r="F41" s="592">
        <f t="shared" si="13"/>
        <v>0</v>
      </c>
      <c r="G41" s="592">
        <f t="shared" si="13"/>
        <v>822</v>
      </c>
      <c r="H41" s="592">
        <f t="shared" si="13"/>
        <v>5861.1</v>
      </c>
      <c r="I41" s="592">
        <f t="shared" si="13"/>
        <v>181.4</v>
      </c>
      <c r="J41" s="591">
        <f t="shared" si="13"/>
        <v>56800.899999999994</v>
      </c>
      <c r="K41" s="592">
        <f t="shared" si="13"/>
        <v>9224.9</v>
      </c>
      <c r="L41" s="592">
        <f t="shared" si="13"/>
        <v>40133.599999999999</v>
      </c>
      <c r="M41" s="592">
        <f t="shared" si="13"/>
        <v>0</v>
      </c>
      <c r="N41" s="592">
        <f t="shared" si="13"/>
        <v>942.1</v>
      </c>
      <c r="O41" s="592">
        <f t="shared" si="13"/>
        <v>6500.3</v>
      </c>
      <c r="P41" s="592">
        <f t="shared" si="13"/>
        <v>0</v>
      </c>
      <c r="Q41" s="591">
        <f t="shared" si="13"/>
        <v>10340.299999999996</v>
      </c>
      <c r="S41" s="606"/>
    </row>
    <row r="42" spans="1:19" s="585" customFormat="1" x14ac:dyDescent="0.25">
      <c r="A42" s="593"/>
      <c r="B42" s="594" t="s">
        <v>5</v>
      </c>
      <c r="C42" s="595">
        <f>+SUM(D42:I42)</f>
        <v>0</v>
      </c>
      <c r="D42" s="596"/>
      <c r="E42" s="596"/>
      <c r="F42" s="596"/>
      <c r="G42" s="596"/>
      <c r="H42" s="596"/>
      <c r="I42" s="596"/>
      <c r="J42" s="595"/>
      <c r="K42" s="596"/>
      <c r="L42" s="596"/>
      <c r="M42" s="596"/>
      <c r="N42" s="596"/>
      <c r="O42" s="596"/>
      <c r="P42" s="596"/>
      <c r="Q42" s="595">
        <f>+J42-C42</f>
        <v>0</v>
      </c>
      <c r="S42" s="606"/>
    </row>
    <row r="43" spans="1:19" s="585" customFormat="1" ht="59.25" customHeight="1" x14ac:dyDescent="0.25">
      <c r="A43" s="597" t="s">
        <v>80</v>
      </c>
      <c r="B43" s="594" t="s">
        <v>987</v>
      </c>
      <c r="C43" s="595">
        <f>+SUM(D43:I43)</f>
        <v>32756.400000000001</v>
      </c>
      <c r="D43" s="596">
        <v>6052.5</v>
      </c>
      <c r="E43" s="596">
        <v>25642</v>
      </c>
      <c r="F43" s="596"/>
      <c r="G43" s="596">
        <v>819.5</v>
      </c>
      <c r="H43" s="596">
        <v>61</v>
      </c>
      <c r="I43" s="596">
        <v>181.4</v>
      </c>
      <c r="J43" s="595">
        <f>+SUM(K43:P43)</f>
        <v>39737.599999999999</v>
      </c>
      <c r="K43" s="596">
        <v>7049.4</v>
      </c>
      <c r="L43" s="596">
        <v>31589.1</v>
      </c>
      <c r="M43" s="596"/>
      <c r="N43" s="596">
        <v>937.1</v>
      </c>
      <c r="O43" s="596">
        <f>31.7+130.3</f>
        <v>162</v>
      </c>
      <c r="P43" s="596"/>
      <c r="Q43" s="595">
        <f>+J43-C43</f>
        <v>6981.1999999999971</v>
      </c>
      <c r="S43" s="606"/>
    </row>
    <row r="44" spans="1:19" s="585" customFormat="1" ht="30.75" customHeight="1" x14ac:dyDescent="0.25">
      <c r="A44" s="593" t="s">
        <v>132</v>
      </c>
      <c r="B44" s="594" t="s">
        <v>988</v>
      </c>
      <c r="C44" s="595">
        <f>+SUM(D44:I44)</f>
        <v>5755.5</v>
      </c>
      <c r="D44" s="596">
        <v>1773.4</v>
      </c>
      <c r="E44" s="596">
        <v>3537.6</v>
      </c>
      <c r="F44" s="596"/>
      <c r="G44" s="596">
        <v>2.5</v>
      </c>
      <c r="H44" s="596">
        <f>255+186.1+0.9</f>
        <v>442</v>
      </c>
      <c r="I44" s="596"/>
      <c r="J44" s="595">
        <f>+SUM(K44:P44)</f>
        <v>9733.1</v>
      </c>
      <c r="K44" s="596">
        <v>1550.2</v>
      </c>
      <c r="L44" s="596">
        <v>7462.1</v>
      </c>
      <c r="M44" s="596"/>
      <c r="N44" s="596">
        <v>5</v>
      </c>
      <c r="O44" s="596">
        <f>302+404.7+9.1</f>
        <v>715.80000000000007</v>
      </c>
      <c r="P44" s="596"/>
      <c r="Q44" s="595">
        <f>+J44-C44</f>
        <v>3977.6000000000004</v>
      </c>
      <c r="S44" s="606"/>
    </row>
    <row r="45" spans="1:19" s="585" customFormat="1" ht="30" customHeight="1" x14ac:dyDescent="0.25">
      <c r="A45" s="593" t="s">
        <v>278</v>
      </c>
      <c r="B45" s="594" t="s">
        <v>989</v>
      </c>
      <c r="C45" s="595">
        <f>+SUM(D45:I45)</f>
        <v>7948.7000000000007</v>
      </c>
      <c r="D45" s="596">
        <v>1433.7</v>
      </c>
      <c r="E45" s="596">
        <v>1156.9000000000001</v>
      </c>
      <c r="F45" s="596"/>
      <c r="G45" s="596"/>
      <c r="H45" s="596">
        <f>4000+1358.1</f>
        <v>5358.1</v>
      </c>
      <c r="I45" s="596"/>
      <c r="J45" s="595">
        <f>+SUM(K45:P45)</f>
        <v>7330.2</v>
      </c>
      <c r="K45" s="596">
        <v>625.29999999999995</v>
      </c>
      <c r="L45" s="596">
        <v>1082.4000000000001</v>
      </c>
      <c r="M45" s="596"/>
      <c r="N45" s="596"/>
      <c r="O45" s="596">
        <f>2572+133+2917.5</f>
        <v>5622.5</v>
      </c>
      <c r="P45" s="596"/>
      <c r="Q45" s="595">
        <f>+J45-C45</f>
        <v>-618.50000000000091</v>
      </c>
      <c r="S45" s="606"/>
    </row>
    <row r="46" spans="1:19" s="585" customFormat="1" ht="38.25" customHeight="1" x14ac:dyDescent="0.25">
      <c r="A46" s="1525" t="s">
        <v>995</v>
      </c>
      <c r="B46" s="1525"/>
      <c r="C46" s="591">
        <f t="shared" ref="C46:Q46" si="14">+SUM(C48:C52)</f>
        <v>249190.8</v>
      </c>
      <c r="D46" s="592">
        <f t="shared" si="14"/>
        <v>120562.4</v>
      </c>
      <c r="E46" s="592">
        <f t="shared" si="14"/>
        <v>100051.4</v>
      </c>
      <c r="F46" s="592">
        <f t="shared" si="14"/>
        <v>325.2</v>
      </c>
      <c r="G46" s="592">
        <f t="shared" si="14"/>
        <v>15082.1</v>
      </c>
      <c r="H46" s="592">
        <f t="shared" si="14"/>
        <v>3380.6000000000004</v>
      </c>
      <c r="I46" s="592">
        <f t="shared" si="14"/>
        <v>9789.1</v>
      </c>
      <c r="J46" s="591">
        <f t="shared" si="14"/>
        <v>299720.59999999998</v>
      </c>
      <c r="K46" s="592">
        <f t="shared" si="14"/>
        <v>129204.1</v>
      </c>
      <c r="L46" s="592">
        <f t="shared" si="14"/>
        <v>143116.4</v>
      </c>
      <c r="M46" s="592">
        <f t="shared" si="14"/>
        <v>361.5</v>
      </c>
      <c r="N46" s="592">
        <f t="shared" si="14"/>
        <v>15492.4</v>
      </c>
      <c r="O46" s="592">
        <f t="shared" si="14"/>
        <v>11546.2</v>
      </c>
      <c r="P46" s="592">
        <f t="shared" si="14"/>
        <v>0</v>
      </c>
      <c r="Q46" s="591">
        <f t="shared" si="14"/>
        <v>50529.8</v>
      </c>
      <c r="S46" s="606"/>
    </row>
    <row r="47" spans="1:19" s="585" customFormat="1" x14ac:dyDescent="0.25">
      <c r="A47" s="593"/>
      <c r="B47" s="594" t="s">
        <v>5</v>
      </c>
      <c r="C47" s="595">
        <f t="shared" ref="C47:C53" si="15">+SUM(D47:I47)</f>
        <v>0</v>
      </c>
      <c r="D47" s="596"/>
      <c r="E47" s="596"/>
      <c r="F47" s="596"/>
      <c r="G47" s="596"/>
      <c r="H47" s="596"/>
      <c r="I47" s="596"/>
      <c r="J47" s="595"/>
      <c r="K47" s="596"/>
      <c r="L47" s="596"/>
      <c r="M47" s="596"/>
      <c r="N47" s="596"/>
      <c r="O47" s="596"/>
      <c r="P47" s="596"/>
      <c r="Q47" s="595">
        <f t="shared" ref="Q47:Q53" si="16">+J47-C47</f>
        <v>0</v>
      </c>
      <c r="S47" s="606"/>
    </row>
    <row r="48" spans="1:19" s="585" customFormat="1" ht="36" customHeight="1" x14ac:dyDescent="0.25">
      <c r="A48" s="597" t="s">
        <v>419</v>
      </c>
      <c r="B48" s="594" t="s">
        <v>637</v>
      </c>
      <c r="C48" s="595">
        <f t="shared" si="15"/>
        <v>228714.8</v>
      </c>
      <c r="D48" s="596">
        <f>118539.9+300</f>
        <v>118839.9</v>
      </c>
      <c r="E48" s="596">
        <v>83212.399999999994</v>
      </c>
      <c r="F48" s="596">
        <v>325.2</v>
      </c>
      <c r="G48" s="596">
        <f>13990.2+650.6</f>
        <v>14640.800000000001</v>
      </c>
      <c r="H48" s="596">
        <f>595.6+2500.2+163.8+47.8</f>
        <v>3307.4</v>
      </c>
      <c r="I48" s="596">
        <v>8389.1</v>
      </c>
      <c r="J48" s="595">
        <f t="shared" ref="J48:J53" si="17">+SUM(K48:P48)</f>
        <v>271740.79999999999</v>
      </c>
      <c r="K48" s="596">
        <v>127391</v>
      </c>
      <c r="L48" s="596">
        <v>119242.4</v>
      </c>
      <c r="M48" s="596">
        <v>361.5</v>
      </c>
      <c r="N48" s="596">
        <f>704.5+14035.6</f>
        <v>14740.1</v>
      </c>
      <c r="O48" s="596">
        <f>4251+5400.4+354.4</f>
        <v>10005.799999999999</v>
      </c>
      <c r="P48" s="596"/>
      <c r="Q48" s="595">
        <f t="shared" si="16"/>
        <v>43026</v>
      </c>
      <c r="S48" s="606"/>
    </row>
    <row r="49" spans="1:19" s="585" customFormat="1" ht="57" customHeight="1" x14ac:dyDescent="0.25">
      <c r="A49" s="597" t="s">
        <v>80</v>
      </c>
      <c r="B49" s="594" t="s">
        <v>987</v>
      </c>
      <c r="C49" s="595">
        <f t="shared" si="15"/>
        <v>2186.5</v>
      </c>
      <c r="D49" s="596">
        <v>1518.5</v>
      </c>
      <c r="E49" s="596">
        <v>668</v>
      </c>
      <c r="F49" s="596"/>
      <c r="G49" s="596"/>
      <c r="H49" s="596"/>
      <c r="I49" s="596"/>
      <c r="J49" s="595">
        <f t="shared" si="17"/>
        <v>2514.8000000000002</v>
      </c>
      <c r="K49" s="596">
        <v>1813.1</v>
      </c>
      <c r="L49" s="596">
        <v>701.7</v>
      </c>
      <c r="M49" s="596"/>
      <c r="N49" s="596"/>
      <c r="O49" s="596"/>
      <c r="P49" s="596"/>
      <c r="Q49" s="595">
        <f t="shared" si="16"/>
        <v>328.30000000000018</v>
      </c>
      <c r="S49" s="606"/>
    </row>
    <row r="50" spans="1:19" s="585" customFormat="1" ht="39.75" customHeight="1" x14ac:dyDescent="0.25">
      <c r="A50" s="597" t="s">
        <v>195</v>
      </c>
      <c r="B50" s="594" t="s">
        <v>196</v>
      </c>
      <c r="C50" s="595">
        <f t="shared" si="15"/>
        <v>190</v>
      </c>
      <c r="D50" s="596"/>
      <c r="E50" s="596">
        <v>190</v>
      </c>
      <c r="F50" s="596"/>
      <c r="G50" s="596"/>
      <c r="H50" s="596"/>
      <c r="I50" s="596"/>
      <c r="J50" s="595">
        <f t="shared" si="17"/>
        <v>1610</v>
      </c>
      <c r="K50" s="596"/>
      <c r="L50" s="596">
        <v>1610</v>
      </c>
      <c r="M50" s="596"/>
      <c r="N50" s="596"/>
      <c r="O50" s="596"/>
      <c r="P50" s="596"/>
      <c r="Q50" s="595">
        <f t="shared" si="16"/>
        <v>1420</v>
      </c>
      <c r="S50" s="606"/>
    </row>
    <row r="51" spans="1:19" s="585" customFormat="1" ht="39.75" customHeight="1" x14ac:dyDescent="0.25">
      <c r="A51" s="597" t="s">
        <v>283</v>
      </c>
      <c r="B51" s="594" t="s">
        <v>571</v>
      </c>
      <c r="C51" s="595">
        <f t="shared" si="15"/>
        <v>10885.699999999999</v>
      </c>
      <c r="D51" s="596"/>
      <c r="E51" s="596">
        <v>9558.9</v>
      </c>
      <c r="F51" s="596"/>
      <c r="G51" s="596">
        <f>221.4+40</f>
        <v>261.39999999999998</v>
      </c>
      <c r="H51" s="596">
        <f>42.9+22.5</f>
        <v>65.400000000000006</v>
      </c>
      <c r="I51" s="596">
        <v>1000</v>
      </c>
      <c r="J51" s="595">
        <f t="shared" si="17"/>
        <v>16496.099999999999</v>
      </c>
      <c r="K51" s="596"/>
      <c r="L51" s="596">
        <v>14419.9</v>
      </c>
      <c r="M51" s="596"/>
      <c r="N51" s="596">
        <f>48+517</f>
        <v>565</v>
      </c>
      <c r="O51" s="596">
        <f>1391.9+82.5+36.8</f>
        <v>1511.2</v>
      </c>
      <c r="P51" s="596"/>
      <c r="Q51" s="595">
        <f t="shared" si="16"/>
        <v>5610.4</v>
      </c>
      <c r="S51" s="606"/>
    </row>
    <row r="52" spans="1:19" s="585" customFormat="1" ht="59.25" customHeight="1" x14ac:dyDescent="0.25">
      <c r="A52" s="597" t="s">
        <v>597</v>
      </c>
      <c r="B52" s="594" t="s">
        <v>598</v>
      </c>
      <c r="C52" s="595">
        <f t="shared" si="15"/>
        <v>7213.8</v>
      </c>
      <c r="D52" s="596">
        <v>204</v>
      </c>
      <c r="E52" s="596">
        <v>6422.1</v>
      </c>
      <c r="F52" s="596"/>
      <c r="G52" s="596">
        <v>179.9</v>
      </c>
      <c r="H52" s="596">
        <v>7.8</v>
      </c>
      <c r="I52" s="596">
        <v>400</v>
      </c>
      <c r="J52" s="595">
        <f t="shared" si="17"/>
        <v>7358.9</v>
      </c>
      <c r="K52" s="596"/>
      <c r="L52" s="596">
        <v>7142.4</v>
      </c>
      <c r="M52" s="596"/>
      <c r="N52" s="596">
        <v>187.3</v>
      </c>
      <c r="O52" s="596">
        <v>29.2</v>
      </c>
      <c r="P52" s="596"/>
      <c r="Q52" s="595">
        <f t="shared" si="16"/>
        <v>145.09999999999945</v>
      </c>
      <c r="S52" s="606"/>
    </row>
    <row r="53" spans="1:19" s="585" customFormat="1" ht="31.5" hidden="1" customHeight="1" x14ac:dyDescent="0.25">
      <c r="A53" s="593">
        <v>12</v>
      </c>
      <c r="B53" s="594" t="s">
        <v>996</v>
      </c>
      <c r="C53" s="595">
        <f t="shared" si="15"/>
        <v>0</v>
      </c>
      <c r="D53" s="596"/>
      <c r="E53" s="596"/>
      <c r="F53" s="596"/>
      <c r="G53" s="596"/>
      <c r="H53" s="596"/>
      <c r="I53" s="596"/>
      <c r="J53" s="595">
        <f t="shared" si="17"/>
        <v>0</v>
      </c>
      <c r="K53" s="596"/>
      <c r="L53" s="596"/>
      <c r="M53" s="596"/>
      <c r="N53" s="596"/>
      <c r="O53" s="596"/>
      <c r="P53" s="596"/>
      <c r="Q53" s="595">
        <f t="shared" si="16"/>
        <v>0</v>
      </c>
      <c r="S53" s="606"/>
    </row>
    <row r="54" spans="1:19" s="585" customFormat="1" ht="53.25" customHeight="1" x14ac:dyDescent="0.25">
      <c r="A54" s="1525" t="s">
        <v>997</v>
      </c>
      <c r="B54" s="1525"/>
      <c r="C54" s="591">
        <f t="shared" ref="C54:Q54" si="18">+C56</f>
        <v>361.7</v>
      </c>
      <c r="D54" s="592">
        <f t="shared" si="18"/>
        <v>0</v>
      </c>
      <c r="E54" s="592">
        <f t="shared" si="18"/>
        <v>361.7</v>
      </c>
      <c r="F54" s="592">
        <f t="shared" si="18"/>
        <v>0</v>
      </c>
      <c r="G54" s="592">
        <f t="shared" si="18"/>
        <v>0</v>
      </c>
      <c r="H54" s="592">
        <f t="shared" si="18"/>
        <v>0</v>
      </c>
      <c r="I54" s="592">
        <f t="shared" si="18"/>
        <v>0</v>
      </c>
      <c r="J54" s="591">
        <f t="shared" si="18"/>
        <v>421.6</v>
      </c>
      <c r="K54" s="592">
        <f t="shared" si="18"/>
        <v>0</v>
      </c>
      <c r="L54" s="592">
        <f t="shared" si="18"/>
        <v>421.6</v>
      </c>
      <c r="M54" s="592">
        <f t="shared" si="18"/>
        <v>0</v>
      </c>
      <c r="N54" s="592">
        <f t="shared" si="18"/>
        <v>0</v>
      </c>
      <c r="O54" s="592">
        <f t="shared" si="18"/>
        <v>0</v>
      </c>
      <c r="P54" s="592">
        <f t="shared" si="18"/>
        <v>0</v>
      </c>
      <c r="Q54" s="591">
        <f t="shared" si="18"/>
        <v>59.900000000000034</v>
      </c>
      <c r="S54" s="606"/>
    </row>
    <row r="55" spans="1:19" s="585" customFormat="1" x14ac:dyDescent="0.25">
      <c r="A55" s="593"/>
      <c r="B55" s="594" t="s">
        <v>5</v>
      </c>
      <c r="C55" s="595">
        <f>+SUM(D55:I55)</f>
        <v>0</v>
      </c>
      <c r="D55" s="596"/>
      <c r="E55" s="596"/>
      <c r="F55" s="596"/>
      <c r="G55" s="596"/>
      <c r="H55" s="596"/>
      <c r="I55" s="596"/>
      <c r="J55" s="595"/>
      <c r="K55" s="596"/>
      <c r="L55" s="596"/>
      <c r="M55" s="596"/>
      <c r="N55" s="596"/>
      <c r="O55" s="596"/>
      <c r="P55" s="596"/>
      <c r="Q55" s="595">
        <f>+J55-C55</f>
        <v>0</v>
      </c>
      <c r="S55" s="606"/>
    </row>
    <row r="56" spans="1:19" s="585" customFormat="1" ht="75" customHeight="1" x14ac:dyDescent="0.25">
      <c r="A56" s="593" t="s">
        <v>191</v>
      </c>
      <c r="B56" s="594" t="s">
        <v>993</v>
      </c>
      <c r="C56" s="595">
        <f>+SUM(D56:I56)</f>
        <v>361.7</v>
      </c>
      <c r="D56" s="596"/>
      <c r="E56" s="596">
        <v>361.7</v>
      </c>
      <c r="F56" s="596"/>
      <c r="G56" s="596"/>
      <c r="H56" s="596"/>
      <c r="I56" s="596"/>
      <c r="J56" s="595">
        <f>+SUM(K56:P56)</f>
        <v>421.6</v>
      </c>
      <c r="K56" s="596"/>
      <c r="L56" s="596">
        <v>421.6</v>
      </c>
      <c r="M56" s="596"/>
      <c r="N56" s="596"/>
      <c r="O56" s="596"/>
      <c r="P56" s="596"/>
      <c r="Q56" s="595">
        <f>+J56-C56</f>
        <v>59.900000000000034</v>
      </c>
      <c r="S56" s="606"/>
    </row>
    <row r="57" spans="1:19" s="585" customFormat="1" ht="33.75" customHeight="1" x14ac:dyDescent="0.25">
      <c r="A57" s="1525" t="s">
        <v>998</v>
      </c>
      <c r="B57" s="1525"/>
      <c r="C57" s="591">
        <f t="shared" ref="C57:Q57" si="19">+SUM(C59:C62)</f>
        <v>5550</v>
      </c>
      <c r="D57" s="592">
        <f t="shared" si="19"/>
        <v>243.8</v>
      </c>
      <c r="E57" s="592">
        <f t="shared" si="19"/>
        <v>746</v>
      </c>
      <c r="F57" s="592">
        <f t="shared" si="19"/>
        <v>0</v>
      </c>
      <c r="G57" s="592">
        <f t="shared" si="19"/>
        <v>0</v>
      </c>
      <c r="H57" s="592">
        <f t="shared" si="19"/>
        <v>0</v>
      </c>
      <c r="I57" s="592">
        <f t="shared" si="19"/>
        <v>4560.2</v>
      </c>
      <c r="J57" s="591">
        <f t="shared" si="19"/>
        <v>4319.8999999999996</v>
      </c>
      <c r="K57" s="592">
        <f t="shared" si="19"/>
        <v>0</v>
      </c>
      <c r="L57" s="592">
        <f t="shared" si="19"/>
        <v>4242</v>
      </c>
      <c r="M57" s="592">
        <f t="shared" si="19"/>
        <v>0</v>
      </c>
      <c r="N57" s="592">
        <f t="shared" si="19"/>
        <v>0</v>
      </c>
      <c r="O57" s="592">
        <f t="shared" si="19"/>
        <v>77.900000000000006</v>
      </c>
      <c r="P57" s="592">
        <f t="shared" si="19"/>
        <v>0</v>
      </c>
      <c r="Q57" s="591">
        <f t="shared" si="19"/>
        <v>-1230.0999999999997</v>
      </c>
      <c r="S57" s="606"/>
    </row>
    <row r="58" spans="1:19" s="585" customFormat="1" x14ac:dyDescent="0.25">
      <c r="A58" s="593"/>
      <c r="B58" s="594" t="s">
        <v>5</v>
      </c>
      <c r="C58" s="595">
        <f t="shared" ref="C58:C64" si="20">+SUM(D58:I58)</f>
        <v>0</v>
      </c>
      <c r="D58" s="596"/>
      <c r="E58" s="596"/>
      <c r="F58" s="596"/>
      <c r="G58" s="596"/>
      <c r="H58" s="596"/>
      <c r="I58" s="596"/>
      <c r="J58" s="595"/>
      <c r="K58" s="598"/>
      <c r="L58" s="598"/>
      <c r="M58" s="598"/>
      <c r="N58" s="598"/>
      <c r="O58" s="598"/>
      <c r="P58" s="598"/>
      <c r="Q58" s="595">
        <f t="shared" ref="Q58:Q64" si="21">+J58-C58</f>
        <v>0</v>
      </c>
      <c r="S58" s="606"/>
    </row>
    <row r="59" spans="1:19" s="585" customFormat="1" ht="57" customHeight="1" x14ac:dyDescent="0.25">
      <c r="A59" s="597" t="s">
        <v>80</v>
      </c>
      <c r="B59" s="594" t="s">
        <v>987</v>
      </c>
      <c r="C59" s="595">
        <f t="shared" si="20"/>
        <v>180.6</v>
      </c>
      <c r="D59" s="596">
        <v>180.6</v>
      </c>
      <c r="E59" s="596"/>
      <c r="F59" s="596"/>
      <c r="G59" s="596"/>
      <c r="H59" s="596"/>
      <c r="I59" s="596"/>
      <c r="J59" s="595">
        <f t="shared" ref="J59:J64" si="22">+SUM(K59:P59)</f>
        <v>0</v>
      </c>
      <c r="K59" s="596"/>
      <c r="L59" s="596"/>
      <c r="M59" s="596"/>
      <c r="N59" s="596"/>
      <c r="O59" s="596"/>
      <c r="P59" s="596"/>
      <c r="Q59" s="595">
        <f t="shared" si="21"/>
        <v>-180.6</v>
      </c>
      <c r="S59" s="606"/>
    </row>
    <row r="60" spans="1:19" s="585" customFormat="1" ht="60.75" hidden="1" customHeight="1" x14ac:dyDescent="0.25">
      <c r="A60" s="593" t="s">
        <v>424</v>
      </c>
      <c r="B60" s="594" t="s">
        <v>977</v>
      </c>
      <c r="C60" s="595">
        <f t="shared" si="20"/>
        <v>0</v>
      </c>
      <c r="D60" s="596"/>
      <c r="E60" s="596"/>
      <c r="F60" s="596"/>
      <c r="G60" s="596"/>
      <c r="H60" s="596"/>
      <c r="I60" s="596"/>
      <c r="J60" s="595">
        <f t="shared" si="22"/>
        <v>0</v>
      </c>
      <c r="K60" s="596"/>
      <c r="L60" s="596"/>
      <c r="M60" s="596"/>
      <c r="N60" s="596"/>
      <c r="O60" s="596"/>
      <c r="P60" s="596"/>
      <c r="Q60" s="595">
        <f t="shared" si="21"/>
        <v>0</v>
      </c>
      <c r="S60" s="606"/>
    </row>
    <row r="61" spans="1:19" s="585" customFormat="1" ht="39" customHeight="1" x14ac:dyDescent="0.25">
      <c r="A61" s="593">
        <v>15</v>
      </c>
      <c r="B61" s="594" t="s">
        <v>980</v>
      </c>
      <c r="C61" s="595">
        <f t="shared" si="20"/>
        <v>4960.2</v>
      </c>
      <c r="D61" s="596"/>
      <c r="E61" s="596">
        <v>400</v>
      </c>
      <c r="F61" s="596"/>
      <c r="G61" s="596"/>
      <c r="H61" s="596"/>
      <c r="I61" s="596">
        <v>4560.2</v>
      </c>
      <c r="J61" s="595">
        <f t="shared" si="22"/>
        <v>1977.9</v>
      </c>
      <c r="K61" s="596"/>
      <c r="L61" s="596">
        <v>1900</v>
      </c>
      <c r="M61" s="596"/>
      <c r="N61" s="596"/>
      <c r="O61" s="596">
        <v>77.900000000000006</v>
      </c>
      <c r="P61" s="596"/>
      <c r="Q61" s="595">
        <f t="shared" si="21"/>
        <v>-2982.2999999999997</v>
      </c>
      <c r="S61" s="606"/>
    </row>
    <row r="62" spans="1:19" s="585" customFormat="1" ht="72.75" customHeight="1" x14ac:dyDescent="0.25">
      <c r="A62" s="593" t="s">
        <v>191</v>
      </c>
      <c r="B62" s="594" t="s">
        <v>993</v>
      </c>
      <c r="C62" s="595">
        <f t="shared" si="20"/>
        <v>409.2</v>
      </c>
      <c r="D62" s="596">
        <v>63.2</v>
      </c>
      <c r="E62" s="596">
        <v>346</v>
      </c>
      <c r="F62" s="596"/>
      <c r="G62" s="596"/>
      <c r="H62" s="596"/>
      <c r="I62" s="596"/>
      <c r="J62" s="595">
        <f t="shared" si="22"/>
        <v>2342</v>
      </c>
      <c r="K62" s="596"/>
      <c r="L62" s="596">
        <v>2342</v>
      </c>
      <c r="M62" s="596"/>
      <c r="N62" s="596"/>
      <c r="O62" s="596"/>
      <c r="P62" s="596"/>
      <c r="Q62" s="595">
        <f t="shared" si="21"/>
        <v>1932.8</v>
      </c>
      <c r="S62" s="606"/>
    </row>
    <row r="63" spans="1:19" s="585" customFormat="1" ht="30.75" customHeight="1" x14ac:dyDescent="0.25">
      <c r="A63" s="1525" t="s">
        <v>271</v>
      </c>
      <c r="B63" s="1525"/>
      <c r="C63" s="591">
        <f t="shared" si="20"/>
        <v>289.60000000000002</v>
      </c>
      <c r="D63" s="592"/>
      <c r="E63" s="592">
        <v>289.60000000000002</v>
      </c>
      <c r="F63" s="592"/>
      <c r="G63" s="592"/>
      <c r="H63" s="592"/>
      <c r="I63" s="592"/>
      <c r="J63" s="591">
        <f t="shared" si="22"/>
        <v>300</v>
      </c>
      <c r="K63" s="592"/>
      <c r="L63" s="592">
        <v>300</v>
      </c>
      <c r="M63" s="592"/>
      <c r="N63" s="592"/>
      <c r="O63" s="592"/>
      <c r="P63" s="592"/>
      <c r="Q63" s="591">
        <f t="shared" si="21"/>
        <v>10.399999999999977</v>
      </c>
      <c r="S63" s="606"/>
    </row>
    <row r="64" spans="1:19" s="585" customFormat="1" ht="36.75" customHeight="1" x14ac:dyDescent="0.25">
      <c r="A64" s="1525" t="s">
        <v>272</v>
      </c>
      <c r="B64" s="1525"/>
      <c r="C64" s="591">
        <f t="shared" si="20"/>
        <v>16.3</v>
      </c>
      <c r="D64" s="592"/>
      <c r="E64" s="592"/>
      <c r="F64" s="592">
        <v>16.3</v>
      </c>
      <c r="G64" s="592"/>
      <c r="H64" s="592"/>
      <c r="I64" s="592"/>
      <c r="J64" s="591">
        <f t="shared" si="22"/>
        <v>162.1</v>
      </c>
      <c r="K64" s="592"/>
      <c r="L64" s="592"/>
      <c r="M64" s="592">
        <v>162.1</v>
      </c>
      <c r="N64" s="592"/>
      <c r="O64" s="592"/>
      <c r="P64" s="592"/>
      <c r="Q64" s="591">
        <f t="shared" si="21"/>
        <v>145.79999999999998</v>
      </c>
      <c r="S64" s="606"/>
    </row>
    <row r="65" spans="1:19" s="585" customFormat="1" ht="28.5" customHeight="1" x14ac:dyDescent="0.25">
      <c r="A65" s="1526" t="s">
        <v>999</v>
      </c>
      <c r="B65" s="1526"/>
      <c r="C65" s="599">
        <f t="shared" ref="C65:Q65" si="23">+C7+C18+C27+C37+C41+C46+C54+C57+C63+C64+C21</f>
        <v>510532.49999999994</v>
      </c>
      <c r="D65" s="599">
        <f t="shared" si="23"/>
        <v>133843.79999999999</v>
      </c>
      <c r="E65" s="599">
        <f t="shared" si="23"/>
        <v>305889</v>
      </c>
      <c r="F65" s="599">
        <f t="shared" si="23"/>
        <v>800</v>
      </c>
      <c r="G65" s="599">
        <f t="shared" si="23"/>
        <v>16298.7</v>
      </c>
      <c r="H65" s="599">
        <f t="shared" si="23"/>
        <v>29700.999999999996</v>
      </c>
      <c r="I65" s="599">
        <f t="shared" si="23"/>
        <v>24000</v>
      </c>
      <c r="J65" s="599">
        <f t="shared" si="23"/>
        <v>583162.6</v>
      </c>
      <c r="K65" s="599">
        <f t="shared" si="23"/>
        <v>161106.20000000001</v>
      </c>
      <c r="L65" s="599">
        <f t="shared" si="23"/>
        <v>358014</v>
      </c>
      <c r="M65" s="599">
        <f t="shared" si="23"/>
        <v>900</v>
      </c>
      <c r="N65" s="599">
        <f t="shared" si="23"/>
        <v>16846</v>
      </c>
      <c r="O65" s="599">
        <f t="shared" si="23"/>
        <v>46296.399999999994</v>
      </c>
      <c r="P65" s="599">
        <f t="shared" si="23"/>
        <v>0</v>
      </c>
      <c r="Q65" s="599">
        <f t="shared" si="23"/>
        <v>72630.099999999991</v>
      </c>
      <c r="S65" s="606"/>
    </row>
    <row r="66" spans="1:19" s="585" customFormat="1" x14ac:dyDescent="0.25">
      <c r="S66" s="606"/>
    </row>
    <row r="67" spans="1:19" s="585" customFormat="1" x14ac:dyDescent="0.25">
      <c r="S67" s="606"/>
    </row>
    <row r="68" spans="1:19" s="585" customFormat="1" ht="21" customHeight="1" x14ac:dyDescent="0.25">
      <c r="A68" s="1524" t="s">
        <v>1000</v>
      </c>
      <c r="B68" s="1524"/>
      <c r="C68" s="1524"/>
      <c r="D68" s="1524"/>
      <c r="E68" s="1524"/>
      <c r="F68" s="1524"/>
      <c r="G68" s="1524"/>
      <c r="H68" s="1524"/>
      <c r="I68" s="1524"/>
      <c r="J68" s="1524"/>
      <c r="K68" s="1524"/>
      <c r="L68" s="1524"/>
      <c r="M68" s="1524"/>
      <c r="N68" s="1524"/>
      <c r="O68" s="1524"/>
      <c r="P68" s="1524"/>
      <c r="Q68" s="1524"/>
      <c r="R68" s="600"/>
      <c r="S68" s="606"/>
    </row>
    <row r="69" spans="1:19" x14ac:dyDescent="0.2">
      <c r="C69" s="601"/>
      <c r="E69" s="601"/>
      <c r="S69" s="606"/>
    </row>
    <row r="70" spans="1:19" x14ac:dyDescent="0.2">
      <c r="S70" s="606"/>
    </row>
    <row r="72" spans="1:19" x14ac:dyDescent="0.2">
      <c r="L72" s="602"/>
    </row>
  </sheetData>
  <mergeCells count="21">
    <mergeCell ref="A41:B41"/>
    <mergeCell ref="A2:Q2"/>
    <mergeCell ref="A4:A5"/>
    <mergeCell ref="B4:B5"/>
    <mergeCell ref="C4:C5"/>
    <mergeCell ref="D4:I4"/>
    <mergeCell ref="J4:J5"/>
    <mergeCell ref="K4:P4"/>
    <mergeCell ref="Q4:Q5"/>
    <mergeCell ref="A7:B7"/>
    <mergeCell ref="A18:B18"/>
    <mergeCell ref="A21:B21"/>
    <mergeCell ref="A27:B27"/>
    <mergeCell ref="A37:B37"/>
    <mergeCell ref="A68:Q68"/>
    <mergeCell ref="A46:B46"/>
    <mergeCell ref="A54:B54"/>
    <mergeCell ref="A57:B57"/>
    <mergeCell ref="A63:B63"/>
    <mergeCell ref="A64:B64"/>
    <mergeCell ref="A65:B65"/>
  </mergeCells>
  <pageMargins left="0.11811023622047245" right="0.11811023622047245" top="0.35433070866141736" bottom="0.35433070866141736" header="0.31496062992125984" footer="0.31496062992125984"/>
  <pageSetup paperSize="9" scale="76" fitToHeight="0" orientation="landscape" r:id="rId1"/>
  <headerFooter>
    <oddFooter>&amp;C&amp;P</oddFooter>
  </headerFooter>
  <rowBreaks count="2" manualBreakCount="2">
    <brk id="40" max="16383" man="1"/>
    <brk id="5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
  <sheetViews>
    <sheetView showZeros="0" zoomScaleNormal="100" zoomScaleSheetLayoutView="70" workbookViewId="0">
      <selection activeCell="D37" sqref="D37"/>
    </sheetView>
  </sheetViews>
  <sheetFormatPr defaultColWidth="8.85546875" defaultRowHeight="12.75" x14ac:dyDescent="0.2"/>
  <cols>
    <col min="1" max="1" width="3.28515625" style="82" customWidth="1"/>
    <col min="2" max="2" width="11" style="82" customWidth="1"/>
    <col min="3" max="3" width="10.5703125" style="82" customWidth="1"/>
    <col min="4" max="4" width="36.28515625" style="82" customWidth="1"/>
    <col min="5" max="12" width="9.7109375" style="82" customWidth="1"/>
    <col min="13" max="14" width="9.7109375" style="83" customWidth="1"/>
    <col min="15" max="15" width="43.42578125" style="82" customWidth="1"/>
    <col min="16" max="16384" width="8.85546875" style="82"/>
  </cols>
  <sheetData>
    <row r="1" spans="1:17" x14ac:dyDescent="0.2">
      <c r="O1" s="84" t="s">
        <v>1001</v>
      </c>
    </row>
    <row r="2" spans="1:17" ht="15.75" customHeight="1" x14ac:dyDescent="0.2">
      <c r="B2" s="1533" t="s">
        <v>789</v>
      </c>
      <c r="C2" s="1533"/>
      <c r="D2" s="1533"/>
      <c r="E2" s="1533"/>
      <c r="F2" s="1533"/>
      <c r="G2" s="1533"/>
      <c r="H2" s="1533"/>
      <c r="I2" s="1533"/>
      <c r="J2" s="1533"/>
      <c r="K2" s="1533"/>
      <c r="L2" s="1533"/>
      <c r="M2" s="1533"/>
      <c r="N2" s="1533"/>
      <c r="O2" s="1533"/>
    </row>
    <row r="3" spans="1:17" ht="9.75" customHeight="1" x14ac:dyDescent="0.2">
      <c r="D3" s="1534"/>
      <c r="E3" s="1534"/>
      <c r="F3" s="1534"/>
      <c r="G3" s="1534"/>
      <c r="M3" s="85"/>
      <c r="N3" s="85"/>
      <c r="O3" s="213" t="s">
        <v>0</v>
      </c>
    </row>
    <row r="4" spans="1:17" ht="16.899999999999999" customHeight="1" x14ac:dyDescent="0.2">
      <c r="A4" s="1535" t="s">
        <v>1</v>
      </c>
      <c r="B4" s="1535"/>
      <c r="C4" s="1535" t="s">
        <v>77</v>
      </c>
      <c r="D4" s="1535"/>
      <c r="E4" s="1536" t="s">
        <v>60</v>
      </c>
      <c r="F4" s="237" t="s">
        <v>58</v>
      </c>
      <c r="G4" s="1537" t="s">
        <v>61</v>
      </c>
      <c r="H4" s="237" t="s">
        <v>58</v>
      </c>
      <c r="I4" s="1538" t="s">
        <v>62</v>
      </c>
      <c r="J4" s="237" t="s">
        <v>58</v>
      </c>
      <c r="K4" s="1538" t="s">
        <v>64</v>
      </c>
      <c r="L4" s="237" t="s">
        <v>58</v>
      </c>
      <c r="M4" s="1539" t="s">
        <v>798</v>
      </c>
      <c r="N4" s="1539" t="s">
        <v>807</v>
      </c>
      <c r="O4" s="1541" t="s">
        <v>190</v>
      </c>
    </row>
    <row r="5" spans="1:17" ht="44.25" customHeight="1" x14ac:dyDescent="0.2">
      <c r="A5" s="237" t="s">
        <v>78</v>
      </c>
      <c r="B5" s="239" t="s">
        <v>81</v>
      </c>
      <c r="C5" s="239" t="s">
        <v>78</v>
      </c>
      <c r="D5" s="239" t="s">
        <v>450</v>
      </c>
      <c r="E5" s="1536"/>
      <c r="F5" s="224" t="s">
        <v>59</v>
      </c>
      <c r="G5" s="1537"/>
      <c r="H5" s="224" t="s">
        <v>59</v>
      </c>
      <c r="I5" s="1538"/>
      <c r="J5" s="224" t="s">
        <v>59</v>
      </c>
      <c r="K5" s="1538"/>
      <c r="L5" s="224" t="s">
        <v>59</v>
      </c>
      <c r="M5" s="1539"/>
      <c r="N5" s="1539"/>
      <c r="O5" s="1541"/>
    </row>
    <row r="6" spans="1:17" ht="12" customHeight="1" x14ac:dyDescent="0.2">
      <c r="A6" s="237">
        <v>1</v>
      </c>
      <c r="B6" s="238">
        <v>2</v>
      </c>
      <c r="C6" s="238">
        <v>3</v>
      </c>
      <c r="D6" s="238">
        <v>4</v>
      </c>
      <c r="E6" s="225">
        <v>5</v>
      </c>
      <c r="F6" s="226">
        <v>6</v>
      </c>
      <c r="G6" s="225">
        <v>7</v>
      </c>
      <c r="H6" s="239">
        <v>8</v>
      </c>
      <c r="I6" s="225">
        <v>9</v>
      </c>
      <c r="J6" s="239">
        <v>10</v>
      </c>
      <c r="K6" s="225">
        <v>11</v>
      </c>
      <c r="L6" s="239">
        <v>12</v>
      </c>
      <c r="M6" s="415">
        <v>13</v>
      </c>
      <c r="N6" s="415">
        <v>14</v>
      </c>
      <c r="O6" s="578">
        <v>15</v>
      </c>
    </row>
    <row r="7" spans="1:17" ht="38.25" x14ac:dyDescent="0.2">
      <c r="A7" s="1535">
        <v>15</v>
      </c>
      <c r="B7" s="1542" t="s">
        <v>410</v>
      </c>
      <c r="C7" s="86">
        <v>15010406001</v>
      </c>
      <c r="D7" s="274" t="s">
        <v>451</v>
      </c>
      <c r="E7" s="267">
        <v>400</v>
      </c>
      <c r="F7" s="268">
        <v>400</v>
      </c>
      <c r="G7" s="267">
        <v>470.8</v>
      </c>
      <c r="H7" s="268">
        <v>470.8</v>
      </c>
      <c r="I7" s="267">
        <v>1900</v>
      </c>
      <c r="J7" s="268">
        <v>400</v>
      </c>
      <c r="K7" s="146">
        <f>1400+77.9</f>
        <v>1477.9</v>
      </c>
      <c r="L7" s="268">
        <v>1400</v>
      </c>
      <c r="M7" s="416">
        <f>+K7-I7</f>
        <v>-422.09999999999991</v>
      </c>
      <c r="N7" s="416">
        <f>+K7-E7</f>
        <v>1077.9000000000001</v>
      </c>
      <c r="O7" s="266" t="s">
        <v>943</v>
      </c>
      <c r="P7" s="88"/>
      <c r="Q7" s="215"/>
    </row>
    <row r="8" spans="1:17" ht="51" x14ac:dyDescent="0.2">
      <c r="A8" s="1535"/>
      <c r="B8" s="1542"/>
      <c r="C8" s="86">
        <v>15010406002</v>
      </c>
      <c r="D8" s="274" t="s">
        <v>452</v>
      </c>
      <c r="E8" s="267">
        <v>4560.2</v>
      </c>
      <c r="F8" s="268"/>
      <c r="G8" s="267">
        <v>1754.5</v>
      </c>
      <c r="H8" s="270"/>
      <c r="I8" s="267">
        <v>2000</v>
      </c>
      <c r="J8" s="268">
        <v>2000</v>
      </c>
      <c r="K8" s="146">
        <v>500</v>
      </c>
      <c r="L8" s="268">
        <v>500</v>
      </c>
      <c r="M8" s="416">
        <f>+K8-I8</f>
        <v>-1500</v>
      </c>
      <c r="N8" s="416">
        <f t="shared" ref="N8:N15" si="0">+K8-E8</f>
        <v>-4060.2</v>
      </c>
      <c r="O8" s="167" t="s">
        <v>790</v>
      </c>
      <c r="P8" s="88"/>
      <c r="Q8" s="215"/>
    </row>
    <row r="9" spans="1:17" ht="11.25" customHeight="1" x14ac:dyDescent="0.2">
      <c r="A9" s="1535"/>
      <c r="B9" s="1542"/>
      <c r="C9" s="1543" t="s">
        <v>417</v>
      </c>
      <c r="D9" s="1543"/>
      <c r="E9" s="271">
        <f>SUM(E7:E8)</f>
        <v>4960.2</v>
      </c>
      <c r="F9" s="271">
        <f t="shared" ref="F9:M9" si="1">SUM(F7:F8)</f>
        <v>400</v>
      </c>
      <c r="G9" s="271">
        <f t="shared" si="1"/>
        <v>2225.3000000000002</v>
      </c>
      <c r="H9" s="271">
        <f t="shared" si="1"/>
        <v>470.8</v>
      </c>
      <c r="I9" s="271">
        <f t="shared" si="1"/>
        <v>3900</v>
      </c>
      <c r="J9" s="271">
        <f t="shared" si="1"/>
        <v>2400</v>
      </c>
      <c r="K9" s="271">
        <f t="shared" si="1"/>
        <v>1977.9</v>
      </c>
      <c r="L9" s="271">
        <f t="shared" si="1"/>
        <v>1900</v>
      </c>
      <c r="M9" s="271">
        <f t="shared" si="1"/>
        <v>-1922.1</v>
      </c>
      <c r="N9" s="271">
        <f t="shared" si="0"/>
        <v>-2982.2999999999997</v>
      </c>
      <c r="O9" s="90"/>
      <c r="P9" s="88"/>
      <c r="Q9" s="215"/>
    </row>
    <row r="10" spans="1:17" ht="11.25" customHeight="1" x14ac:dyDescent="0.2">
      <c r="A10" s="537"/>
      <c r="B10" s="538"/>
      <c r="C10" s="539"/>
      <c r="D10" s="539" t="s">
        <v>147</v>
      </c>
      <c r="E10" s="271"/>
      <c r="F10" s="271"/>
      <c r="G10" s="271"/>
      <c r="H10" s="271"/>
      <c r="I10" s="271">
        <v>77.900000000000006</v>
      </c>
      <c r="J10" s="271"/>
      <c r="K10" s="271">
        <v>77.900000000000006</v>
      </c>
      <c r="L10" s="271"/>
      <c r="M10" s="271"/>
      <c r="N10" s="271"/>
      <c r="O10" s="90"/>
      <c r="P10" s="88"/>
      <c r="Q10" s="215"/>
    </row>
    <row r="11" spans="1:17" ht="192" x14ac:dyDescent="0.2">
      <c r="A11" s="1535">
        <v>16</v>
      </c>
      <c r="B11" s="1542" t="s">
        <v>213</v>
      </c>
      <c r="C11" s="238">
        <v>16040103</v>
      </c>
      <c r="D11" s="275" t="s">
        <v>453</v>
      </c>
      <c r="E11" s="146">
        <v>136</v>
      </c>
      <c r="F11" s="269">
        <v>136</v>
      </c>
      <c r="G11" s="146">
        <v>136</v>
      </c>
      <c r="H11" s="269">
        <v>136</v>
      </c>
      <c r="I11" s="146">
        <v>180</v>
      </c>
      <c r="J11" s="269">
        <v>180</v>
      </c>
      <c r="K11" s="146">
        <v>160</v>
      </c>
      <c r="L11" s="269">
        <v>160</v>
      </c>
      <c r="M11" s="416">
        <f>+K11-I11</f>
        <v>-20</v>
      </c>
      <c r="N11" s="416">
        <f t="shared" si="0"/>
        <v>24</v>
      </c>
      <c r="O11" s="168" t="s">
        <v>745</v>
      </c>
      <c r="P11" s="88"/>
      <c r="Q11" s="215"/>
    </row>
    <row r="12" spans="1:17" ht="51" x14ac:dyDescent="0.2">
      <c r="A12" s="1535"/>
      <c r="B12" s="1542"/>
      <c r="C12" s="238">
        <v>16040301</v>
      </c>
      <c r="D12" s="275" t="s">
        <v>454</v>
      </c>
      <c r="E12" s="146">
        <v>28</v>
      </c>
      <c r="F12" s="269">
        <v>28</v>
      </c>
      <c r="G12" s="146">
        <v>157.69999999999999</v>
      </c>
      <c r="H12" s="272">
        <v>157.69999999999999</v>
      </c>
      <c r="I12" s="146">
        <v>2000</v>
      </c>
      <c r="J12" s="269">
        <v>2000</v>
      </c>
      <c r="K12" s="146">
        <v>2000</v>
      </c>
      <c r="L12" s="269">
        <v>2000</v>
      </c>
      <c r="M12" s="416">
        <f>+K12-I12</f>
        <v>0</v>
      </c>
      <c r="N12" s="416">
        <f t="shared" si="0"/>
        <v>1972</v>
      </c>
      <c r="O12" s="168" t="s">
        <v>746</v>
      </c>
      <c r="P12" s="88"/>
      <c r="Q12" s="215"/>
    </row>
    <row r="13" spans="1:17" ht="84" x14ac:dyDescent="0.2">
      <c r="A13" s="1535"/>
      <c r="B13" s="1542"/>
      <c r="C13" s="238">
        <v>16040202</v>
      </c>
      <c r="D13" s="275" t="s">
        <v>455</v>
      </c>
      <c r="E13" s="146">
        <v>182</v>
      </c>
      <c r="F13" s="269">
        <v>182</v>
      </c>
      <c r="G13" s="146">
        <v>182</v>
      </c>
      <c r="H13" s="272">
        <v>182</v>
      </c>
      <c r="I13" s="146">
        <v>232</v>
      </c>
      <c r="J13" s="269">
        <v>232</v>
      </c>
      <c r="K13" s="146">
        <v>182</v>
      </c>
      <c r="L13" s="269">
        <v>182</v>
      </c>
      <c r="M13" s="416">
        <f>+K13-I13</f>
        <v>-50</v>
      </c>
      <c r="N13" s="416">
        <f t="shared" si="0"/>
        <v>0</v>
      </c>
      <c r="O13" s="168" t="s">
        <v>747</v>
      </c>
      <c r="P13" s="88"/>
      <c r="Q13" s="215"/>
    </row>
    <row r="14" spans="1:17" ht="11.25" customHeight="1" x14ac:dyDescent="0.2">
      <c r="A14" s="1535"/>
      <c r="B14" s="1542"/>
      <c r="C14" s="1543" t="s">
        <v>193</v>
      </c>
      <c r="D14" s="1543"/>
      <c r="E14" s="273">
        <f>SUM(E11:E13)</f>
        <v>346</v>
      </c>
      <c r="F14" s="273">
        <f t="shared" ref="F14:M14" si="2">SUM(F11:F13)</f>
        <v>346</v>
      </c>
      <c r="G14" s="273">
        <f t="shared" si="2"/>
        <v>475.7</v>
      </c>
      <c r="H14" s="273">
        <f t="shared" si="2"/>
        <v>475.7</v>
      </c>
      <c r="I14" s="273">
        <f t="shared" si="2"/>
        <v>2412</v>
      </c>
      <c r="J14" s="273">
        <f t="shared" si="2"/>
        <v>2412</v>
      </c>
      <c r="K14" s="273">
        <f t="shared" si="2"/>
        <v>2342</v>
      </c>
      <c r="L14" s="273">
        <f t="shared" si="2"/>
        <v>2342</v>
      </c>
      <c r="M14" s="273">
        <f t="shared" si="2"/>
        <v>-70</v>
      </c>
      <c r="N14" s="271">
        <f t="shared" si="0"/>
        <v>1996</v>
      </c>
      <c r="O14" s="90"/>
      <c r="P14" s="88"/>
      <c r="Q14" s="215"/>
    </row>
    <row r="15" spans="1:17" ht="12.75" customHeight="1" x14ac:dyDescent="0.2">
      <c r="A15" s="1544" t="s">
        <v>456</v>
      </c>
      <c r="B15" s="1544"/>
      <c r="C15" s="1544"/>
      <c r="D15" s="1544"/>
      <c r="E15" s="267">
        <f>SUM(E9,E14)</f>
        <v>5306.2</v>
      </c>
      <c r="F15" s="267">
        <f t="shared" ref="F15:M15" si="3">SUM(F9,F14)</f>
        <v>746</v>
      </c>
      <c r="G15" s="267">
        <f t="shared" si="3"/>
        <v>2701</v>
      </c>
      <c r="H15" s="267">
        <f t="shared" si="3"/>
        <v>946.5</v>
      </c>
      <c r="I15" s="267">
        <f t="shared" si="3"/>
        <v>6312</v>
      </c>
      <c r="J15" s="267">
        <f t="shared" si="3"/>
        <v>4812</v>
      </c>
      <c r="K15" s="267">
        <f t="shared" si="3"/>
        <v>4319.8999999999996</v>
      </c>
      <c r="L15" s="267">
        <f t="shared" si="3"/>
        <v>4242</v>
      </c>
      <c r="M15" s="267">
        <f t="shared" si="3"/>
        <v>-1992.1</v>
      </c>
      <c r="N15" s="146">
        <f t="shared" si="0"/>
        <v>-986.30000000000018</v>
      </c>
      <c r="O15" s="255"/>
      <c r="P15" s="88"/>
      <c r="Q15" s="215"/>
    </row>
    <row r="16" spans="1:17" x14ac:dyDescent="0.2">
      <c r="A16" s="1545" t="s">
        <v>457</v>
      </c>
      <c r="B16" s="1545"/>
      <c r="C16" s="1545"/>
      <c r="D16" s="1545"/>
      <c r="E16" s="153"/>
      <c r="F16" s="153"/>
      <c r="G16" s="153"/>
      <c r="H16" s="153"/>
      <c r="I16" s="543">
        <f>+I10</f>
        <v>77.900000000000006</v>
      </c>
      <c r="J16" s="543">
        <f t="shared" ref="J16:N16" si="4">+J10</f>
        <v>0</v>
      </c>
      <c r="K16" s="543">
        <f t="shared" si="4"/>
        <v>77.900000000000006</v>
      </c>
      <c r="L16" s="543">
        <f t="shared" si="4"/>
        <v>0</v>
      </c>
      <c r="M16" s="543">
        <f t="shared" si="4"/>
        <v>0</v>
      </c>
      <c r="N16" s="543">
        <f t="shared" si="4"/>
        <v>0</v>
      </c>
      <c r="O16" s="90"/>
      <c r="P16" s="88"/>
      <c r="Q16" s="215"/>
    </row>
    <row r="17" spans="1:19" ht="13.5" customHeight="1" x14ac:dyDescent="0.2">
      <c r="A17" s="91"/>
      <c r="B17" s="91"/>
      <c r="C17" s="91"/>
      <c r="D17" s="91"/>
      <c r="E17" s="92"/>
      <c r="F17" s="93"/>
      <c r="G17" s="93"/>
      <c r="H17" s="93"/>
      <c r="I17" s="93"/>
      <c r="J17" s="93"/>
      <c r="K17" s="92"/>
      <c r="L17" s="93"/>
      <c r="M17" s="92"/>
      <c r="N17" s="92"/>
      <c r="O17" s="91"/>
      <c r="P17" s="88"/>
      <c r="Q17" s="215"/>
    </row>
    <row r="18" spans="1:19" ht="12" customHeight="1" x14ac:dyDescent="0.2">
      <c r="B18" s="1540" t="s">
        <v>128</v>
      </c>
      <c r="C18" s="1540"/>
      <c r="D18" s="1540"/>
      <c r="E18" s="214"/>
      <c r="F18" s="214"/>
      <c r="G18" s="214"/>
      <c r="H18" s="214"/>
      <c r="I18" s="214"/>
      <c r="J18" s="214"/>
      <c r="K18" s="214"/>
      <c r="L18" s="214"/>
      <c r="M18" s="214"/>
      <c r="N18" s="214"/>
      <c r="P18" s="88"/>
      <c r="Q18" s="215"/>
      <c r="S18" s="215"/>
    </row>
    <row r="19" spans="1:19" hidden="1" x14ac:dyDescent="0.2">
      <c r="E19" s="216">
        <f>+E15+'8'!E22+'9'!E8+'10'!E15+'11'!E41+'12'!E132+'13'!E224+'14'!E107+'15'!E149+'14'!E110+'14'!E111+'14'!E112</f>
        <v>376688.69999999995</v>
      </c>
      <c r="F19" s="216">
        <f>+F15+'8'!F22+'9'!F8+'10'!F15+'11'!F41+'12'!F132+'13'!F224+'14'!F107+'15'!F149+'14'!F110+'14'!F111+'14'!F112</f>
        <v>305889</v>
      </c>
      <c r="G19" s="216">
        <f>+G15+'8'!G22+'9'!G8+'10'!G15+'11'!G41+'12'!G132+'13'!G224+'14'!G107+'15'!G149+'14'!G110+'14'!G111+'14'!G112</f>
        <v>384975.89999999997</v>
      </c>
      <c r="H19" s="216">
        <f>+H15+'8'!H22+'9'!H8+'10'!H15+'11'!H41+'12'!H132+'13'!H224+'14'!H107+'15'!H149+'14'!H110+'14'!H111+'14'!H112</f>
        <v>317991.5</v>
      </c>
      <c r="I19" s="216">
        <f>+I15+'8'!I22+'9'!I8+'10'!I15+'11'!I41+'12'!I132+'13'!I224+'14'!I107+'15'!I149+'14'!I110+'14'!I111+'14'!I112</f>
        <v>551765.20000000007</v>
      </c>
      <c r="J19" s="216">
        <f>+J15+'8'!J22+'9'!J8+'10'!J15+'11'!J41+'12'!J132+'13'!J224+'14'!J107+'15'!J149+'14'!J110+'14'!J111+'14'!J112</f>
        <v>493043.10000000009</v>
      </c>
      <c r="K19" s="216">
        <f>+K15+'8'!K22+'9'!K8+'10'!K15+'11'!K41+'12'!K132+'13'!K224+'14'!K107+'15'!K149+'14'!K110+'14'!K111+'14'!K112</f>
        <v>419940</v>
      </c>
      <c r="L19" s="216">
        <f>+L15+'8'!L22+'9'!L8+'10'!L15+'11'!L41+'12'!L132+'13'!L224+'14'!L107+'15'!L149+'14'!L110+'14'!L111+'14'!L112</f>
        <v>358014</v>
      </c>
      <c r="M19" s="216"/>
      <c r="N19" s="216"/>
      <c r="P19" s="88"/>
      <c r="Q19" s="215"/>
    </row>
    <row r="20" spans="1:19" hidden="1" x14ac:dyDescent="0.2">
      <c r="E20" s="507">
        <v>376688.69999999995</v>
      </c>
      <c r="F20" s="507">
        <v>305889</v>
      </c>
      <c r="G20" s="507">
        <v>384975.9</v>
      </c>
      <c r="H20" s="507">
        <v>317991.5</v>
      </c>
      <c r="I20" s="507">
        <v>551765.19999999995</v>
      </c>
      <c r="J20" s="507">
        <v>493043.1</v>
      </c>
      <c r="K20" s="507">
        <v>419940</v>
      </c>
      <c r="L20" s="507">
        <v>358014</v>
      </c>
      <c r="M20" s="507"/>
      <c r="N20" s="507"/>
      <c r="Q20" s="215"/>
    </row>
    <row r="21" spans="1:19" hidden="1" x14ac:dyDescent="0.2">
      <c r="E21" s="507">
        <f>+E19-E20</f>
        <v>0</v>
      </c>
      <c r="F21" s="507">
        <f t="shared" ref="F21:L21" si="5">+F19-F20</f>
        <v>0</v>
      </c>
      <c r="G21" s="507">
        <f t="shared" si="5"/>
        <v>0</v>
      </c>
      <c r="H21" s="507">
        <f t="shared" si="5"/>
        <v>0</v>
      </c>
      <c r="I21" s="507">
        <f t="shared" si="5"/>
        <v>0</v>
      </c>
      <c r="J21" s="507">
        <f t="shared" si="5"/>
        <v>0</v>
      </c>
      <c r="K21" s="507">
        <f t="shared" si="5"/>
        <v>0</v>
      </c>
      <c r="L21" s="507">
        <f t="shared" si="5"/>
        <v>0</v>
      </c>
      <c r="M21" s="507"/>
      <c r="N21" s="507"/>
      <c r="Q21" s="215"/>
    </row>
    <row r="22" spans="1:19" hidden="1" x14ac:dyDescent="0.2">
      <c r="E22" s="217">
        <f>+E16+'8'!E23+'9'!E9+'10'!E16+'11'!E42+'12'!E133+'13'!E225+'14'!E108+'15'!E150</f>
        <v>72121</v>
      </c>
      <c r="F22" s="218">
        <f>+F16+'8'!F23+'9'!F9+'10'!F16+'11'!F42+'12'!F133+'13'!F225+'14'!F108+'15'!F150</f>
        <v>60113.8</v>
      </c>
      <c r="G22" s="218">
        <f>+G16+'8'!G23+'9'!G9+'10'!G16+'11'!G42+'12'!G133+'13'!G225+'14'!G108+'15'!G150</f>
        <v>67624.700000000012</v>
      </c>
      <c r="H22" s="218">
        <f>+H16+'8'!H23+'9'!H9+'10'!H16+'11'!H42+'12'!H133+'13'!H225+'14'!H108+'15'!H150</f>
        <v>53206.500000000007</v>
      </c>
      <c r="I22" s="218">
        <f>+I16+'8'!I23+'9'!I9+'10'!I16+'11'!I42+'12'!I133+'13'!I225+'14'!I108+'15'!I150</f>
        <v>41239.9</v>
      </c>
      <c r="J22" s="218">
        <f>+J16+'8'!J23+'9'!J9+'10'!J16+'11'!J42+'12'!J133+'13'!J225+'14'!J108+'15'!J150</f>
        <v>30770.1</v>
      </c>
      <c r="K22" s="216">
        <f>+K16+'8'!K23+'9'!K9+'10'!K16+'11'!K42+'12'!K133+'13'!K225+'14'!K108+'15'!K150</f>
        <v>28400</v>
      </c>
      <c r="L22" s="216">
        <f>+L16+'8'!L23+'9'!L9+'10'!L16+'11'!L42+'12'!L133+'13'!L225+'14'!L108+'15'!L150</f>
        <v>8548</v>
      </c>
      <c r="M22" s="218"/>
      <c r="N22" s="218"/>
      <c r="Q22" s="215"/>
    </row>
    <row r="23" spans="1:19" hidden="1" x14ac:dyDescent="0.2">
      <c r="E23" s="506">
        <v>72121</v>
      </c>
      <c r="F23" s="506">
        <v>60113.8</v>
      </c>
      <c r="G23" s="506">
        <v>67624.7</v>
      </c>
      <c r="H23" s="506">
        <v>53206.5</v>
      </c>
      <c r="I23" s="506">
        <v>41239.9</v>
      </c>
      <c r="J23" s="506">
        <v>30770.1</v>
      </c>
      <c r="K23" s="506">
        <v>28400</v>
      </c>
      <c r="L23" s="506">
        <v>8548</v>
      </c>
      <c r="M23" s="506">
        <v>0</v>
      </c>
      <c r="N23" s="506">
        <v>0</v>
      </c>
      <c r="Q23" s="215"/>
    </row>
    <row r="24" spans="1:19" hidden="1" x14ac:dyDescent="0.2">
      <c r="E24" s="506">
        <f>+E22-E23</f>
        <v>0</v>
      </c>
      <c r="F24" s="506">
        <f t="shared" ref="F24:N24" si="6">+F22-F23</f>
        <v>0</v>
      </c>
      <c r="G24" s="506">
        <f t="shared" si="6"/>
        <v>0</v>
      </c>
      <c r="H24" s="506">
        <f t="shared" si="6"/>
        <v>0</v>
      </c>
      <c r="I24" s="506">
        <f t="shared" si="6"/>
        <v>0</v>
      </c>
      <c r="J24" s="506">
        <f t="shared" si="6"/>
        <v>0</v>
      </c>
      <c r="K24" s="506">
        <f t="shared" si="6"/>
        <v>0</v>
      </c>
      <c r="L24" s="506">
        <f t="shared" si="6"/>
        <v>0</v>
      </c>
      <c r="M24" s="506">
        <f t="shared" si="6"/>
        <v>0</v>
      </c>
      <c r="N24" s="506">
        <f t="shared" si="6"/>
        <v>0</v>
      </c>
      <c r="Q24" s="215"/>
    </row>
    <row r="25" spans="1:19" hidden="1" x14ac:dyDescent="0.2">
      <c r="K25" s="83"/>
      <c r="Q25" s="215"/>
    </row>
    <row r="26" spans="1:19" x14ac:dyDescent="0.2">
      <c r="K26" s="83"/>
      <c r="Q26" s="215"/>
    </row>
    <row r="27" spans="1:19" x14ac:dyDescent="0.2">
      <c r="K27" s="83"/>
      <c r="Q27" s="215"/>
    </row>
    <row r="28" spans="1:19" x14ac:dyDescent="0.2">
      <c r="K28" s="83"/>
      <c r="Q28" s="215"/>
    </row>
    <row r="29" spans="1:19" x14ac:dyDescent="0.2">
      <c r="K29" s="83"/>
      <c r="Q29" s="215"/>
    </row>
    <row r="30" spans="1:19" x14ac:dyDescent="0.2">
      <c r="K30" s="83"/>
      <c r="Q30" s="215"/>
    </row>
    <row r="31" spans="1:19" x14ac:dyDescent="0.2">
      <c r="K31" s="83"/>
      <c r="Q31" s="215"/>
    </row>
    <row r="32" spans="1:19" x14ac:dyDescent="0.2">
      <c r="K32" s="83"/>
      <c r="Q32" s="215"/>
    </row>
    <row r="33" spans="5:17" x14ac:dyDescent="0.2">
      <c r="K33" s="83"/>
      <c r="Q33" s="215"/>
    </row>
    <row r="34" spans="5:17" x14ac:dyDescent="0.2">
      <c r="K34" s="83"/>
      <c r="Q34" s="215"/>
    </row>
    <row r="35" spans="5:17" x14ac:dyDescent="0.2">
      <c r="K35" s="83"/>
      <c r="Q35" s="215"/>
    </row>
    <row r="36" spans="5:17" x14ac:dyDescent="0.2">
      <c r="K36" s="83"/>
      <c r="Q36" s="215"/>
    </row>
    <row r="37" spans="5:17" x14ac:dyDescent="0.2">
      <c r="K37" s="83"/>
      <c r="Q37" s="215"/>
    </row>
    <row r="38" spans="5:17" x14ac:dyDescent="0.2">
      <c r="K38" s="83"/>
      <c r="Q38" s="215"/>
    </row>
    <row r="39" spans="5:17" x14ac:dyDescent="0.2">
      <c r="E39" s="215"/>
      <c r="K39" s="83"/>
      <c r="Q39" s="215"/>
    </row>
    <row r="40" spans="5:17" x14ac:dyDescent="0.2">
      <c r="K40" s="83"/>
      <c r="Q40" s="215"/>
    </row>
    <row r="41" spans="5:17" x14ac:dyDescent="0.2">
      <c r="K41" s="83"/>
      <c r="Q41" s="215"/>
    </row>
    <row r="42" spans="5:17" x14ac:dyDescent="0.2">
      <c r="K42" s="83"/>
      <c r="Q42" s="215"/>
    </row>
    <row r="43" spans="5:17" x14ac:dyDescent="0.2">
      <c r="K43" s="83"/>
      <c r="Q43" s="215"/>
    </row>
    <row r="44" spans="5:17" x14ac:dyDescent="0.2">
      <c r="K44" s="83"/>
      <c r="Q44" s="215"/>
    </row>
    <row r="45" spans="5:17" x14ac:dyDescent="0.2">
      <c r="K45" s="83"/>
      <c r="Q45" s="215"/>
    </row>
    <row r="46" spans="5:17" x14ac:dyDescent="0.2">
      <c r="K46" s="83"/>
      <c r="Q46" s="215"/>
    </row>
    <row r="47" spans="5:17" x14ac:dyDescent="0.2">
      <c r="K47" s="83"/>
      <c r="Q47" s="215"/>
    </row>
    <row r="48" spans="5:17" x14ac:dyDescent="0.2">
      <c r="K48" s="83"/>
    </row>
    <row r="49" spans="11:11" x14ac:dyDescent="0.2">
      <c r="K49" s="83"/>
    </row>
    <row r="50" spans="11:11" x14ac:dyDescent="0.2">
      <c r="K50" s="83"/>
    </row>
    <row r="51" spans="11:11" x14ac:dyDescent="0.2">
      <c r="K51" s="83"/>
    </row>
  </sheetData>
  <mergeCells count="20">
    <mergeCell ref="B18:D18"/>
    <mergeCell ref="M4:M5"/>
    <mergeCell ref="O4:O5"/>
    <mergeCell ref="A7:A9"/>
    <mergeCell ref="B7:B9"/>
    <mergeCell ref="C9:D9"/>
    <mergeCell ref="C14:D14"/>
    <mergeCell ref="A15:D15"/>
    <mergeCell ref="A16:D16"/>
    <mergeCell ref="B11:B14"/>
    <mergeCell ref="A11:A14"/>
    <mergeCell ref="B2:O2"/>
    <mergeCell ref="D3:G3"/>
    <mergeCell ref="A4:B4"/>
    <mergeCell ref="C4:D4"/>
    <mergeCell ref="E4:E5"/>
    <mergeCell ref="G4:G5"/>
    <mergeCell ref="I4:I5"/>
    <mergeCell ref="K4:K5"/>
    <mergeCell ref="N4:N5"/>
  </mergeCells>
  <pageMargins left="0.15748031496062992" right="0.27559055118110237" top="0.59055118110236227" bottom="0.35433070866141736" header="0" footer="0"/>
  <pageSetup paperSize="9" scale="71" fitToHeight="0" orientation="landscape" r:id="rId1"/>
  <headerFooter alignWithMargins="0">
    <oddFooter>&amp;C&amp;P</oddFooter>
  </headerFooter>
  <ignoredErrors>
    <ignoredError sqref="E9:L9" formulaRange="1"/>
    <ignoredError sqref="M9"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5"/>
  <sheetViews>
    <sheetView showZeros="0" zoomScaleNormal="100" zoomScaleSheetLayoutView="70" workbookViewId="0">
      <selection activeCell="O1" sqref="O1"/>
    </sheetView>
  </sheetViews>
  <sheetFormatPr defaultColWidth="8.85546875" defaultRowHeight="11.25" x14ac:dyDescent="0.2"/>
  <cols>
    <col min="1" max="1" width="3.28515625" style="118" customWidth="1"/>
    <col min="2" max="2" width="11" style="122" customWidth="1"/>
    <col min="3" max="3" width="10.5703125" style="123" customWidth="1"/>
    <col min="4" max="4" width="36.28515625" style="124" customWidth="1"/>
    <col min="5" max="10" width="9.7109375" style="121" customWidth="1"/>
    <col min="11" max="11" width="9.7109375" style="125" customWidth="1"/>
    <col min="12" max="14" width="9.7109375" style="126" customWidth="1"/>
    <col min="15" max="15" width="43.42578125" style="127" customWidth="1"/>
    <col min="16" max="16384" width="8.85546875" style="118"/>
  </cols>
  <sheetData>
    <row r="1" spans="1:17" s="82" customFormat="1" ht="12.75" x14ac:dyDescent="0.2">
      <c r="B1" s="111"/>
      <c r="C1" s="112"/>
      <c r="E1" s="113"/>
      <c r="F1" s="113"/>
      <c r="G1" s="113"/>
      <c r="H1" s="113"/>
      <c r="I1" s="113"/>
      <c r="J1" s="113"/>
      <c r="K1" s="114"/>
      <c r="L1" s="113"/>
      <c r="M1" s="113"/>
      <c r="N1" s="113"/>
      <c r="O1" s="115" t="s">
        <v>1002</v>
      </c>
    </row>
    <row r="2" spans="1:17" s="82" customFormat="1" ht="14.25" x14ac:dyDescent="0.2">
      <c r="B2" s="1546" t="s">
        <v>792</v>
      </c>
      <c r="C2" s="1546"/>
      <c r="D2" s="1546"/>
      <c r="E2" s="1546"/>
      <c r="F2" s="1546"/>
      <c r="G2" s="1546"/>
      <c r="H2" s="1546"/>
      <c r="I2" s="1546"/>
      <c r="J2" s="1546"/>
      <c r="K2" s="1546"/>
      <c r="L2" s="1546"/>
      <c r="M2" s="1546"/>
      <c r="N2" s="1546"/>
      <c r="O2" s="1546"/>
    </row>
    <row r="3" spans="1:17" s="82" customFormat="1" ht="12.75" x14ac:dyDescent="0.2">
      <c r="B3" s="111"/>
      <c r="C3" s="112"/>
      <c r="D3" s="1547"/>
      <c r="E3" s="1547"/>
      <c r="F3" s="1547"/>
      <c r="G3" s="104"/>
      <c r="H3" s="104"/>
      <c r="I3" s="104"/>
      <c r="J3" s="104"/>
      <c r="K3" s="114"/>
      <c r="L3" s="113"/>
      <c r="M3" s="113"/>
      <c r="N3" s="113"/>
      <c r="O3" s="212" t="s">
        <v>0</v>
      </c>
    </row>
    <row r="4" spans="1:17" s="82" customFormat="1" ht="17.100000000000001" customHeight="1" x14ac:dyDescent="0.2">
      <c r="A4" s="1535" t="s">
        <v>1</v>
      </c>
      <c r="B4" s="1535"/>
      <c r="C4" s="1548" t="s">
        <v>77</v>
      </c>
      <c r="D4" s="1548"/>
      <c r="E4" s="1549" t="s">
        <v>60</v>
      </c>
      <c r="F4" s="222" t="s">
        <v>187</v>
      </c>
      <c r="G4" s="1549" t="s">
        <v>61</v>
      </c>
      <c r="H4" s="222" t="s">
        <v>187</v>
      </c>
      <c r="I4" s="1549" t="s">
        <v>62</v>
      </c>
      <c r="J4" s="222" t="s">
        <v>187</v>
      </c>
      <c r="K4" s="1549" t="s">
        <v>64</v>
      </c>
      <c r="L4" s="222" t="s">
        <v>187</v>
      </c>
      <c r="M4" s="1539" t="s">
        <v>798</v>
      </c>
      <c r="N4" s="1539" t="s">
        <v>807</v>
      </c>
      <c r="O4" s="1541" t="s">
        <v>190</v>
      </c>
    </row>
    <row r="5" spans="1:17" s="82" customFormat="1" ht="44.25" customHeight="1" x14ac:dyDescent="0.2">
      <c r="A5" s="237" t="s">
        <v>78</v>
      </c>
      <c r="B5" s="239" t="s">
        <v>81</v>
      </c>
      <c r="C5" s="239" t="s">
        <v>78</v>
      </c>
      <c r="D5" s="239" t="s">
        <v>81</v>
      </c>
      <c r="E5" s="1549"/>
      <c r="F5" s="224" t="s">
        <v>59</v>
      </c>
      <c r="G5" s="1549"/>
      <c r="H5" s="224" t="s">
        <v>59</v>
      </c>
      <c r="I5" s="1549"/>
      <c r="J5" s="224" t="s">
        <v>59</v>
      </c>
      <c r="K5" s="1549"/>
      <c r="L5" s="224" t="s">
        <v>63</v>
      </c>
      <c r="M5" s="1539"/>
      <c r="N5" s="1539"/>
      <c r="O5" s="1541"/>
    </row>
    <row r="6" spans="1:17" s="116" customFormat="1" ht="12.75" x14ac:dyDescent="0.2">
      <c r="A6" s="227">
        <v>1</v>
      </c>
      <c r="B6" s="228">
        <v>2</v>
      </c>
      <c r="C6" s="228">
        <v>3</v>
      </c>
      <c r="D6" s="228">
        <v>4</v>
      </c>
      <c r="E6" s="229">
        <v>5</v>
      </c>
      <c r="F6" s="230">
        <v>6</v>
      </c>
      <c r="G6" s="231">
        <v>7</v>
      </c>
      <c r="H6" s="230">
        <v>8</v>
      </c>
      <c r="I6" s="231">
        <v>9</v>
      </c>
      <c r="J6" s="230">
        <v>10</v>
      </c>
      <c r="K6" s="231">
        <v>11</v>
      </c>
      <c r="L6" s="230">
        <v>12</v>
      </c>
      <c r="M6" s="419">
        <v>13</v>
      </c>
      <c r="N6" s="419">
        <v>14</v>
      </c>
      <c r="O6" s="232">
        <v>15</v>
      </c>
    </row>
    <row r="7" spans="1:17" s="116" customFormat="1" ht="12.75" x14ac:dyDescent="0.2">
      <c r="A7" s="1555" t="s">
        <v>499</v>
      </c>
      <c r="B7" s="1554" t="s">
        <v>507</v>
      </c>
      <c r="C7" s="241">
        <v>7010109</v>
      </c>
      <c r="D7" s="276" t="s">
        <v>500</v>
      </c>
      <c r="E7" s="267">
        <v>219.6</v>
      </c>
      <c r="F7" s="279">
        <v>219.6</v>
      </c>
      <c r="G7" s="267">
        <v>219.6</v>
      </c>
      <c r="H7" s="279">
        <v>219.6</v>
      </c>
      <c r="I7" s="267">
        <v>10</v>
      </c>
      <c r="J7" s="279">
        <v>10</v>
      </c>
      <c r="K7" s="267">
        <v>10</v>
      </c>
      <c r="L7" s="279">
        <v>10</v>
      </c>
      <c r="M7" s="420"/>
      <c r="N7" s="420">
        <f>+K7-E7</f>
        <v>-209.6</v>
      </c>
      <c r="O7" s="169" t="s">
        <v>501</v>
      </c>
      <c r="Q7" s="88">
        <f>+K7-I7-M7</f>
        <v>0</v>
      </c>
    </row>
    <row r="8" spans="1:17" s="116" customFormat="1" ht="25.5" x14ac:dyDescent="0.2">
      <c r="A8" s="1555"/>
      <c r="B8" s="1554"/>
      <c r="C8" s="241">
        <v>7010206</v>
      </c>
      <c r="D8" s="276" t="s">
        <v>502</v>
      </c>
      <c r="E8" s="267">
        <v>20</v>
      </c>
      <c r="F8" s="279">
        <v>20</v>
      </c>
      <c r="G8" s="267">
        <v>20</v>
      </c>
      <c r="H8" s="279">
        <v>20</v>
      </c>
      <c r="I8" s="267">
        <v>30</v>
      </c>
      <c r="J8" s="279">
        <v>30</v>
      </c>
      <c r="K8" s="267">
        <v>30</v>
      </c>
      <c r="L8" s="279">
        <v>30</v>
      </c>
      <c r="M8" s="420"/>
      <c r="N8" s="420">
        <f t="shared" ref="N8:N23" si="0">+K8-E8</f>
        <v>10</v>
      </c>
      <c r="O8" s="169" t="s">
        <v>748</v>
      </c>
      <c r="Q8" s="88">
        <f t="shared" ref="Q8:Q25" si="1">+K8-I8-M8</f>
        <v>0</v>
      </c>
    </row>
    <row r="9" spans="1:17" s="116" customFormat="1" ht="120" x14ac:dyDescent="0.2">
      <c r="A9" s="1555"/>
      <c r="B9" s="1554"/>
      <c r="C9" s="241">
        <v>7010110</v>
      </c>
      <c r="D9" s="276" t="s">
        <v>503</v>
      </c>
      <c r="E9" s="267">
        <v>50</v>
      </c>
      <c r="F9" s="279">
        <v>50</v>
      </c>
      <c r="G9" s="267">
        <v>50</v>
      </c>
      <c r="H9" s="279">
        <v>50</v>
      </c>
      <c r="I9" s="267">
        <v>50</v>
      </c>
      <c r="J9" s="279">
        <v>50</v>
      </c>
      <c r="K9" s="267">
        <v>50</v>
      </c>
      <c r="L9" s="279">
        <v>50</v>
      </c>
      <c r="M9" s="420"/>
      <c r="N9" s="420">
        <f t="shared" si="0"/>
        <v>0</v>
      </c>
      <c r="O9" s="169" t="s">
        <v>504</v>
      </c>
      <c r="Q9" s="88">
        <f t="shared" si="1"/>
        <v>0</v>
      </c>
    </row>
    <row r="10" spans="1:17" s="116" customFormat="1" ht="38.25" x14ac:dyDescent="0.2">
      <c r="A10" s="1555"/>
      <c r="B10" s="1554"/>
      <c r="C10" s="241">
        <v>7010106</v>
      </c>
      <c r="D10" s="276" t="s">
        <v>505</v>
      </c>
      <c r="E10" s="267">
        <v>83.5</v>
      </c>
      <c r="F10" s="279">
        <v>83.5</v>
      </c>
      <c r="G10" s="267">
        <v>83.5</v>
      </c>
      <c r="H10" s="279">
        <v>83.5</v>
      </c>
      <c r="I10" s="267">
        <v>19</v>
      </c>
      <c r="J10" s="279">
        <v>19</v>
      </c>
      <c r="K10" s="267">
        <v>19</v>
      </c>
      <c r="L10" s="279">
        <v>19</v>
      </c>
      <c r="M10" s="420"/>
      <c r="N10" s="420">
        <f t="shared" si="0"/>
        <v>-64.5</v>
      </c>
      <c r="O10" s="169" t="s">
        <v>506</v>
      </c>
      <c r="Q10" s="88">
        <f t="shared" si="1"/>
        <v>0</v>
      </c>
    </row>
    <row r="11" spans="1:17" s="116" customFormat="1" ht="25.5" x14ac:dyDescent="0.2">
      <c r="A11" s="1555"/>
      <c r="B11" s="1554"/>
      <c r="C11" s="241">
        <v>7010201</v>
      </c>
      <c r="D11" s="276" t="s">
        <v>508</v>
      </c>
      <c r="E11" s="267">
        <v>1165.9000000000001</v>
      </c>
      <c r="F11" s="279">
        <v>1165.9000000000001</v>
      </c>
      <c r="G11" s="267">
        <v>1225.9000000000001</v>
      </c>
      <c r="H11" s="279">
        <v>1225.9000000000001</v>
      </c>
      <c r="I11" s="267">
        <v>1203.5999999999999</v>
      </c>
      <c r="J11" s="279">
        <v>1203.5999999999999</v>
      </c>
      <c r="K11" s="267">
        <v>1203.5999999999999</v>
      </c>
      <c r="L11" s="279">
        <v>1203.5999999999999</v>
      </c>
      <c r="M11" s="420"/>
      <c r="N11" s="420">
        <f t="shared" si="0"/>
        <v>37.699999999999818</v>
      </c>
      <c r="O11" s="169" t="s">
        <v>509</v>
      </c>
      <c r="Q11" s="88">
        <f t="shared" si="1"/>
        <v>0</v>
      </c>
    </row>
    <row r="12" spans="1:17" s="116" customFormat="1" ht="25.5" x14ac:dyDescent="0.2">
      <c r="A12" s="1555"/>
      <c r="B12" s="1554"/>
      <c r="C12" s="241">
        <v>7010302</v>
      </c>
      <c r="D12" s="276" t="s">
        <v>510</v>
      </c>
      <c r="E12" s="267">
        <v>130.69999999999999</v>
      </c>
      <c r="F12" s="279">
        <v>130.69999999999999</v>
      </c>
      <c r="G12" s="267">
        <v>130.69999999999999</v>
      </c>
      <c r="H12" s="279">
        <v>130.69999999999999</v>
      </c>
      <c r="I12" s="267">
        <v>115</v>
      </c>
      <c r="J12" s="279">
        <v>115</v>
      </c>
      <c r="K12" s="267">
        <v>115</v>
      </c>
      <c r="L12" s="279">
        <v>115</v>
      </c>
      <c r="M12" s="420"/>
      <c r="N12" s="420">
        <f t="shared" si="0"/>
        <v>-15.699999999999989</v>
      </c>
      <c r="O12" s="169" t="s">
        <v>715</v>
      </c>
      <c r="Q12" s="88">
        <f t="shared" si="1"/>
        <v>0</v>
      </c>
    </row>
    <row r="13" spans="1:17" ht="13.5" x14ac:dyDescent="0.2">
      <c r="A13" s="1555"/>
      <c r="B13" s="1554"/>
      <c r="C13" s="1553" t="s">
        <v>185</v>
      </c>
      <c r="D13" s="1553"/>
      <c r="E13" s="284">
        <v>80</v>
      </c>
      <c r="F13" s="285">
        <v>80</v>
      </c>
      <c r="G13" s="284">
        <v>80</v>
      </c>
      <c r="H13" s="286">
        <v>80</v>
      </c>
      <c r="I13" s="284"/>
      <c r="J13" s="285"/>
      <c r="K13" s="284"/>
      <c r="L13" s="286"/>
      <c r="M13" s="421"/>
      <c r="N13" s="421">
        <f t="shared" si="0"/>
        <v>-80</v>
      </c>
      <c r="O13" s="170"/>
      <c r="Q13" s="88">
        <f t="shared" si="1"/>
        <v>0</v>
      </c>
    </row>
    <row r="14" spans="1:17" s="116" customFormat="1" ht="38.25" x14ac:dyDescent="0.2">
      <c r="A14" s="1555"/>
      <c r="B14" s="1554"/>
      <c r="C14" s="241">
        <v>7010301</v>
      </c>
      <c r="D14" s="276" t="s">
        <v>511</v>
      </c>
      <c r="E14" s="267">
        <v>259</v>
      </c>
      <c r="F14" s="279">
        <v>259</v>
      </c>
      <c r="G14" s="267">
        <v>259</v>
      </c>
      <c r="H14" s="279">
        <v>259</v>
      </c>
      <c r="I14" s="267">
        <v>400</v>
      </c>
      <c r="J14" s="279">
        <v>400</v>
      </c>
      <c r="K14" s="267">
        <v>400</v>
      </c>
      <c r="L14" s="279">
        <v>400</v>
      </c>
      <c r="M14" s="420"/>
      <c r="N14" s="420">
        <f t="shared" si="0"/>
        <v>141</v>
      </c>
      <c r="O14" s="169" t="s">
        <v>716</v>
      </c>
      <c r="Q14" s="88">
        <f t="shared" si="1"/>
        <v>0</v>
      </c>
    </row>
    <row r="15" spans="1:17" ht="13.5" x14ac:dyDescent="0.2">
      <c r="A15" s="1555"/>
      <c r="B15" s="1554"/>
      <c r="C15" s="1553" t="s">
        <v>185</v>
      </c>
      <c r="D15" s="1553"/>
      <c r="E15" s="284">
        <v>163</v>
      </c>
      <c r="F15" s="285">
        <v>163</v>
      </c>
      <c r="G15" s="284">
        <v>163</v>
      </c>
      <c r="H15" s="285">
        <v>163</v>
      </c>
      <c r="I15" s="284"/>
      <c r="J15" s="285"/>
      <c r="K15" s="284"/>
      <c r="L15" s="286"/>
      <c r="M15" s="421"/>
      <c r="N15" s="421">
        <f t="shared" si="0"/>
        <v>-163</v>
      </c>
      <c r="O15" s="170"/>
      <c r="Q15" s="88">
        <f t="shared" si="1"/>
        <v>0</v>
      </c>
    </row>
    <row r="16" spans="1:17" s="116" customFormat="1" ht="25.5" x14ac:dyDescent="0.2">
      <c r="A16" s="1555"/>
      <c r="B16" s="1554"/>
      <c r="C16" s="241">
        <v>7010104</v>
      </c>
      <c r="D16" s="276" t="s">
        <v>512</v>
      </c>
      <c r="E16" s="267">
        <v>94.3</v>
      </c>
      <c r="F16" s="279">
        <v>94.3</v>
      </c>
      <c r="G16" s="267">
        <v>94.3</v>
      </c>
      <c r="H16" s="279">
        <v>94.3</v>
      </c>
      <c r="I16" s="267">
        <v>166</v>
      </c>
      <c r="J16" s="279">
        <v>166</v>
      </c>
      <c r="K16" s="267">
        <v>166</v>
      </c>
      <c r="L16" s="279">
        <v>166</v>
      </c>
      <c r="M16" s="420"/>
      <c r="N16" s="420">
        <f t="shared" si="0"/>
        <v>71.7</v>
      </c>
      <c r="O16" s="169" t="s">
        <v>513</v>
      </c>
      <c r="Q16" s="88">
        <f t="shared" si="1"/>
        <v>0</v>
      </c>
    </row>
    <row r="17" spans="1:17" ht="13.5" x14ac:dyDescent="0.2">
      <c r="A17" s="1555"/>
      <c r="B17" s="1554"/>
      <c r="C17" s="1553" t="s">
        <v>185</v>
      </c>
      <c r="D17" s="1553"/>
      <c r="E17" s="284">
        <v>6.8</v>
      </c>
      <c r="F17" s="285">
        <v>6.8</v>
      </c>
      <c r="G17" s="284">
        <v>6.8</v>
      </c>
      <c r="H17" s="285">
        <v>6.8</v>
      </c>
      <c r="I17" s="284"/>
      <c r="J17" s="285"/>
      <c r="K17" s="284"/>
      <c r="L17" s="286"/>
      <c r="M17" s="421"/>
      <c r="N17" s="421">
        <f t="shared" si="0"/>
        <v>-6.8</v>
      </c>
      <c r="O17" s="170"/>
      <c r="Q17" s="88">
        <f t="shared" si="1"/>
        <v>0</v>
      </c>
    </row>
    <row r="18" spans="1:17" s="116" customFormat="1" ht="25.5" x14ac:dyDescent="0.2">
      <c r="A18" s="1555"/>
      <c r="B18" s="1554"/>
      <c r="C18" s="241">
        <v>7010103</v>
      </c>
      <c r="D18" s="276" t="s">
        <v>514</v>
      </c>
      <c r="E18" s="267">
        <v>164.2</v>
      </c>
      <c r="F18" s="279">
        <v>164.2</v>
      </c>
      <c r="G18" s="267">
        <v>164.2</v>
      </c>
      <c r="H18" s="279">
        <v>164.2</v>
      </c>
      <c r="I18" s="267"/>
      <c r="J18" s="279"/>
      <c r="K18" s="267"/>
      <c r="L18" s="279"/>
      <c r="M18" s="420"/>
      <c r="N18" s="420">
        <f t="shared" si="0"/>
        <v>-164.2</v>
      </c>
      <c r="O18" s="169"/>
      <c r="Q18" s="88">
        <f t="shared" si="1"/>
        <v>0</v>
      </c>
    </row>
    <row r="19" spans="1:17" ht="13.5" x14ac:dyDescent="0.2">
      <c r="A19" s="1555"/>
      <c r="B19" s="1554"/>
      <c r="C19" s="1553" t="s">
        <v>185</v>
      </c>
      <c r="D19" s="1553"/>
      <c r="E19" s="284">
        <v>164.2</v>
      </c>
      <c r="F19" s="285">
        <v>164.2</v>
      </c>
      <c r="G19" s="284">
        <v>164.2</v>
      </c>
      <c r="H19" s="286">
        <v>164.2</v>
      </c>
      <c r="I19" s="284"/>
      <c r="J19" s="285"/>
      <c r="K19" s="284"/>
      <c r="L19" s="286"/>
      <c r="M19" s="421"/>
      <c r="N19" s="421">
        <f t="shared" si="0"/>
        <v>-164.2</v>
      </c>
      <c r="O19" s="170"/>
      <c r="Q19" s="88">
        <f t="shared" si="1"/>
        <v>0</v>
      </c>
    </row>
    <row r="20" spans="1:17" s="116" customFormat="1" ht="60" x14ac:dyDescent="0.2">
      <c r="A20" s="1555"/>
      <c r="B20" s="1554"/>
      <c r="C20" s="241">
        <v>70101050</v>
      </c>
      <c r="D20" s="276" t="s">
        <v>515</v>
      </c>
      <c r="E20" s="267">
        <v>47</v>
      </c>
      <c r="F20" s="279">
        <v>47</v>
      </c>
      <c r="G20" s="267">
        <v>47</v>
      </c>
      <c r="H20" s="279">
        <v>47</v>
      </c>
      <c r="I20" s="267">
        <v>50</v>
      </c>
      <c r="J20" s="279">
        <v>50</v>
      </c>
      <c r="K20" s="267">
        <v>50</v>
      </c>
      <c r="L20" s="279">
        <v>50</v>
      </c>
      <c r="M20" s="420"/>
      <c r="N20" s="420">
        <f t="shared" si="0"/>
        <v>3</v>
      </c>
      <c r="O20" s="169" t="s">
        <v>516</v>
      </c>
      <c r="Q20" s="88">
        <f t="shared" si="1"/>
        <v>0</v>
      </c>
    </row>
    <row r="21" spans="1:17" s="116" customFormat="1" ht="60" x14ac:dyDescent="0.2">
      <c r="A21" s="1555"/>
      <c r="B21" s="1554"/>
      <c r="C21" s="241">
        <v>7010202</v>
      </c>
      <c r="D21" s="276" t="s">
        <v>517</v>
      </c>
      <c r="E21" s="267">
        <v>295.3</v>
      </c>
      <c r="F21" s="279">
        <v>295.3</v>
      </c>
      <c r="G21" s="267">
        <v>295.3</v>
      </c>
      <c r="H21" s="279">
        <v>295.3</v>
      </c>
      <c r="I21" s="267">
        <v>479.4</v>
      </c>
      <c r="J21" s="279">
        <v>479.4</v>
      </c>
      <c r="K21" s="267">
        <v>479.4</v>
      </c>
      <c r="L21" s="279">
        <v>479.4</v>
      </c>
      <c r="M21" s="420"/>
      <c r="N21" s="420">
        <f t="shared" si="0"/>
        <v>184.09999999999997</v>
      </c>
      <c r="O21" s="169" t="s">
        <v>518</v>
      </c>
      <c r="Q21" s="88">
        <f t="shared" si="1"/>
        <v>0</v>
      </c>
    </row>
    <row r="22" spans="1:17" ht="12.75" customHeight="1" x14ac:dyDescent="0.2">
      <c r="A22" s="1550" t="s">
        <v>519</v>
      </c>
      <c r="B22" s="1550"/>
      <c r="C22" s="1550"/>
      <c r="D22" s="1550"/>
      <c r="E22" s="120">
        <f>+E7+E8+E9+E10+E11+E12+E14+E16+E18+E20+E21</f>
        <v>2529.5</v>
      </c>
      <c r="F22" s="120">
        <f t="shared" ref="F22:M22" si="2">+F7+F8+F9+F10+F11+F12+F14+F16+F18+F20+F21</f>
        <v>2529.5</v>
      </c>
      <c r="G22" s="120">
        <f t="shared" si="2"/>
        <v>2589.5</v>
      </c>
      <c r="H22" s="120">
        <f t="shared" si="2"/>
        <v>2589.5</v>
      </c>
      <c r="I22" s="120">
        <f t="shared" si="2"/>
        <v>2523</v>
      </c>
      <c r="J22" s="120">
        <f t="shared" si="2"/>
        <v>2523</v>
      </c>
      <c r="K22" s="120">
        <f t="shared" si="2"/>
        <v>2523</v>
      </c>
      <c r="L22" s="120">
        <f t="shared" si="2"/>
        <v>2523</v>
      </c>
      <c r="M22" s="120">
        <f t="shared" si="2"/>
        <v>0</v>
      </c>
      <c r="N22" s="120">
        <f t="shared" si="0"/>
        <v>-6.5</v>
      </c>
      <c r="O22" s="129">
        <v>0</v>
      </c>
      <c r="Q22" s="88">
        <f t="shared" si="1"/>
        <v>0</v>
      </c>
    </row>
    <row r="23" spans="1:17" ht="12" customHeight="1" x14ac:dyDescent="0.2">
      <c r="A23" s="1551" t="s">
        <v>185</v>
      </c>
      <c r="B23" s="1551"/>
      <c r="C23" s="1551"/>
      <c r="D23" s="1551"/>
      <c r="E23" s="280">
        <f>+E19+E17+E15+E13</f>
        <v>414</v>
      </c>
      <c r="F23" s="280">
        <f t="shared" ref="F23:L23" si="3">+F19+F17+F15+F13</f>
        <v>414</v>
      </c>
      <c r="G23" s="280">
        <f t="shared" si="3"/>
        <v>414</v>
      </c>
      <c r="H23" s="280">
        <f t="shared" si="3"/>
        <v>414</v>
      </c>
      <c r="I23" s="280">
        <f t="shared" si="3"/>
        <v>0</v>
      </c>
      <c r="J23" s="280">
        <f t="shared" si="3"/>
        <v>0</v>
      </c>
      <c r="K23" s="280">
        <f t="shared" si="3"/>
        <v>0</v>
      </c>
      <c r="L23" s="280">
        <f t="shared" si="3"/>
        <v>0</v>
      </c>
      <c r="M23" s="280">
        <f t="shared" ref="M23" si="4">+M19</f>
        <v>0</v>
      </c>
      <c r="N23" s="280">
        <f t="shared" si="0"/>
        <v>-414</v>
      </c>
      <c r="O23" s="158">
        <v>0</v>
      </c>
      <c r="Q23" s="88">
        <f t="shared" si="1"/>
        <v>0</v>
      </c>
    </row>
    <row r="24" spans="1:17" ht="12" customHeight="1" x14ac:dyDescent="0.2">
      <c r="B24" s="1552"/>
      <c r="C24" s="1552"/>
      <c r="D24" s="1552"/>
      <c r="Q24" s="88">
        <f t="shared" si="1"/>
        <v>0</v>
      </c>
    </row>
    <row r="25" spans="1:17" s="82" customFormat="1" ht="12.75" x14ac:dyDescent="0.2">
      <c r="B25" s="1540" t="s">
        <v>128</v>
      </c>
      <c r="C25" s="1540"/>
      <c r="D25" s="1540"/>
      <c r="E25" s="94"/>
      <c r="F25" s="95"/>
      <c r="G25" s="95"/>
      <c r="H25" s="95"/>
      <c r="I25" s="95"/>
      <c r="J25" s="95"/>
      <c r="K25" s="94"/>
      <c r="L25" s="95"/>
      <c r="M25" s="94"/>
      <c r="N25" s="94"/>
      <c r="P25" s="88"/>
      <c r="Q25" s="88">
        <f t="shared" si="1"/>
        <v>0</v>
      </c>
    </row>
  </sheetData>
  <mergeCells count="21">
    <mergeCell ref="A22:D22"/>
    <mergeCell ref="A23:D23"/>
    <mergeCell ref="B24:D24"/>
    <mergeCell ref="B25:D25"/>
    <mergeCell ref="M4:M5"/>
    <mergeCell ref="C13:D13"/>
    <mergeCell ref="C15:D15"/>
    <mergeCell ref="C17:D17"/>
    <mergeCell ref="C19:D19"/>
    <mergeCell ref="B7:B21"/>
    <mergeCell ref="A7:A21"/>
    <mergeCell ref="B2:O2"/>
    <mergeCell ref="D3:F3"/>
    <mergeCell ref="A4:B4"/>
    <mergeCell ref="C4:D4"/>
    <mergeCell ref="E4:E5"/>
    <mergeCell ref="G4:G5"/>
    <mergeCell ref="I4:I5"/>
    <mergeCell ref="K4:K5"/>
    <mergeCell ref="O4:O5"/>
    <mergeCell ref="N4:N5"/>
  </mergeCells>
  <pageMargins left="0.11811023622047245" right="0.11811023622047245" top="0.59055118110236227" bottom="0.31496062992125984" header="0" footer="0"/>
  <pageSetup paperSize="9" scale="71" fitToHeight="0" orientation="landscape" r:id="rId1"/>
  <headerFooter alignWithMargins="0">
    <oddFooter>&amp;C&amp;P</oddFooter>
  </headerFooter>
  <ignoredErrors>
    <ignoredError sqref="A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showZeros="0" zoomScaleNormal="100" zoomScaleSheetLayoutView="70" workbookViewId="0">
      <selection activeCell="O1" sqref="O1"/>
    </sheetView>
  </sheetViews>
  <sheetFormatPr defaultColWidth="8.85546875" defaultRowHeight="11.25" x14ac:dyDescent="0.2"/>
  <cols>
    <col min="1" max="1" width="3.28515625" style="118" customWidth="1"/>
    <col min="2" max="2" width="11" style="122" customWidth="1"/>
    <col min="3" max="3" width="10.5703125" style="123" customWidth="1"/>
    <col min="4" max="4" width="36.28515625" style="124" customWidth="1"/>
    <col min="5" max="10" width="9.7109375" style="121" customWidth="1"/>
    <col min="11" max="11" width="9.7109375" style="125" customWidth="1"/>
    <col min="12" max="14" width="9.7109375" style="126" customWidth="1"/>
    <col min="15" max="15" width="43.42578125" style="127" customWidth="1"/>
    <col min="16" max="17" width="8.85546875" style="118"/>
    <col min="18" max="18" width="36.28515625" style="118" customWidth="1"/>
    <col min="19" max="16384" width="8.85546875" style="118"/>
  </cols>
  <sheetData>
    <row r="1" spans="1:17" s="82" customFormat="1" ht="12.75" x14ac:dyDescent="0.2">
      <c r="B1" s="111"/>
      <c r="C1" s="112"/>
      <c r="E1" s="113"/>
      <c r="F1" s="113"/>
      <c r="G1" s="113"/>
      <c r="H1" s="113"/>
      <c r="I1" s="113"/>
      <c r="J1" s="113"/>
      <c r="K1" s="114"/>
      <c r="L1" s="113"/>
      <c r="M1" s="113"/>
      <c r="N1" s="113"/>
      <c r="O1" s="115" t="s">
        <v>1003</v>
      </c>
    </row>
    <row r="2" spans="1:17" s="82" customFormat="1" ht="14.25" x14ac:dyDescent="0.2">
      <c r="B2" s="1546" t="s">
        <v>791</v>
      </c>
      <c r="C2" s="1546"/>
      <c r="D2" s="1546"/>
      <c r="E2" s="1546"/>
      <c r="F2" s="1546"/>
      <c r="G2" s="1546"/>
      <c r="H2" s="1546"/>
      <c r="I2" s="1546"/>
      <c r="J2" s="1546"/>
      <c r="K2" s="1546"/>
      <c r="L2" s="1546"/>
      <c r="M2" s="1546"/>
      <c r="N2" s="1546"/>
      <c r="O2" s="1546"/>
    </row>
    <row r="3" spans="1:17" s="82" customFormat="1" ht="12.75" x14ac:dyDescent="0.2">
      <c r="B3" s="111"/>
      <c r="C3" s="112"/>
      <c r="D3" s="1547"/>
      <c r="E3" s="1547"/>
      <c r="F3" s="1547"/>
      <c r="G3" s="104"/>
      <c r="H3" s="104"/>
      <c r="I3" s="104"/>
      <c r="J3" s="104"/>
      <c r="K3" s="114"/>
      <c r="L3" s="113"/>
      <c r="M3" s="113"/>
      <c r="N3" s="113"/>
      <c r="O3" s="212" t="s">
        <v>0</v>
      </c>
    </row>
    <row r="4" spans="1:17" s="82" customFormat="1" ht="13.15" customHeight="1" x14ac:dyDescent="0.2">
      <c r="A4" s="1535" t="s">
        <v>1</v>
      </c>
      <c r="B4" s="1535"/>
      <c r="C4" s="1548" t="s">
        <v>77</v>
      </c>
      <c r="D4" s="1548"/>
      <c r="E4" s="1549" t="s">
        <v>60</v>
      </c>
      <c r="F4" s="222" t="s">
        <v>187</v>
      </c>
      <c r="G4" s="1549" t="s">
        <v>61</v>
      </c>
      <c r="H4" s="222" t="s">
        <v>187</v>
      </c>
      <c r="I4" s="1549" t="s">
        <v>62</v>
      </c>
      <c r="J4" s="222" t="s">
        <v>187</v>
      </c>
      <c r="K4" s="1549" t="s">
        <v>64</v>
      </c>
      <c r="L4" s="222" t="s">
        <v>187</v>
      </c>
      <c r="M4" s="1539" t="s">
        <v>798</v>
      </c>
      <c r="N4" s="1539" t="s">
        <v>807</v>
      </c>
      <c r="O4" s="1541" t="s">
        <v>190</v>
      </c>
    </row>
    <row r="5" spans="1:17" s="82" customFormat="1" ht="54.75" customHeight="1" x14ac:dyDescent="0.2">
      <c r="A5" s="237" t="s">
        <v>78</v>
      </c>
      <c r="B5" s="239" t="s">
        <v>81</v>
      </c>
      <c r="C5" s="239" t="s">
        <v>78</v>
      </c>
      <c r="D5" s="239" t="s">
        <v>81</v>
      </c>
      <c r="E5" s="1549"/>
      <c r="F5" s="224" t="s">
        <v>59</v>
      </c>
      <c r="G5" s="1549"/>
      <c r="H5" s="224" t="s">
        <v>59</v>
      </c>
      <c r="I5" s="1549"/>
      <c r="J5" s="224" t="s">
        <v>59</v>
      </c>
      <c r="K5" s="1549"/>
      <c r="L5" s="224" t="s">
        <v>63</v>
      </c>
      <c r="M5" s="1539"/>
      <c r="N5" s="1539"/>
      <c r="O5" s="1541"/>
    </row>
    <row r="6" spans="1:17" s="116" customFormat="1" ht="12.75" x14ac:dyDescent="0.2">
      <c r="A6" s="227">
        <v>1</v>
      </c>
      <c r="B6" s="228">
        <v>2</v>
      </c>
      <c r="C6" s="228">
        <v>3</v>
      </c>
      <c r="D6" s="228">
        <v>4</v>
      </c>
      <c r="E6" s="229">
        <v>5</v>
      </c>
      <c r="F6" s="230">
        <v>6</v>
      </c>
      <c r="G6" s="231">
        <v>7</v>
      </c>
      <c r="H6" s="230">
        <v>8</v>
      </c>
      <c r="I6" s="231">
        <v>9</v>
      </c>
      <c r="J6" s="230">
        <v>10</v>
      </c>
      <c r="K6" s="231">
        <v>11</v>
      </c>
      <c r="L6" s="230">
        <v>12</v>
      </c>
      <c r="M6" s="419">
        <v>13</v>
      </c>
      <c r="N6" s="419">
        <v>14</v>
      </c>
      <c r="O6" s="232">
        <v>15</v>
      </c>
    </row>
    <row r="7" spans="1:17" s="116" customFormat="1" ht="96" x14ac:dyDescent="0.2">
      <c r="A7" s="240" t="s">
        <v>191</v>
      </c>
      <c r="B7" s="241" t="s">
        <v>192</v>
      </c>
      <c r="C7" s="241">
        <v>16010104</v>
      </c>
      <c r="D7" s="276" t="s">
        <v>520</v>
      </c>
      <c r="E7" s="277">
        <v>361.7</v>
      </c>
      <c r="F7" s="278">
        <v>361.7</v>
      </c>
      <c r="G7" s="277">
        <v>361.7</v>
      </c>
      <c r="H7" s="278">
        <v>361.7</v>
      </c>
      <c r="I7" s="277">
        <f>417.5+4.1</f>
        <v>421.6</v>
      </c>
      <c r="J7" s="278">
        <f>417.5+4.1</f>
        <v>421.6</v>
      </c>
      <c r="K7" s="277">
        <f>417.5+4.1</f>
        <v>421.6</v>
      </c>
      <c r="L7" s="278">
        <f>417.5+4.1</f>
        <v>421.6</v>
      </c>
      <c r="M7" s="422">
        <f>+K7-I7</f>
        <v>0</v>
      </c>
      <c r="N7" s="422">
        <f>+K7-E7</f>
        <v>59.900000000000034</v>
      </c>
      <c r="O7" s="169" t="s">
        <v>521</v>
      </c>
      <c r="Q7" s="88"/>
    </row>
    <row r="8" spans="1:17" ht="17.25" customHeight="1" x14ac:dyDescent="0.2">
      <c r="A8" s="1550" t="s">
        <v>522</v>
      </c>
      <c r="B8" s="1550"/>
      <c r="C8" s="1550"/>
      <c r="D8" s="1550"/>
      <c r="E8" s="120">
        <f>SUM(E7)</f>
        <v>361.7</v>
      </c>
      <c r="F8" s="120">
        <f t="shared" ref="F8:M8" si="0">SUM(F7)</f>
        <v>361.7</v>
      </c>
      <c r="G8" s="120">
        <f t="shared" si="0"/>
        <v>361.7</v>
      </c>
      <c r="H8" s="120">
        <f t="shared" si="0"/>
        <v>361.7</v>
      </c>
      <c r="I8" s="120">
        <f t="shared" si="0"/>
        <v>421.6</v>
      </c>
      <c r="J8" s="120">
        <f t="shared" si="0"/>
        <v>421.6</v>
      </c>
      <c r="K8" s="120">
        <f t="shared" si="0"/>
        <v>421.6</v>
      </c>
      <c r="L8" s="120">
        <f t="shared" si="0"/>
        <v>421.6</v>
      </c>
      <c r="M8" s="120">
        <f t="shared" si="0"/>
        <v>0</v>
      </c>
      <c r="N8" s="256">
        <f>+K8-E8</f>
        <v>59.900000000000034</v>
      </c>
      <c r="O8" s="120"/>
      <c r="Q8" s="219">
        <f>+K8-I8</f>
        <v>0</v>
      </c>
    </row>
    <row r="9" spans="1:17" s="82" customFormat="1" ht="12.75" x14ac:dyDescent="0.2">
      <c r="A9" s="1545" t="s">
        <v>457</v>
      </c>
      <c r="B9" s="1545"/>
      <c r="C9" s="1545"/>
      <c r="D9" s="1545"/>
      <c r="E9" s="153"/>
      <c r="F9" s="153"/>
      <c r="G9" s="153"/>
      <c r="H9" s="153"/>
      <c r="I9" s="153"/>
      <c r="J9" s="154"/>
      <c r="K9" s="155"/>
      <c r="L9" s="155"/>
      <c r="M9" s="156"/>
      <c r="N9" s="156"/>
      <c r="O9" s="90"/>
      <c r="P9" s="88"/>
    </row>
    <row r="10" spans="1:17" s="82" customFormat="1" ht="12.75" x14ac:dyDescent="0.2">
      <c r="A10" s="91"/>
      <c r="B10" s="91"/>
      <c r="C10" s="91"/>
      <c r="D10" s="91"/>
      <c r="E10" s="92"/>
      <c r="F10" s="93"/>
      <c r="G10" s="93"/>
      <c r="H10" s="93"/>
      <c r="I10" s="93"/>
      <c r="J10" s="93"/>
      <c r="K10" s="92"/>
      <c r="L10" s="93"/>
      <c r="M10" s="92"/>
      <c r="N10" s="92"/>
      <c r="O10" s="91"/>
      <c r="P10" s="88"/>
    </row>
    <row r="11" spans="1:17" s="82" customFormat="1" ht="12.75" x14ac:dyDescent="0.2">
      <c r="B11" s="1540" t="s">
        <v>128</v>
      </c>
      <c r="C11" s="1540"/>
      <c r="D11" s="1540"/>
      <c r="E11" s="94"/>
      <c r="F11" s="95"/>
      <c r="G11" s="95"/>
      <c r="H11" s="95"/>
      <c r="I11" s="95"/>
      <c r="J11" s="95"/>
      <c r="K11" s="94"/>
      <c r="L11" s="95"/>
      <c r="M11" s="94"/>
      <c r="N11" s="94"/>
      <c r="P11" s="88"/>
    </row>
    <row r="12" spans="1:17" x14ac:dyDescent="0.2">
      <c r="E12" s="257"/>
      <c r="F12" s="257"/>
      <c r="G12" s="257"/>
      <c r="H12" s="257"/>
      <c r="I12" s="257"/>
      <c r="J12" s="257"/>
      <c r="K12" s="258"/>
    </row>
    <row r="13" spans="1:17" x14ac:dyDescent="0.2">
      <c r="E13" s="257"/>
      <c r="F13" s="257"/>
      <c r="G13" s="257"/>
      <c r="H13" s="257"/>
      <c r="I13" s="257"/>
      <c r="J13" s="257"/>
      <c r="K13" s="258"/>
    </row>
    <row r="14" spans="1:17" x14ac:dyDescent="0.2">
      <c r="E14" s="257"/>
      <c r="F14" s="257"/>
      <c r="G14" s="257"/>
      <c r="H14" s="257"/>
      <c r="I14" s="257"/>
      <c r="J14" s="257"/>
      <c r="K14" s="258"/>
    </row>
    <row r="15" spans="1:17" x14ac:dyDescent="0.2">
      <c r="E15" s="257"/>
      <c r="F15" s="257"/>
      <c r="G15" s="257"/>
      <c r="H15" s="257"/>
      <c r="I15" s="257"/>
      <c r="J15" s="257"/>
      <c r="K15" s="258"/>
    </row>
    <row r="16" spans="1:17" x14ac:dyDescent="0.2">
      <c r="E16" s="257"/>
      <c r="F16" s="257"/>
      <c r="G16" s="257"/>
      <c r="H16" s="257"/>
      <c r="I16" s="257"/>
      <c r="J16" s="257"/>
      <c r="K16" s="258"/>
    </row>
    <row r="17" spans="5:11" x14ac:dyDescent="0.2">
      <c r="E17" s="257"/>
      <c r="F17" s="257"/>
      <c r="G17" s="257"/>
      <c r="H17" s="257"/>
      <c r="I17" s="257"/>
      <c r="J17" s="257"/>
      <c r="K17" s="258"/>
    </row>
    <row r="18" spans="5:11" x14ac:dyDescent="0.2">
      <c r="E18" s="257"/>
      <c r="F18" s="257"/>
      <c r="G18" s="257"/>
      <c r="H18" s="257"/>
      <c r="I18" s="257"/>
      <c r="J18" s="257"/>
      <c r="K18" s="258"/>
    </row>
    <row r="19" spans="5:11" x14ac:dyDescent="0.2">
      <c r="E19" s="257"/>
      <c r="F19" s="257"/>
      <c r="G19" s="257"/>
      <c r="H19" s="257"/>
      <c r="I19" s="257"/>
      <c r="J19" s="257"/>
      <c r="K19" s="258"/>
    </row>
    <row r="20" spans="5:11" x14ac:dyDescent="0.2">
      <c r="E20" s="257"/>
      <c r="F20" s="257"/>
      <c r="G20" s="257"/>
      <c r="H20" s="257"/>
      <c r="I20" s="257"/>
      <c r="J20" s="257"/>
      <c r="K20" s="258"/>
    </row>
    <row r="21" spans="5:11" x14ac:dyDescent="0.2">
      <c r="E21" s="257"/>
      <c r="F21" s="257"/>
      <c r="G21" s="257"/>
      <c r="H21" s="257"/>
      <c r="I21" s="257"/>
      <c r="J21" s="257"/>
      <c r="K21" s="258"/>
    </row>
    <row r="22" spans="5:11" x14ac:dyDescent="0.2">
      <c r="E22" s="257"/>
      <c r="F22" s="257"/>
      <c r="G22" s="257"/>
      <c r="H22" s="257"/>
      <c r="I22" s="257"/>
      <c r="J22" s="257"/>
      <c r="K22" s="258"/>
    </row>
    <row r="23" spans="5:11" x14ac:dyDescent="0.2">
      <c r="E23" s="257"/>
      <c r="F23" s="257"/>
      <c r="G23" s="257"/>
      <c r="H23" s="257"/>
      <c r="I23" s="257"/>
      <c r="J23" s="257"/>
      <c r="K23" s="258"/>
    </row>
    <row r="24" spans="5:11" x14ac:dyDescent="0.2">
      <c r="E24" s="257"/>
      <c r="F24" s="257"/>
      <c r="G24" s="257"/>
      <c r="H24" s="257"/>
      <c r="I24" s="257"/>
      <c r="J24" s="257"/>
      <c r="K24" s="258"/>
    </row>
    <row r="25" spans="5:11" x14ac:dyDescent="0.2">
      <c r="E25" s="257"/>
      <c r="F25" s="257"/>
      <c r="G25" s="257"/>
      <c r="H25" s="257"/>
      <c r="I25" s="257"/>
      <c r="J25" s="257"/>
      <c r="K25" s="258"/>
    </row>
    <row r="26" spans="5:11" x14ac:dyDescent="0.2">
      <c r="E26" s="257"/>
      <c r="F26" s="257"/>
      <c r="G26" s="257"/>
      <c r="H26" s="257"/>
      <c r="I26" s="257"/>
      <c r="J26" s="257"/>
      <c r="K26" s="258"/>
    </row>
    <row r="27" spans="5:11" x14ac:dyDescent="0.2">
      <c r="E27" s="257"/>
      <c r="F27" s="257"/>
      <c r="G27" s="257"/>
      <c r="H27" s="257"/>
      <c r="I27" s="257"/>
      <c r="J27" s="257"/>
      <c r="K27" s="258"/>
    </row>
    <row r="28" spans="5:11" x14ac:dyDescent="0.2">
      <c r="E28" s="257"/>
      <c r="F28" s="257"/>
      <c r="G28" s="257"/>
      <c r="H28" s="257"/>
      <c r="I28" s="257"/>
      <c r="J28" s="257"/>
      <c r="K28" s="258"/>
    </row>
    <row r="29" spans="5:11" x14ac:dyDescent="0.2">
      <c r="E29" s="257"/>
      <c r="F29" s="257"/>
      <c r="G29" s="257"/>
      <c r="H29" s="257"/>
      <c r="I29" s="257"/>
      <c r="J29" s="257"/>
      <c r="K29" s="258"/>
    </row>
    <row r="30" spans="5:11" x14ac:dyDescent="0.2">
      <c r="E30" s="257"/>
      <c r="F30" s="257"/>
      <c r="G30" s="257"/>
      <c r="H30" s="257"/>
      <c r="I30" s="257"/>
      <c r="J30" s="257"/>
      <c r="K30" s="258"/>
    </row>
    <row r="31" spans="5:11" x14ac:dyDescent="0.2">
      <c r="E31" s="257"/>
      <c r="F31" s="257"/>
      <c r="G31" s="257"/>
      <c r="H31" s="257"/>
      <c r="I31" s="257"/>
      <c r="J31" s="257"/>
      <c r="K31" s="258"/>
    </row>
    <row r="32" spans="5:11" x14ac:dyDescent="0.2">
      <c r="E32" s="257"/>
      <c r="F32" s="257"/>
      <c r="G32" s="257"/>
      <c r="H32" s="257"/>
      <c r="I32" s="257"/>
      <c r="J32" s="257"/>
      <c r="K32" s="258"/>
    </row>
    <row r="33" spans="5:11" x14ac:dyDescent="0.2">
      <c r="E33" s="257"/>
      <c r="F33" s="257"/>
      <c r="G33" s="257"/>
      <c r="H33" s="257"/>
      <c r="I33" s="257"/>
      <c r="J33" s="257"/>
      <c r="K33" s="258"/>
    </row>
  </sheetData>
  <mergeCells count="14">
    <mergeCell ref="A8:D8"/>
    <mergeCell ref="A9:D9"/>
    <mergeCell ref="B11:D11"/>
    <mergeCell ref="B2:O2"/>
    <mergeCell ref="D3:F3"/>
    <mergeCell ref="A4:B4"/>
    <mergeCell ref="C4:D4"/>
    <mergeCell ref="E4:E5"/>
    <mergeCell ref="G4:G5"/>
    <mergeCell ref="I4:I5"/>
    <mergeCell ref="K4:K5"/>
    <mergeCell ref="M4:M5"/>
    <mergeCell ref="O4:O5"/>
    <mergeCell ref="N4:N5"/>
  </mergeCells>
  <pageMargins left="0.11811023622047245" right="0.11811023622047245" top="0.74803149606299213" bottom="0.74803149606299213" header="0.31496062992125984" footer="0.31496062992125984"/>
  <pageSetup paperSize="9" scale="71" fitToHeight="0" orientation="landscape" r:id="rId1"/>
  <headerFooter alignWithMargins="0">
    <oddFooter>&amp;C&amp;P</oddFooter>
  </headerFooter>
  <ignoredErrors>
    <ignoredError sqref="A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15</vt:i4>
      </vt:variant>
      <vt:variant>
        <vt:lpstr>Įvardytieji diapazonai</vt:lpstr>
      </vt:variant>
      <vt:variant>
        <vt:i4>22</vt:i4>
      </vt:variant>
    </vt:vector>
  </HeadingPairs>
  <TitlesOfParts>
    <vt:vector size="37" baseType="lpstr">
      <vt:lpstr>1</vt:lpstr>
      <vt:lpstr>2</vt:lpstr>
      <vt:lpstr>3</vt:lpstr>
      <vt:lpstr>4</vt:lpstr>
      <vt:lpstr>5</vt:lpstr>
      <vt:lpstr>6</vt:lpstr>
      <vt:lpstr>7</vt:lpstr>
      <vt:lpstr>8</vt:lpstr>
      <vt:lpstr>9</vt:lpstr>
      <vt:lpstr>10</vt:lpstr>
      <vt:lpstr>11</vt:lpstr>
      <vt:lpstr>12</vt:lpstr>
      <vt:lpstr>13</vt:lpstr>
      <vt:lpstr>14</vt:lpstr>
      <vt:lpstr>15</vt:lpstr>
      <vt:lpstr>'11'!Print_Area</vt:lpstr>
      <vt:lpstr>'12'!Print_Area</vt:lpstr>
      <vt:lpstr>'13'!Print_Area</vt:lpstr>
      <vt:lpstr>'14'!Print_Area</vt:lpstr>
      <vt:lpstr>'15'!Print_Area</vt:lpstr>
      <vt:lpstr>'7'!Print_Area</vt:lpstr>
      <vt:lpstr>'8'!Print_Area</vt:lpstr>
      <vt:lpstr>'9'!Print_Area</vt:lpstr>
      <vt:lpstr>'1'!Print_Titles</vt:lpstr>
      <vt:lpstr>'10'!Print_Titles</vt:lpstr>
      <vt:lpstr>'11'!Print_Titles</vt:lpstr>
      <vt:lpstr>'12'!Print_Titles</vt:lpstr>
      <vt:lpstr>'13'!Print_Titles</vt:lpstr>
      <vt:lpstr>'14'!Print_Titles</vt:lpstr>
      <vt:lpstr>'15'!Print_Titles</vt:lpstr>
      <vt:lpstr>'2'!Print_Titles</vt:lpstr>
      <vt:lpstr>'3'!Print_Titles</vt:lpstr>
      <vt:lpstr>'4'!Print_Titles</vt:lpstr>
      <vt:lpstr>'6'!Print_Titles</vt:lpstr>
      <vt:lpstr>'7'!Print_Titles</vt:lpstr>
      <vt:lpstr>'8'!Print_Titles</vt:lpstr>
      <vt:lpstr>'9'!Print_Titles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Jolanta Narušienė</dc:creator>
  <cp:lastModifiedBy>Violeta Seliuchovienė</cp:lastModifiedBy>
  <cp:lastPrinted>2018-01-10T05:57:32Z</cp:lastPrinted>
  <dcterms:created xsi:type="dcterms:W3CDTF">2017-11-28T06:19:25Z</dcterms:created>
  <dcterms:modified xsi:type="dcterms:W3CDTF">2018-01-10T08:04:21Z</dcterms:modified>
</cp:coreProperties>
</file>