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a\Desktop\DOKUMENTAI\GRINDA\PROCENTUOTĖS\2015 m\Karpov\"/>
    </mc:Choice>
  </mc:AlternateContent>
  <bookViews>
    <workbookView xWindow="0" yWindow="0" windowWidth="24000" windowHeight="9735" activeTab="1"/>
  </bookViews>
  <sheets>
    <sheet name="Detalus" sheetId="1" r:id="rId1"/>
    <sheet name="Glaustas" sheetId="2" r:id="rId2"/>
    <sheet name="Sheet3" sheetId="3" r:id="rId3"/>
  </sheets>
  <definedNames>
    <definedName name="M_P1">Glaustas!#REF!</definedName>
    <definedName name="_xlnm.Print_Area" localSheetId="0">Detalus!$A$1:$L$121</definedName>
    <definedName name="_xlnm.Print_Titles" localSheetId="0">Detalus!$10:$10</definedName>
  </definedNames>
  <calcPr calcId="152511"/>
</workbook>
</file>

<file path=xl/calcChain.xml><?xml version="1.0" encoding="utf-8"?>
<calcChain xmlns="http://schemas.openxmlformats.org/spreadsheetml/2006/main">
  <c r="I33" i="2" l="1"/>
  <c r="H33" i="2"/>
  <c r="G33" i="2"/>
  <c r="J32" i="2" l="1"/>
  <c r="J31" i="2"/>
  <c r="J30" i="2"/>
  <c r="J29" i="2"/>
  <c r="J28" i="2"/>
  <c r="J27" i="2"/>
  <c r="J26" i="2"/>
  <c r="J25" i="2"/>
  <c r="J24" i="2"/>
  <c r="J23" i="2"/>
  <c r="J22" i="2"/>
  <c r="J21" i="2"/>
  <c r="J20" i="2"/>
  <c r="J33" i="2" s="1"/>
  <c r="J34" i="2" l="1"/>
  <c r="J35" i="2" s="1"/>
  <c r="H103" i="1"/>
  <c r="I103" i="1" s="1"/>
  <c r="L103" i="1" s="1"/>
  <c r="L101" i="1" s="1"/>
  <c r="H102" i="1"/>
  <c r="F102" i="1"/>
  <c r="G102" i="1" s="1"/>
  <c r="I102" i="1" s="1"/>
  <c r="J102" i="1" s="1"/>
  <c r="J101" i="1" s="1"/>
  <c r="K101" i="1"/>
  <c r="H100" i="1"/>
  <c r="F100" i="1"/>
  <c r="G100" i="1" s="1"/>
  <c r="L99" i="1"/>
  <c r="K99" i="1"/>
  <c r="H98" i="1"/>
  <c r="I98" i="1" s="1"/>
  <c r="L98" i="1" s="1"/>
  <c r="H97" i="1"/>
  <c r="I97" i="1" s="1"/>
  <c r="L97" i="1" s="1"/>
  <c r="L95" i="1" s="1"/>
  <c r="H96" i="1"/>
  <c r="F96" i="1"/>
  <c r="G96" i="1" s="1"/>
  <c r="K95" i="1"/>
  <c r="H94" i="1"/>
  <c r="I94" i="1" s="1"/>
  <c r="L94" i="1" s="1"/>
  <c r="L92" i="1" s="1"/>
  <c r="H93" i="1"/>
  <c r="F93" i="1"/>
  <c r="G93" i="1" s="1"/>
  <c r="K92" i="1"/>
  <c r="H91" i="1"/>
  <c r="I91" i="1" s="1"/>
  <c r="K91" i="1" s="1"/>
  <c r="H90" i="1"/>
  <c r="I90" i="1" s="1"/>
  <c r="K90" i="1" s="1"/>
  <c r="H89" i="1"/>
  <c r="I89" i="1" s="1"/>
  <c r="K89" i="1" s="1"/>
  <c r="H88" i="1"/>
  <c r="I88" i="1" s="1"/>
  <c r="L88" i="1" s="1"/>
  <c r="I87" i="1"/>
  <c r="L87" i="1" s="1"/>
  <c r="L85" i="1" s="1"/>
  <c r="H87" i="1"/>
  <c r="H86" i="1"/>
  <c r="F86" i="1"/>
  <c r="G86" i="1" s="1"/>
  <c r="I84" i="1"/>
  <c r="K84" i="1" s="1"/>
  <c r="H84" i="1"/>
  <c r="H83" i="1"/>
  <c r="I83" i="1" s="1"/>
  <c r="K83" i="1" s="1"/>
  <c r="H82" i="1"/>
  <c r="G82" i="1"/>
  <c r="I82" i="1" s="1"/>
  <c r="J82" i="1" s="1"/>
  <c r="J81" i="1" s="1"/>
  <c r="F82" i="1"/>
  <c r="L81" i="1"/>
  <c r="H80" i="1"/>
  <c r="I80" i="1" s="1"/>
  <c r="K80" i="1" s="1"/>
  <c r="K76" i="1" s="1"/>
  <c r="I79" i="1"/>
  <c r="L79" i="1" s="1"/>
  <c r="H79" i="1"/>
  <c r="H78" i="1"/>
  <c r="I78" i="1" s="1"/>
  <c r="L78" i="1" s="1"/>
  <c r="H77" i="1"/>
  <c r="G77" i="1"/>
  <c r="I77" i="1" s="1"/>
  <c r="J77" i="1" s="1"/>
  <c r="J76" i="1" s="1"/>
  <c r="F77" i="1"/>
  <c r="H75" i="1"/>
  <c r="I75" i="1" s="1"/>
  <c r="K75" i="1" s="1"/>
  <c r="H74" i="1"/>
  <c r="I74" i="1" s="1"/>
  <c r="K74" i="1" s="1"/>
  <c r="H73" i="1"/>
  <c r="F73" i="1"/>
  <c r="G73" i="1" s="1"/>
  <c r="L72" i="1"/>
  <c r="H71" i="1"/>
  <c r="I71" i="1" s="1"/>
  <c r="K71" i="1" s="1"/>
  <c r="H70" i="1"/>
  <c r="I70" i="1" s="1"/>
  <c r="K70" i="1" s="1"/>
  <c r="H69" i="1"/>
  <c r="I69" i="1" s="1"/>
  <c r="K69" i="1" s="1"/>
  <c r="H68" i="1"/>
  <c r="I68" i="1" s="1"/>
  <c r="K68" i="1" s="1"/>
  <c r="I67" i="1"/>
  <c r="K67" i="1" s="1"/>
  <c r="H67" i="1"/>
  <c r="H66" i="1"/>
  <c r="I66" i="1" s="1"/>
  <c r="L66" i="1" s="1"/>
  <c r="H65" i="1"/>
  <c r="I65" i="1" s="1"/>
  <c r="L65" i="1" s="1"/>
  <c r="H64" i="1"/>
  <c r="F64" i="1"/>
  <c r="G64" i="1" s="1"/>
  <c r="H62" i="1"/>
  <c r="I62" i="1" s="1"/>
  <c r="K62" i="1" s="1"/>
  <c r="H61" i="1"/>
  <c r="I61" i="1" s="1"/>
  <c r="K61" i="1" s="1"/>
  <c r="I60" i="1"/>
  <c r="K60" i="1" s="1"/>
  <c r="H60" i="1"/>
  <c r="H59" i="1"/>
  <c r="I59" i="1" s="1"/>
  <c r="K59" i="1" s="1"/>
  <c r="H58" i="1"/>
  <c r="I58" i="1" s="1"/>
  <c r="K58" i="1" s="1"/>
  <c r="H57" i="1"/>
  <c r="I57" i="1" s="1"/>
  <c r="K57" i="1" s="1"/>
  <c r="H56" i="1"/>
  <c r="I56" i="1" s="1"/>
  <c r="K56" i="1" s="1"/>
  <c r="H55" i="1"/>
  <c r="I55" i="1" s="1"/>
  <c r="K55" i="1" s="1"/>
  <c r="H54" i="1"/>
  <c r="I54" i="1" s="1"/>
  <c r="K54" i="1" s="1"/>
  <c r="H53" i="1"/>
  <c r="I53" i="1" s="1"/>
  <c r="L53" i="1" s="1"/>
  <c r="H52" i="1"/>
  <c r="I52" i="1" s="1"/>
  <c r="L52" i="1" s="1"/>
  <c r="H51" i="1"/>
  <c r="I51" i="1" s="1"/>
  <c r="L51" i="1" s="1"/>
  <c r="H50" i="1"/>
  <c r="I50" i="1" s="1"/>
  <c r="L50" i="1" s="1"/>
  <c r="H49" i="1"/>
  <c r="F49" i="1"/>
  <c r="G49" i="1" s="1"/>
  <c r="H47" i="1"/>
  <c r="F47" i="1"/>
  <c r="G47" i="1" s="1"/>
  <c r="I47" i="1" s="1"/>
  <c r="J47" i="1" s="1"/>
  <c r="J46" i="1" s="1"/>
  <c r="L46" i="1"/>
  <c r="K46" i="1"/>
  <c r="H45" i="1"/>
  <c r="I45" i="1" s="1"/>
  <c r="L45" i="1" s="1"/>
  <c r="L42" i="1" s="1"/>
  <c r="H44" i="1"/>
  <c r="I44" i="1" s="1"/>
  <c r="K44" i="1" s="1"/>
  <c r="K42" i="1" s="1"/>
  <c r="H43" i="1"/>
  <c r="F43" i="1"/>
  <c r="G43" i="1" s="1"/>
  <c r="H41" i="1"/>
  <c r="I41" i="1" s="1"/>
  <c r="K41" i="1" s="1"/>
  <c r="H40" i="1"/>
  <c r="I40" i="1" s="1"/>
  <c r="K40" i="1" s="1"/>
  <c r="H39" i="1"/>
  <c r="F39" i="1"/>
  <c r="G39" i="1" s="1"/>
  <c r="L38" i="1"/>
  <c r="H37" i="1"/>
  <c r="I37" i="1" s="1"/>
  <c r="K37" i="1" s="1"/>
  <c r="H36" i="1"/>
  <c r="I36" i="1" s="1"/>
  <c r="K36" i="1" s="1"/>
  <c r="H35" i="1"/>
  <c r="I35" i="1" s="1"/>
  <c r="K35" i="1" s="1"/>
  <c r="H34" i="1"/>
  <c r="I34" i="1" s="1"/>
  <c r="K34" i="1" s="1"/>
  <c r="H33" i="1"/>
  <c r="I33" i="1" s="1"/>
  <c r="K33" i="1" s="1"/>
  <c r="I32" i="1"/>
  <c r="K32" i="1" s="1"/>
  <c r="H32" i="1"/>
  <c r="H31" i="1"/>
  <c r="I31" i="1" s="1"/>
  <c r="K31" i="1" s="1"/>
  <c r="H30" i="1"/>
  <c r="I30" i="1" s="1"/>
  <c r="K30" i="1" s="1"/>
  <c r="H29" i="1"/>
  <c r="I29" i="1" s="1"/>
  <c r="K29" i="1" s="1"/>
  <c r="H28" i="1"/>
  <c r="I28" i="1" s="1"/>
  <c r="L28" i="1" s="1"/>
  <c r="H27" i="1"/>
  <c r="I27" i="1" s="1"/>
  <c r="L27" i="1" s="1"/>
  <c r="H26" i="1"/>
  <c r="I26" i="1" s="1"/>
  <c r="L26" i="1" s="1"/>
  <c r="H25" i="1"/>
  <c r="I25" i="1" s="1"/>
  <c r="L25" i="1" s="1"/>
  <c r="H24" i="1"/>
  <c r="F24" i="1"/>
  <c r="G24" i="1" s="1"/>
  <c r="I24" i="1" s="1"/>
  <c r="J24" i="1" s="1"/>
  <c r="J23" i="1" s="1"/>
  <c r="H22" i="1"/>
  <c r="F22" i="1"/>
  <c r="G22" i="1" s="1"/>
  <c r="L21" i="1"/>
  <c r="K21" i="1"/>
  <c r="H20" i="1"/>
  <c r="I20" i="1" s="1"/>
  <c r="L20" i="1" s="1"/>
  <c r="L16" i="1" s="1"/>
  <c r="H19" i="1"/>
  <c r="I19" i="1" s="1"/>
  <c r="K19" i="1" s="1"/>
  <c r="H18" i="1"/>
  <c r="I18" i="1" s="1"/>
  <c r="K18" i="1" s="1"/>
  <c r="H17" i="1"/>
  <c r="F17" i="1"/>
  <c r="G17" i="1" s="1"/>
  <c r="H15" i="1"/>
  <c r="I15" i="1" s="1"/>
  <c r="L15" i="1" s="1"/>
  <c r="L13" i="1" s="1"/>
  <c r="H14" i="1"/>
  <c r="F14" i="1"/>
  <c r="G14" i="1" s="1"/>
  <c r="K13" i="1"/>
  <c r="H12" i="1"/>
  <c r="F12" i="1"/>
  <c r="G12" i="1" s="1"/>
  <c r="I12" i="1" s="1"/>
  <c r="J12" i="1" s="1"/>
  <c r="J11" i="1" s="1"/>
  <c r="L11" i="1"/>
  <c r="K11" i="1"/>
  <c r="I100" i="1" l="1"/>
  <c r="J100" i="1" s="1"/>
  <c r="J99" i="1" s="1"/>
  <c r="I99" i="1" s="1"/>
  <c r="K23" i="1"/>
  <c r="K38" i="1"/>
  <c r="K63" i="1"/>
  <c r="L76" i="1"/>
  <c r="I76" i="1" s="1"/>
  <c r="K81" i="1"/>
  <c r="I81" i="1" s="1"/>
  <c r="L23" i="1"/>
  <c r="I39" i="1"/>
  <c r="J39" i="1" s="1"/>
  <c r="J38" i="1" s="1"/>
  <c r="G101" i="1" a="1"/>
  <c r="G101" i="1" s="1"/>
  <c r="I46" i="1"/>
  <c r="I101" i="1"/>
  <c r="G13" i="1" a="1"/>
  <c r="G13" i="1" s="1"/>
  <c r="I14" i="1"/>
  <c r="J14" i="1" s="1"/>
  <c r="J13" i="1" s="1"/>
  <c r="I13" i="1" s="1"/>
  <c r="G16" i="1" a="1"/>
  <c r="G16" i="1" s="1"/>
  <c r="I17" i="1"/>
  <c r="J17" i="1" s="1"/>
  <c r="J16" i="1" s="1"/>
  <c r="G48" i="1" a="1"/>
  <c r="G48" i="1" s="1"/>
  <c r="I49" i="1"/>
  <c r="J49" i="1" s="1"/>
  <c r="J48" i="1" s="1"/>
  <c r="G63" i="1" a="1"/>
  <c r="G63" i="1" s="1"/>
  <c r="I64" i="1"/>
  <c r="J64" i="1" s="1"/>
  <c r="J63" i="1" s="1"/>
  <c r="G72" i="1" a="1"/>
  <c r="G72" i="1" s="1"/>
  <c r="I73" i="1"/>
  <c r="J73" i="1" s="1"/>
  <c r="J72" i="1" s="1"/>
  <c r="G92" i="1" a="1"/>
  <c r="G92" i="1" s="1"/>
  <c r="I93" i="1"/>
  <c r="J93" i="1" s="1"/>
  <c r="J92" i="1" s="1"/>
  <c r="I92" i="1" s="1"/>
  <c r="G42" i="1" a="1"/>
  <c r="G42" i="1" s="1"/>
  <c r="I43" i="1"/>
  <c r="J43" i="1" s="1"/>
  <c r="J42" i="1" s="1"/>
  <c r="I42" i="1" s="1"/>
  <c r="I11" i="1"/>
  <c r="G21" i="1" a="1"/>
  <c r="G21" i="1" s="1"/>
  <c r="I22" i="1"/>
  <c r="J22" i="1" s="1"/>
  <c r="J21" i="1" s="1"/>
  <c r="I21" i="1" s="1"/>
  <c r="G85" i="1" a="1"/>
  <c r="G85" i="1" s="1"/>
  <c r="I86" i="1"/>
  <c r="J86" i="1" s="1"/>
  <c r="J85" i="1" s="1"/>
  <c r="G95" i="1" a="1"/>
  <c r="G95" i="1" s="1"/>
  <c r="I96" i="1"/>
  <c r="J96" i="1" s="1"/>
  <c r="J95" i="1" s="1"/>
  <c r="I95" i="1" s="1"/>
  <c r="K16" i="1"/>
  <c r="L48" i="1"/>
  <c r="K48" i="1"/>
  <c r="L63" i="1"/>
  <c r="K72" i="1"/>
  <c r="K85" i="1"/>
  <c r="G11" i="1" a="1"/>
  <c r="G11" i="1" s="1"/>
  <c r="G23" i="1" a="1"/>
  <c r="G23" i="1" s="1"/>
  <c r="G38" i="1" a="1"/>
  <c r="G38" i="1" s="1"/>
  <c r="G46" i="1" a="1"/>
  <c r="G46" i="1" s="1"/>
  <c r="G76" i="1" a="1"/>
  <c r="G76" i="1" s="1"/>
  <c r="G81" i="1" a="1"/>
  <c r="G81" i="1" s="1"/>
  <c r="G99" i="1" a="1"/>
  <c r="G99" i="1" s="1"/>
  <c r="I38" i="1" l="1"/>
  <c r="I23" i="1"/>
  <c r="K104" i="1"/>
  <c r="K109" i="1" s="1"/>
  <c r="K111" i="1" s="1"/>
  <c r="K113" i="1" s="1"/>
  <c r="K116" i="1" s="1"/>
  <c r="K118" i="1" s="1"/>
  <c r="L104" i="1"/>
  <c r="I107" i="1" s="1"/>
  <c r="I85" i="1"/>
  <c r="J104" i="1"/>
  <c r="I72" i="1"/>
  <c r="I63" i="1"/>
  <c r="I48" i="1"/>
  <c r="I16" i="1"/>
  <c r="I106" i="1" l="1"/>
  <c r="L109" i="1"/>
  <c r="L111" i="1" s="1"/>
  <c r="L113" i="1" s="1"/>
  <c r="L116" i="1" s="1"/>
  <c r="L118" i="1" s="1"/>
  <c r="I105" i="1"/>
  <c r="I104" i="1"/>
  <c r="I114" i="1"/>
  <c r="I108" i="1"/>
  <c r="J109" i="1" s="1"/>
  <c r="J111" i="1" l="1"/>
  <c r="I110" i="1"/>
  <c r="I109" i="1"/>
  <c r="J113" i="1" l="1"/>
  <c r="I111" i="1"/>
  <c r="I113" i="1" l="1"/>
  <c r="I115" i="1"/>
  <c r="J116" i="1"/>
  <c r="I117" i="1" l="1"/>
  <c r="I116" i="1"/>
  <c r="I118" i="1" l="1"/>
  <c r="I8" i="1" l="1"/>
  <c r="J8" i="1" s="1"/>
  <c r="J118" i="1"/>
</calcChain>
</file>

<file path=xl/sharedStrings.xml><?xml version="1.0" encoding="utf-8"?>
<sst xmlns="http://schemas.openxmlformats.org/spreadsheetml/2006/main" count="328" uniqueCount="179">
  <si>
    <t>L o k a l i n ė  s ą m a t a N r. Š-V15-324789</t>
  </si>
  <si>
    <t>Šeimyniškių g.    9 -      [1] [3-9], Vilnius</t>
  </si>
  <si>
    <t>Sudaryta 2015.03 kainų lygiu.</t>
  </si>
  <si>
    <t>Lauko šilumos tiekimo trasos vamzdyno keitimas</t>
  </si>
  <si>
    <t>Iš viso už</t>
  </si>
  <si>
    <t>Nr.</t>
  </si>
  <si>
    <t>Darbo pavadinimas</t>
  </si>
  <si>
    <t>Kodas</t>
  </si>
  <si>
    <t>Mat. vnt</t>
  </si>
  <si>
    <t>Norma</t>
  </si>
  <si>
    <t>Koef</t>
  </si>
  <si>
    <t>Kaina</t>
  </si>
  <si>
    <t>Kiekis</t>
  </si>
  <si>
    <t>Suma</t>
  </si>
  <si>
    <t>Darbas</t>
  </si>
  <si>
    <t>Medžiagos</t>
  </si>
  <si>
    <t>Mechanizmai</t>
  </si>
  <si>
    <t>Duobių (šurfų) kasimas rankiniu būdu II grupės grunte,atliekant šilumos trasos remonto darbus</t>
  </si>
  <si>
    <t>R1-14</t>
  </si>
  <si>
    <t>m3</t>
  </si>
  <si>
    <t>Darbo jėga su vidutine kategorija 2,17</t>
  </si>
  <si>
    <t>žm. val.</t>
  </si>
  <si>
    <t>Grunto kasimas 0,25 m3 kaušo talpos ekskavatoriumi, suverčiant gruntą į sankasą, kai grunto grupė II</t>
  </si>
  <si>
    <t>N1P-0103-2</t>
  </si>
  <si>
    <t>100 m3</t>
  </si>
  <si>
    <t>Darbo jėga su vidutine kategorija 2,50</t>
  </si>
  <si>
    <t>Vienakaušiai ekskavatoriai pneumorat. 0,25 m3 kaušo talpos</t>
  </si>
  <si>
    <t>maš. val.</t>
  </si>
  <si>
    <t>Nepraeinamų šiluminių trasų kanalų plokščių demontavimas ir sumontavimas</t>
  </si>
  <si>
    <t>N7-231 (K1=1,6)</t>
  </si>
  <si>
    <t>Darbo jėga su vidutine kategorija 3,44</t>
  </si>
  <si>
    <t>Bitumas naftos izoliacinis</t>
  </si>
  <si>
    <t>t</t>
  </si>
  <si>
    <t>Cementinis skiedinys S10 (M100)</t>
  </si>
  <si>
    <t>Kranai ant vikšrinės važiuoklės 16 t keliamosios galios</t>
  </si>
  <si>
    <t>Izoliacijos mineralinės vatos dirbiniais be tinko ardymas, kai vamzdžių d iki 200 mm</t>
  </si>
  <si>
    <t>R22-5</t>
  </si>
  <si>
    <t>m2</t>
  </si>
  <si>
    <t>Darbo jėga su vidutine kategorija 3,00</t>
  </si>
  <si>
    <t>Įsipjovimas į veikiantį šilumos tiekimo tinklų plieninį termoizoliuotą vamzdyną atvamzdžiu, kai atvamzdžio skersmuo iki 50 mm</t>
  </si>
  <si>
    <t>N24P-0904-1</t>
  </si>
  <si>
    <t>vnt.</t>
  </si>
  <si>
    <t>Darbo jėga su vidutine kategorija 4,20</t>
  </si>
  <si>
    <t>Kilnojamas suvirinimo agregatas su benzininiu vid. degimo varikliu</t>
  </si>
  <si>
    <t>Smulkūs mechanizmai su el. varikliu</t>
  </si>
  <si>
    <t>Mažosios mechanizacijos priemonės su vidaus degimo varikliu</t>
  </si>
  <si>
    <t>Mažosios mechanizacijos priemonės su elektros varikliu</t>
  </si>
  <si>
    <t>Mišinys propano-butano</t>
  </si>
  <si>
    <t>kg</t>
  </si>
  <si>
    <t>Tepalas grafitinis</t>
  </si>
  <si>
    <t>Elektrodai suvirinimo</t>
  </si>
  <si>
    <t>Varžtai su veržlėmis, įvairūs</t>
  </si>
  <si>
    <t>Deguonis dujinis techninis</t>
  </si>
  <si>
    <t>Plieniniai flanšai</t>
  </si>
  <si>
    <t>Žiediniai grąžtai (deimantiniai)</t>
  </si>
  <si>
    <t>Flanšinių jungčių tarpikliai</t>
  </si>
  <si>
    <t>Flanšinė uždaromoji armatūra</t>
  </si>
  <si>
    <t xml:space="preserve">Iki 100 mm skersmens vamzdyno demontavimas </t>
  </si>
  <si>
    <t>R26-1</t>
  </si>
  <si>
    <t>m</t>
  </si>
  <si>
    <t>Darbo jėga su vidutine kategorija 3,50</t>
  </si>
  <si>
    <t>Skylių įvadams iškalimas betoniniuose pamatuose ir, padarius įvadus, jų užtaisymas betonu</t>
  </si>
  <si>
    <t>R23-58</t>
  </si>
  <si>
    <t>Darbo jėga su vidutine kategorija 3,11</t>
  </si>
  <si>
    <t>Betono mišiniai</t>
  </si>
  <si>
    <t>Pneumoplaktukas, dirbant kilnojamu kompresoriumi</t>
  </si>
  <si>
    <t>Šiluminių trasų kanalų valymas, pakraunant šiukšles į transporto priemones (m3 šiukšlių)</t>
  </si>
  <si>
    <t>R26-22</t>
  </si>
  <si>
    <t>Darbo jėga su vidutine kategorija 2,00</t>
  </si>
  <si>
    <t>Iki 100 mm skersm. vamzd. su putplasčio izol. montavimas, įtraukiant į kanalus, kai 100 m-10 sandūrų</t>
  </si>
  <si>
    <t>R26-6</t>
  </si>
  <si>
    <t>Darbo jėga su vidutine kategorija 4,50</t>
  </si>
  <si>
    <t>Kranai ant automobilio važiuoklės keliam. galios iki 10t</t>
  </si>
  <si>
    <t>Rankinė elektrinė šlifavimo mašina</t>
  </si>
  <si>
    <t>Traukimo hidraulinis įrenginys iki 5t</t>
  </si>
  <si>
    <t>Abrazyvinis diskas</t>
  </si>
  <si>
    <t>Pagalbinės plieninės montažinės konstrukcijos</t>
  </si>
  <si>
    <t>Apipjauti tašeliai ir tašai 70mm st. ir daugiau (2 rūš.)</t>
  </si>
  <si>
    <t>Logstor' 48/110 BX movos su kevalais 780mm</t>
  </si>
  <si>
    <t>968_443</t>
  </si>
  <si>
    <t>Termoizoliacinės movos (komplekte)</t>
  </si>
  <si>
    <t>1410RPM</t>
  </si>
  <si>
    <t>kompl.</t>
  </si>
  <si>
    <t>Logstor' 48/110 izoliuoti vamzdžiai 12m su laidais</t>
  </si>
  <si>
    <t>968_103</t>
  </si>
  <si>
    <t>50 mm skersmens alkūnių montavimas, kai jos izoliuotos pramoniniu būdu</t>
  </si>
  <si>
    <t>N24-218</t>
  </si>
  <si>
    <t>Logstor' 48/110 izoliuotos alkūnės 90' 1.0x1.0m su laidais 2,5D</t>
  </si>
  <si>
    <t>968_122</t>
  </si>
  <si>
    <t>Iki 100 mm skersmens sandūrų izoliavimas termoizoliacinėmis movomis</t>
  </si>
  <si>
    <t>N24-260</t>
  </si>
  <si>
    <t>Darbo jėga su vidutine kategorija 5,00</t>
  </si>
  <si>
    <t>Atnaujinamo vamzdyno tarpinės ertmės tarp vamzdžių ir kanalo sienelių injektavimas smėliu (m3 užpildo)</t>
  </si>
  <si>
    <t>R26-23</t>
  </si>
  <si>
    <t>Darbo jėga su vidutine kategorija 4,00</t>
  </si>
  <si>
    <t>Kompresorius kilnojamas su vid. deg. varikliu</t>
  </si>
  <si>
    <t>Smėliasrovio aparatas</t>
  </si>
  <si>
    <t>Smėlis sijotas</t>
  </si>
  <si>
    <t>Įvadų sandarinimas sieninio įvado įvorėmis, kai vamzdžių apvalkalo skersmuo iki 128 mm</t>
  </si>
  <si>
    <t>N24P-0710-1</t>
  </si>
  <si>
    <t>Logstor' 110 sieninio įvado įvorės</t>
  </si>
  <si>
    <t>968_176</t>
  </si>
  <si>
    <t>Cementinis skiedinys</t>
  </si>
  <si>
    <t>Šilumos tiekimo tinklų vamzdynų iki 250 mm skersmens hidraulinis bandymas, kai vamzdžių skersmuo iki 65 mm</t>
  </si>
  <si>
    <t>N24P-0801-1</t>
  </si>
  <si>
    <t>100 m</t>
  </si>
  <si>
    <t>Agregatas bandymui hidrauliniu slėgiu</t>
  </si>
  <si>
    <t>Siurblys vandens (motopompa)</t>
  </si>
  <si>
    <t>Plieniniai vamzdžiai</t>
  </si>
  <si>
    <t>Įvairi armatūra</t>
  </si>
  <si>
    <t>Tranšėjų, iškasų užpylimas rankiniu būdu (mažų apimčių)</t>
  </si>
  <si>
    <t>R1-35</t>
  </si>
  <si>
    <t>Darbo jėga su vidutine kategorija 2,2</t>
  </si>
  <si>
    <t>Vibroplūktuvas, vibroplokštė</t>
  </si>
  <si>
    <t>Tranšėjų, iškasų užpylimas ekskavatoriais</t>
  </si>
  <si>
    <t>R1-34</t>
  </si>
  <si>
    <t>Darbo jėga su vidutine kategorija 2,4</t>
  </si>
  <si>
    <t>Sklypo planiravimas rankiniu būdu II gr.grunte</t>
  </si>
  <si>
    <t>N48-3</t>
  </si>
  <si>
    <t>100 m2</t>
  </si>
  <si>
    <t>Statybinių šiukšlių išvežimas 10 km atstumu automobiliais-savivarčiais, pakraunant rankiniu būdu</t>
  </si>
  <si>
    <t>R23-62</t>
  </si>
  <si>
    <t>Darbo jėga su vidutine kategorija 1,60</t>
  </si>
  <si>
    <t>Krovininė automašina, keliamoji galia 5t</t>
  </si>
  <si>
    <t>Iš viso #1</t>
  </si>
  <si>
    <t>Kiti darbo užmokesčio priskaitymai</t>
  </si>
  <si>
    <t>Papildomų medžiagų vertė</t>
  </si>
  <si>
    <t>Papildomų mechanizmų vertė</t>
  </si>
  <si>
    <t>Soc. draudimas</t>
  </si>
  <si>
    <t>Iš viso #2 (išlaidos statinio statybos darbams)</t>
  </si>
  <si>
    <t>Statybvietės išlaidos</t>
  </si>
  <si>
    <t>Iš viso #3 (tiesioginės išlaidos)</t>
  </si>
  <si>
    <t>Indeksas</t>
  </si>
  <si>
    <t>Po indeksacijos iš viso</t>
  </si>
  <si>
    <t>Pridėtinės išlaidos</t>
  </si>
  <si>
    <t>Pelnas</t>
  </si>
  <si>
    <t>Iš viso #4 (su netiesioginėmis išlaidomis)</t>
  </si>
  <si>
    <t>PVM</t>
  </si>
  <si>
    <t>Iš viso #5 (kaina su PVM)</t>
  </si>
  <si>
    <t>Eil.</t>
  </si>
  <si>
    <t>1</t>
  </si>
  <si>
    <t>Darbo</t>
  </si>
  <si>
    <t>kodas</t>
  </si>
  <si>
    <t>2</t>
  </si>
  <si>
    <t>Darbų ir išlaidų</t>
  </si>
  <si>
    <t>aprašymai</t>
  </si>
  <si>
    <t>3</t>
  </si>
  <si>
    <t>Mato</t>
  </si>
  <si>
    <t>vnt</t>
  </si>
  <si>
    <t>4</t>
  </si>
  <si>
    <t>5</t>
  </si>
  <si>
    <t>Išlaidos su priskaitymais</t>
  </si>
  <si>
    <t>6</t>
  </si>
  <si>
    <t>7</t>
  </si>
  <si>
    <t>8</t>
  </si>
  <si>
    <t>Vieneto kaina</t>
  </si>
  <si>
    <t>9</t>
  </si>
  <si>
    <t>Iš viso</t>
  </si>
  <si>
    <t>10</t>
  </si>
  <si>
    <t>Iš viso #2</t>
  </si>
  <si>
    <t>Darbus priėmė:</t>
  </si>
  <si>
    <t>15F03</t>
  </si>
  <si>
    <t>Konstitucijos pr. 3, LT - 09601 Vilnius</t>
  </si>
  <si>
    <t>A.s. LT 91 7044 0600 0146 3742 AB SEB  bankas</t>
  </si>
  <si>
    <t>Įm. kodas 188710061</t>
  </si>
  <si>
    <t>RANGOVAS: UAB "GRINDA"</t>
  </si>
  <si>
    <t>Eigulių g. 32, LT - 03150 Vilnius</t>
  </si>
  <si>
    <t>A.s. LT76 7180 3000 1046 7627 AB Šiaulių bankas</t>
  </si>
  <si>
    <t>Įm. PVM kodas LT 201530410, įm. kodas 120153047</t>
  </si>
  <si>
    <t>Sutartis Nr. A72-2185-(3.1.36-UK)</t>
  </si>
  <si>
    <t>2011 m. gruodžio mėn. 29 d.</t>
  </si>
  <si>
    <t>Objekto pavadinimas:</t>
  </si>
  <si>
    <t>2015 m. spalio mėn.</t>
  </si>
  <si>
    <t>Bešeimininkis šilumos įvadas tarp Šeimyniškių g. 9-11 ir Šeimyniškių g. 13</t>
  </si>
  <si>
    <t>Darbus atliko:</t>
  </si>
  <si>
    <t>darbų vadovas Viktor Karpov</t>
  </si>
  <si>
    <t>APLINKOS IR ENERGETIKOS DEPARTAMENTAS</t>
  </si>
  <si>
    <t>UŽSAKOVAS: VILNIAUS MIESTO SAVIVALDYBĖS ADMINISTRACIJOS</t>
  </si>
  <si>
    <t>ATLIKTŲ DARBŲ AKTAS NR. 1358/10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</si>
</sst>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(* #,##0.00_);_(* \(#,##0.00\);_(* &quot;-&quot;??_);_(@_)"/>
    <numFmt numFmtId="165" formatCode="#,##0.00\ [$€-1];\-#,##0.00\ [$€-1]"/>
    <numFmt numFmtId="166" formatCode="#,##0.00\ [$Lt-1];\-#,##0.00\ [$Lt-1]"/>
    <numFmt numFmtId="167" formatCode="#,##0\ \$;[Red]\-#,##0\ \$"/>
    <numFmt numFmtId="168" formatCode="#,##0.000"/>
    <numFmt numFmtId="169" formatCode="0.0%"/>
    <numFmt numFmtId="170" formatCode="&quot;Lt&quot;#,##0_);[Red]\(&quot;Lt&quot;#,##0\)"/>
    <numFmt numFmtId="172" formatCode="0.0000"/>
    <numFmt numFmtId="173" formatCode="0.000"/>
  </numFmts>
  <fonts count="35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0.199999999999999"/>
      <name val="Times New Roman"/>
      <family val="1"/>
      <charset val="186"/>
    </font>
    <font>
      <sz val="10.199999999999999"/>
      <color indexed="8"/>
      <name val="Times New Roman"/>
      <family val="1"/>
      <charset val="186"/>
    </font>
    <font>
      <b/>
      <sz val="10.199999999999999"/>
      <name val="Times New Roman"/>
      <family val="1"/>
      <charset val="186"/>
    </font>
    <font>
      <b/>
      <i/>
      <sz val="10.199999999999999"/>
      <name val="Times New Roman"/>
      <family val="1"/>
      <charset val="186"/>
    </font>
    <font>
      <sz val="10"/>
      <name val="Times New Roman"/>
      <family val="1"/>
      <charset val="186"/>
    </font>
    <font>
      <sz val="10.199999999999999"/>
      <color indexed="16"/>
      <name val="Times New Roman"/>
      <family val="1"/>
      <charset val="186"/>
    </font>
    <font>
      <sz val="10.199999999999999"/>
      <color indexed="12"/>
      <name val="Times New Roman"/>
      <family val="1"/>
      <charset val="186"/>
    </font>
    <font>
      <sz val="10.199999999999999"/>
      <color theme="0"/>
      <name val="Times New Roman"/>
      <family val="1"/>
      <charset val="186"/>
    </font>
    <font>
      <sz val="10.199999999999999"/>
      <color indexed="18"/>
      <name val="Times New Roman"/>
      <family val="1"/>
      <charset val="186"/>
    </font>
    <font>
      <sz val="10.199999999999999"/>
      <color theme="1"/>
      <name val="Times New Roman"/>
      <family val="1"/>
      <charset val="186"/>
    </font>
    <font>
      <b/>
      <sz val="10.199999999999999"/>
      <color theme="1"/>
      <name val="Times New Roman"/>
      <family val="1"/>
      <charset val="186"/>
    </font>
    <font>
      <u/>
      <sz val="10.199999999999999"/>
      <color theme="1"/>
      <name val="Times New Roman"/>
      <family val="1"/>
      <charset val="186"/>
    </font>
    <font>
      <sz val="9"/>
      <color theme="1"/>
      <name val="Times New Roman"/>
      <family val="1"/>
      <charset val="186"/>
    </font>
    <font>
      <sz val="10"/>
      <name val="Arial"/>
      <family val="2"/>
      <charset val="186"/>
    </font>
    <font>
      <b/>
      <sz val="9"/>
      <color indexed="8"/>
      <name val="Times New Roman"/>
      <family val="1"/>
      <charset val="186"/>
    </font>
    <font>
      <sz val="9"/>
      <color indexed="8"/>
      <name val="Times New Roman"/>
      <family val="1"/>
      <charset val="186"/>
    </font>
    <font>
      <sz val="10"/>
      <color indexed="8"/>
      <name val="Times New Roman"/>
      <family val="1"/>
    </font>
    <font>
      <b/>
      <i/>
      <sz val="10"/>
      <color indexed="8"/>
      <name val="Arial"/>
      <family val="2"/>
      <charset val="186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  <charset val="186"/>
    </font>
    <font>
      <b/>
      <sz val="9"/>
      <color indexed="8"/>
      <name val="Times New Roman"/>
      <family val="1"/>
    </font>
    <font>
      <sz val="10"/>
      <color rgb="FF000000"/>
      <name val="MonospaceLT"/>
    </font>
    <font>
      <sz val="9"/>
      <color rgb="FF000000"/>
      <name val="Times New Roman"/>
      <family val="1"/>
      <charset val="186"/>
    </font>
    <font>
      <b/>
      <sz val="9"/>
      <color rgb="FF000000"/>
      <name val="Times New Roman"/>
      <family val="1"/>
      <charset val="186"/>
    </font>
    <font>
      <sz val="8"/>
      <color rgb="FF000000"/>
      <name val="Times New Roman"/>
      <family val="1"/>
      <charset val="186"/>
    </font>
    <font>
      <b/>
      <i/>
      <sz val="12"/>
      <color indexed="8"/>
      <name val="Times New Roman"/>
      <family val="1"/>
      <charset val="186"/>
    </font>
    <font>
      <sz val="9"/>
      <color indexed="8"/>
      <name val="Arial"/>
      <family val="2"/>
      <charset val="186"/>
    </font>
    <font>
      <sz val="8"/>
      <name val="Arial"/>
      <family val="2"/>
    </font>
    <font>
      <sz val="8"/>
      <name val="Arial Baltic"/>
      <charset val="186"/>
    </font>
    <font>
      <b/>
      <sz val="8"/>
      <name val="Arial Baltic"/>
      <charset val="186"/>
    </font>
    <font>
      <sz val="9"/>
      <color rgb="FF000000"/>
      <name val="Arial"/>
      <family val="2"/>
      <charset val="186"/>
    </font>
    <font>
      <sz val="9"/>
      <color rgb="FF000000"/>
      <name val="MonospaceLT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9"/>
      </patternFill>
    </fill>
  </fills>
  <borders count="23">
    <border>
      <left/>
      <right/>
      <top/>
      <bottom/>
      <diagonal/>
    </border>
    <border>
      <left style="double">
        <color rgb="FFFF0000"/>
      </left>
      <right style="double">
        <color indexed="10"/>
      </right>
      <top style="double">
        <color rgb="FFFF0000"/>
      </top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6" fillId="0" borderId="0"/>
    <xf numFmtId="0" fontId="24" fillId="0" borderId="0" applyNumberFormat="0" applyBorder="0" applyProtection="0"/>
    <xf numFmtId="0" fontId="16" fillId="0" borderId="0"/>
    <xf numFmtId="0" fontId="16" fillId="0" borderId="0"/>
  </cellStyleXfs>
  <cellXfs count="193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167" fontId="5" fillId="0" borderId="0" xfId="0" applyNumberFormat="1" applyFont="1" applyAlignment="1" applyProtection="1">
      <alignment wrapText="1"/>
      <protection locked="0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Continuous" vertical="top" wrapText="1"/>
    </xf>
    <xf numFmtId="0" fontId="5" fillId="0" borderId="0" xfId="0" applyFont="1" applyAlignment="1" applyProtection="1">
      <alignment vertical="top" wrapText="1"/>
      <protection locked="0"/>
    </xf>
    <xf numFmtId="0" fontId="3" fillId="0" borderId="0" xfId="0" applyFont="1" applyAlignment="1">
      <alignment horizontal="left" vertical="top"/>
    </xf>
    <xf numFmtId="165" fontId="3" fillId="0" borderId="0" xfId="0" applyNumberFormat="1" applyFont="1" applyAlignment="1">
      <alignment vertical="top" wrapText="1"/>
    </xf>
    <xf numFmtId="165" fontId="5" fillId="0" borderId="1" xfId="0" applyNumberFormat="1" applyFont="1" applyFill="1" applyBorder="1" applyAlignment="1">
      <alignment horizontal="center" vertical="center" wrapText="1"/>
    </xf>
    <xf numFmtId="166" fontId="5" fillId="0" borderId="2" xfId="0" applyNumberFormat="1" applyFont="1" applyBorder="1" applyAlignment="1">
      <alignment horizontal="center" vertical="center" wrapText="1"/>
    </xf>
    <xf numFmtId="166" fontId="5" fillId="0" borderId="0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righ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5" fillId="4" borderId="4" xfId="0" applyNumberFormat="1" applyFont="1" applyFill="1" applyBorder="1" applyAlignment="1">
      <alignment vertical="top" wrapText="1"/>
    </xf>
    <xf numFmtId="4" fontId="5" fillId="4" borderId="4" xfId="0" applyNumberFormat="1" applyFont="1" applyFill="1" applyBorder="1" applyAlignment="1">
      <alignment horizontal="right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168" fontId="3" fillId="0" borderId="5" xfId="0" applyNumberFormat="1" applyFont="1" applyBorder="1" applyAlignment="1">
      <alignment horizontal="right" vertical="top" wrapText="1"/>
    </xf>
    <xf numFmtId="0" fontId="3" fillId="4" borderId="5" xfId="0" applyNumberFormat="1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right" vertical="top" wrapText="1"/>
    </xf>
    <xf numFmtId="168" fontId="3" fillId="0" borderId="6" xfId="0" applyNumberFormat="1" applyFont="1" applyBorder="1" applyAlignment="1">
      <alignment horizontal="right" vertical="top" wrapText="1"/>
    </xf>
    <xf numFmtId="0" fontId="3" fillId="4" borderId="6" xfId="0" applyNumberFormat="1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4" borderId="4" xfId="0" applyNumberFormat="1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168" fontId="3" fillId="0" borderId="4" xfId="0" applyNumberFormat="1" applyFont="1" applyBorder="1" applyAlignment="1">
      <alignment horizontal="right" vertical="top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2" fontId="5" fillId="0" borderId="4" xfId="0" applyNumberFormat="1" applyFont="1" applyBorder="1" applyAlignment="1">
      <alignment vertical="top"/>
    </xf>
    <xf numFmtId="2" fontId="5" fillId="4" borderId="4" xfId="0" applyNumberFormat="1" applyFont="1" applyFill="1" applyBorder="1" applyAlignment="1">
      <alignment horizontal="right" vertical="top"/>
    </xf>
    <xf numFmtId="0" fontId="5" fillId="4" borderId="4" xfId="0" applyFont="1" applyFill="1" applyBorder="1" applyAlignment="1">
      <alignment horizontal="right" vertical="top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6" xfId="0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right" vertical="top"/>
    </xf>
    <xf numFmtId="0" fontId="3" fillId="4" borderId="4" xfId="0" applyNumberFormat="1" applyFont="1" applyFill="1" applyBorder="1" applyAlignment="1">
      <alignment horizontal="right" vertical="top" wrapText="1"/>
    </xf>
    <xf numFmtId="0" fontId="3" fillId="4" borderId="4" xfId="0" applyFont="1" applyFill="1" applyBorder="1" applyAlignment="1">
      <alignment horizontal="right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right" vertical="top" wrapText="1"/>
    </xf>
    <xf numFmtId="0" fontId="7" fillId="4" borderId="4" xfId="0" applyNumberFormat="1" applyFont="1" applyFill="1" applyBorder="1" applyAlignment="1">
      <alignment horizontal="right" vertical="top" wrapText="1"/>
    </xf>
    <xf numFmtId="0" fontId="7" fillId="4" borderId="4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0" fontId="3" fillId="4" borderId="5" xfId="0" applyNumberFormat="1" applyFont="1" applyFill="1" applyBorder="1" applyAlignment="1">
      <alignment horizontal="right" vertical="top" wrapText="1"/>
    </xf>
    <xf numFmtId="0" fontId="3" fillId="4" borderId="5" xfId="0" applyFont="1" applyFill="1" applyBorder="1" applyAlignment="1">
      <alignment horizontal="right" vertical="top" wrapText="1"/>
    </xf>
    <xf numFmtId="0" fontId="3" fillId="0" borderId="5" xfId="0" quotePrefix="1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right" vertical="top" wrapText="1"/>
    </xf>
    <xf numFmtId="0" fontId="4" fillId="0" borderId="7" xfId="0" applyFont="1" applyBorder="1"/>
    <xf numFmtId="0" fontId="5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/>
    <xf numFmtId="2" fontId="3" fillId="0" borderId="7" xfId="0" applyNumberFormat="1" applyFont="1" applyBorder="1" applyAlignment="1">
      <alignment horizontal="left"/>
    </xf>
    <xf numFmtId="165" fontId="5" fillId="0" borderId="4" xfId="0" applyNumberFormat="1" applyFont="1" applyBorder="1"/>
    <xf numFmtId="2" fontId="8" fillId="0" borderId="4" xfId="0" applyNumberFormat="1" applyFont="1" applyFill="1" applyBorder="1"/>
    <xf numFmtId="0" fontId="4" fillId="0" borderId="0" xfId="0" applyFont="1"/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169" fontId="9" fillId="3" borderId="4" xfId="0" applyNumberFormat="1" applyFont="1" applyFill="1" applyBorder="1" applyAlignment="1"/>
    <xf numFmtId="2" fontId="10" fillId="0" borderId="4" xfId="0" applyNumberFormat="1" applyFont="1" applyFill="1" applyBorder="1"/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vertical="top"/>
    </xf>
    <xf numFmtId="0" fontId="5" fillId="0" borderId="8" xfId="0" applyFont="1" applyFill="1" applyBorder="1" applyAlignment="1">
      <alignment horizontal="left" vertical="center"/>
    </xf>
    <xf numFmtId="0" fontId="3" fillId="0" borderId="8" xfId="0" applyFont="1" applyBorder="1" applyAlignment="1">
      <alignment vertical="top"/>
    </xf>
    <xf numFmtId="0" fontId="3" fillId="0" borderId="8" xfId="0" applyFont="1" applyBorder="1"/>
    <xf numFmtId="0" fontId="3" fillId="0" borderId="9" xfId="0" applyFont="1" applyBorder="1" applyAlignment="1">
      <alignment horizontal="left"/>
    </xf>
    <xf numFmtId="165" fontId="5" fillId="0" borderId="10" xfId="0" applyNumberFormat="1" applyFont="1" applyBorder="1"/>
    <xf numFmtId="10" fontId="9" fillId="3" borderId="4" xfId="0" applyNumberFormat="1" applyFont="1" applyFill="1" applyBorder="1" applyAlignment="1"/>
    <xf numFmtId="0" fontId="5" fillId="0" borderId="0" xfId="0" applyFont="1" applyBorder="1"/>
    <xf numFmtId="0" fontId="3" fillId="0" borderId="0" xfId="0" applyFont="1" applyBorder="1" applyAlignment="1">
      <alignment vertical="top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5" fillId="0" borderId="8" xfId="0" applyFont="1" applyBorder="1"/>
    <xf numFmtId="2" fontId="11" fillId="0" borderId="4" xfId="0" applyNumberFormat="1" applyFont="1" applyFill="1" applyBorder="1"/>
    <xf numFmtId="0" fontId="5" fillId="0" borderId="8" xfId="0" applyFont="1" applyBorder="1" applyAlignment="1">
      <alignment horizontal="left" vertical="center"/>
    </xf>
    <xf numFmtId="165" fontId="5" fillId="0" borderId="4" xfId="1" applyNumberFormat="1" applyFont="1" applyBorder="1"/>
    <xf numFmtId="9" fontId="3" fillId="0" borderId="8" xfId="0" applyNumberFormat="1" applyFont="1" applyBorder="1" applyAlignment="1">
      <alignment horizontal="left"/>
    </xf>
    <xf numFmtId="165" fontId="5" fillId="0" borderId="10" xfId="1" applyNumberFormat="1" applyFont="1" applyBorder="1"/>
    <xf numFmtId="9" fontId="9" fillId="3" borderId="4" xfId="0" applyNumberFormat="1" applyFont="1" applyFill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9" fontId="9" fillId="0" borderId="0" xfId="0" applyNumberFormat="1" applyFont="1" applyFill="1" applyBorder="1"/>
    <xf numFmtId="170" fontId="3" fillId="0" borderId="0" xfId="0" applyNumberFormat="1" applyFont="1"/>
    <xf numFmtId="0" fontId="2" fillId="0" borderId="0" xfId="0" applyFont="1"/>
    <xf numFmtId="0" fontId="6" fillId="0" borderId="0" xfId="0" applyFont="1" applyAlignment="1">
      <alignment vertical="center"/>
    </xf>
    <xf numFmtId="0" fontId="3" fillId="0" borderId="13" xfId="0" applyFont="1" applyBorder="1" applyAlignment="1">
      <alignment horizontal="left" vertical="top"/>
    </xf>
    <xf numFmtId="9" fontId="3" fillId="0" borderId="13" xfId="0" applyNumberFormat="1" applyFont="1" applyBorder="1"/>
    <xf numFmtId="0" fontId="3" fillId="0" borderId="13" xfId="0" applyFont="1" applyBorder="1" applyAlignment="1">
      <alignment horizontal="left"/>
    </xf>
    <xf numFmtId="0" fontId="3" fillId="0" borderId="13" xfId="0" applyFont="1" applyBorder="1" applyAlignment="1">
      <alignment vertical="top"/>
    </xf>
    <xf numFmtId="0" fontId="3" fillId="0" borderId="13" xfId="0" applyFont="1" applyBorder="1"/>
    <xf numFmtId="0" fontId="12" fillId="0" borderId="0" xfId="0" applyFont="1"/>
    <xf numFmtId="172" fontId="12" fillId="0" borderId="0" xfId="0" applyNumberFormat="1" applyFont="1"/>
    <xf numFmtId="165" fontId="5" fillId="0" borderId="14" xfId="0" applyNumberFormat="1" applyFont="1" applyBorder="1"/>
    <xf numFmtId="0" fontId="5" fillId="0" borderId="13" xfId="0" applyFont="1" applyFill="1" applyBorder="1" applyAlignment="1">
      <alignment horizontal="center" vertical="center"/>
    </xf>
    <xf numFmtId="169" fontId="3" fillId="3" borderId="13" xfId="0" applyNumberFormat="1" applyFont="1" applyFill="1" applyBorder="1" applyAlignment="1"/>
    <xf numFmtId="2" fontId="3" fillId="0" borderId="13" xfId="0" applyNumberFormat="1" applyFont="1" applyFill="1" applyBorder="1"/>
    <xf numFmtId="172" fontId="3" fillId="0" borderId="13" xfId="0" applyNumberFormat="1" applyFont="1" applyFill="1" applyBorder="1"/>
    <xf numFmtId="0" fontId="5" fillId="0" borderId="13" xfId="0" applyFont="1" applyFill="1" applyBorder="1" applyAlignment="1">
      <alignment horizontal="left" vertical="center"/>
    </xf>
    <xf numFmtId="0" fontId="12" fillId="0" borderId="0" xfId="0" applyFont="1" applyBorder="1"/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172" fontId="5" fillId="0" borderId="0" xfId="0" applyNumberFormat="1" applyFont="1" applyBorder="1" applyAlignment="1">
      <alignment horizontal="center" vertical="center" wrapText="1"/>
    </xf>
    <xf numFmtId="172" fontId="5" fillId="0" borderId="12" xfId="0" applyNumberFormat="1" applyFont="1" applyBorder="1" applyAlignment="1">
      <alignment horizontal="centerContinuous" vertical="center" wrapText="1"/>
    </xf>
    <xf numFmtId="0" fontId="5" fillId="0" borderId="15" xfId="0" applyFont="1" applyBorder="1" applyAlignment="1">
      <alignment horizontal="centerContinuous" vertical="top"/>
    </xf>
    <xf numFmtId="0" fontId="5" fillId="0" borderId="12" xfId="0" applyFont="1" applyBorder="1" applyAlignment="1">
      <alignment horizontal="centerContinuous" vertical="center" wrapText="1"/>
    </xf>
    <xf numFmtId="0" fontId="5" fillId="0" borderId="20" xfId="0" applyFont="1" applyBorder="1" applyAlignment="1">
      <alignment horizontal="centerContinuous" vertical="center" wrapText="1"/>
    </xf>
    <xf numFmtId="0" fontId="5" fillId="0" borderId="16" xfId="0" quotePrefix="1" applyFont="1" applyBorder="1" applyAlignment="1">
      <alignment horizontal="center" vertical="center" wrapText="1"/>
    </xf>
    <xf numFmtId="0" fontId="5" fillId="0" borderId="17" xfId="0" quotePrefix="1" applyFont="1" applyBorder="1" applyAlignment="1">
      <alignment horizontal="center" vertical="center" wrapText="1"/>
    </xf>
    <xf numFmtId="172" fontId="5" fillId="0" borderId="21" xfId="0" quotePrefix="1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172" fontId="1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172" fontId="3" fillId="0" borderId="0" xfId="0" applyNumberFormat="1" applyFont="1" applyFill="1" applyBorder="1"/>
    <xf numFmtId="2" fontId="3" fillId="0" borderId="0" xfId="0" applyNumberFormat="1" applyFont="1" applyFill="1" applyBorder="1"/>
    <xf numFmtId="165" fontId="5" fillId="0" borderId="22" xfId="0" applyNumberFormat="1" applyFont="1" applyBorder="1"/>
    <xf numFmtId="0" fontId="3" fillId="0" borderId="17" xfId="0" applyFont="1" applyBorder="1" applyAlignment="1">
      <alignment horizontal="left" vertical="top" wrapText="1"/>
    </xf>
    <xf numFmtId="2" fontId="3" fillId="0" borderId="17" xfId="0" applyNumberFormat="1" applyFont="1" applyBorder="1" applyAlignment="1">
      <alignment horizontal="left" vertical="top" wrapText="1"/>
    </xf>
    <xf numFmtId="0" fontId="3" fillId="0" borderId="17" xfId="0" applyNumberFormat="1" applyFont="1" applyBorder="1" applyAlignment="1">
      <alignment horizontal="right" vertical="top"/>
    </xf>
    <xf numFmtId="2" fontId="3" fillId="0" borderId="17" xfId="0" applyNumberFormat="1" applyFont="1" applyBorder="1" applyAlignment="1">
      <alignment horizontal="right" vertical="top"/>
    </xf>
    <xf numFmtId="0" fontId="13" fillId="0" borderId="0" xfId="0" applyFont="1" applyAlignment="1"/>
    <xf numFmtId="0" fontId="12" fillId="0" borderId="0" xfId="0" applyFont="1" applyAlignment="1"/>
    <xf numFmtId="0" fontId="17" fillId="0" borderId="0" xfId="2" applyFont="1" applyAlignment="1">
      <alignment horizontal="left"/>
    </xf>
    <xf numFmtId="0" fontId="18" fillId="0" borderId="0" xfId="2" applyFont="1"/>
    <xf numFmtId="0" fontId="19" fillId="0" borderId="0" xfId="2" applyFont="1"/>
    <xf numFmtId="0" fontId="16" fillId="0" borderId="0" xfId="2" applyFont="1"/>
    <xf numFmtId="0" fontId="20" fillId="0" borderId="0" xfId="2" applyFont="1" applyAlignment="1">
      <alignment horizontal="right"/>
    </xf>
    <xf numFmtId="0" fontId="21" fillId="0" borderId="0" xfId="2" applyFont="1" applyBorder="1" applyAlignment="1">
      <alignment horizontal="center"/>
    </xf>
    <xf numFmtId="0" fontId="22" fillId="2" borderId="0" xfId="2" applyFont="1" applyFill="1"/>
    <xf numFmtId="0" fontId="21" fillId="0" borderId="0" xfId="2" applyFont="1" applyAlignment="1">
      <alignment horizontal="left"/>
    </xf>
    <xf numFmtId="0" fontId="19" fillId="0" borderId="0" xfId="2" applyFont="1" applyBorder="1" applyAlignment="1">
      <alignment horizontal="center"/>
    </xf>
    <xf numFmtId="0" fontId="19" fillId="2" borderId="0" xfId="2" applyFont="1" applyFill="1" applyAlignment="1">
      <alignment horizontal="left"/>
    </xf>
    <xf numFmtId="0" fontId="23" fillId="0" borderId="0" xfId="2" applyFont="1" applyBorder="1" applyAlignment="1">
      <alignment horizontal="left"/>
    </xf>
    <xf numFmtId="0" fontId="7" fillId="0" borderId="0" xfId="2" applyFont="1" applyAlignment="1">
      <alignment horizontal="left"/>
    </xf>
    <xf numFmtId="0" fontId="22" fillId="0" borderId="0" xfId="2" applyFont="1"/>
    <xf numFmtId="0" fontId="19" fillId="0" borderId="0" xfId="2" applyFont="1" applyAlignment="1">
      <alignment horizontal="left"/>
    </xf>
    <xf numFmtId="0" fontId="25" fillId="0" borderId="0" xfId="3" applyFont="1" applyFill="1" applyAlignment="1"/>
    <xf numFmtId="0" fontId="26" fillId="0" borderId="0" xfId="3" applyFont="1" applyFill="1" applyAlignment="1">
      <alignment horizontal="left"/>
    </xf>
    <xf numFmtId="49" fontId="27" fillId="0" borderId="0" xfId="2" applyNumberFormat="1" applyFont="1" applyAlignment="1">
      <alignment horizontal="left" vertical="top" wrapText="1"/>
    </xf>
    <xf numFmtId="0" fontId="19" fillId="0" borderId="0" xfId="2" applyFont="1" applyAlignment="1">
      <alignment horizontal="center"/>
    </xf>
    <xf numFmtId="0" fontId="28" fillId="0" borderId="0" xfId="2" applyFont="1" applyAlignment="1">
      <alignment vertical="top" wrapText="1"/>
    </xf>
    <xf numFmtId="0" fontId="28" fillId="0" borderId="0" xfId="2" applyFont="1" applyAlignment="1">
      <alignment horizontal="center" vertical="top" wrapText="1"/>
    </xf>
    <xf numFmtId="0" fontId="29" fillId="0" borderId="0" xfId="2" applyFont="1" applyAlignment="1">
      <alignment horizontal="center"/>
    </xf>
    <xf numFmtId="0" fontId="16" fillId="0" borderId="0" xfId="4" applyAlignment="1">
      <alignment horizontal="left" vertical="top" wrapText="1"/>
    </xf>
    <xf numFmtId="0" fontId="32" fillId="0" borderId="0" xfId="4" applyFont="1" applyAlignment="1">
      <alignment horizontal="left"/>
    </xf>
    <xf numFmtId="0" fontId="16" fillId="0" borderId="0" xfId="2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/>
    <xf numFmtId="14" fontId="30" fillId="0" borderId="0" xfId="4" applyNumberFormat="1" applyFont="1" applyBorder="1" applyAlignment="1">
      <alignment horizontal="center" vertical="top"/>
    </xf>
    <xf numFmtId="14" fontId="31" fillId="0" borderId="0" xfId="4" applyNumberFormat="1" applyFont="1" applyBorder="1" applyAlignment="1">
      <alignment horizontal="left"/>
    </xf>
    <xf numFmtId="0" fontId="33" fillId="0" borderId="0" xfId="3" applyFont="1" applyFill="1" applyAlignment="1"/>
    <xf numFmtId="0" fontId="16" fillId="0" borderId="0" xfId="5"/>
    <xf numFmtId="0" fontId="33" fillId="0" borderId="0" xfId="3" applyFont="1" applyFill="1" applyAlignment="1">
      <alignment horizontal="left"/>
    </xf>
    <xf numFmtId="0" fontId="34" fillId="0" borderId="0" xfId="3" applyFont="1" applyFill="1" applyAlignment="1"/>
    <xf numFmtId="0" fontId="17" fillId="0" borderId="0" xfId="2" applyFont="1"/>
    <xf numFmtId="0" fontId="28" fillId="0" borderId="0" xfId="2" applyFont="1" applyAlignment="1">
      <alignment horizontal="center" vertical="center" wrapText="1"/>
    </xf>
    <xf numFmtId="0" fontId="19" fillId="0" borderId="0" xfId="2" applyFont="1" applyAlignment="1">
      <alignment horizontal="center"/>
    </xf>
    <xf numFmtId="0" fontId="16" fillId="2" borderId="0" xfId="2" applyFont="1" applyFill="1" applyAlignment="1">
      <alignment horizontal="center" vertical="center"/>
    </xf>
    <xf numFmtId="173" fontId="3" fillId="0" borderId="17" xfId="0" applyNumberFormat="1" applyFont="1" applyBorder="1" applyAlignment="1">
      <alignment horizontal="right" vertical="top"/>
    </xf>
    <xf numFmtId="2" fontId="12" fillId="0" borderId="0" xfId="0" applyNumberFormat="1" applyFont="1"/>
    <xf numFmtId="172" fontId="3" fillId="0" borderId="17" xfId="0" applyNumberFormat="1" applyFont="1" applyBorder="1" applyAlignment="1">
      <alignment horizontal="right" vertical="top"/>
    </xf>
  </cellXfs>
  <cellStyles count="6">
    <cellStyle name="Įprastas" xfId="0" builtinId="0"/>
    <cellStyle name="Įprastas 2" xfId="3"/>
    <cellStyle name="Kablelis" xfId="1" builtinId="3"/>
    <cellStyle name="Paprastas 2 2" xfId="4"/>
    <cellStyle name="Paprastas 3" xfId="2"/>
    <cellStyle name="Paprastas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U14" sqref="U14"/>
    </sheetView>
  </sheetViews>
  <sheetFormatPr defaultRowHeight="15" x14ac:dyDescent="0.25"/>
  <cols>
    <col min="1" max="1" width="4.7109375" customWidth="1"/>
    <col min="2" max="2" width="29.5703125" customWidth="1"/>
    <col min="3" max="3" width="10.42578125" customWidth="1"/>
    <col min="4" max="4" width="8" customWidth="1"/>
    <col min="5" max="5" width="7" customWidth="1"/>
    <col min="6" max="6" width="0" hidden="1" customWidth="1"/>
    <col min="7" max="7" width="8.7109375" customWidth="1"/>
    <col min="8" max="8" width="8.42578125" customWidth="1"/>
    <col min="9" max="9" width="12.140625" customWidth="1"/>
    <col min="10" max="10" width="11.42578125" customWidth="1"/>
    <col min="11" max="11" width="9.7109375" customWidth="1"/>
    <col min="12" max="12" width="11.85546875" customWidth="1"/>
    <col min="13" max="15" width="0" hidden="1" customWidth="1"/>
  </cols>
  <sheetData>
    <row r="1" spans="1:12" x14ac:dyDescent="0.25">
      <c r="G1" s="112">
        <v>1</v>
      </c>
      <c r="H1" s="112">
        <v>1</v>
      </c>
      <c r="I1" s="112">
        <v>1</v>
      </c>
    </row>
    <row r="2" spans="1:12" x14ac:dyDescent="0.25">
      <c r="G2" s="112">
        <v>1</v>
      </c>
      <c r="H2" s="112">
        <v>1</v>
      </c>
      <c r="I2" s="112">
        <v>1</v>
      </c>
    </row>
    <row r="3" spans="1:12" x14ac:dyDescent="0.25">
      <c r="G3" s="112">
        <v>1</v>
      </c>
      <c r="H3" s="112"/>
      <c r="I3" s="112"/>
    </row>
    <row r="6" spans="1:12" x14ac:dyDescent="0.25">
      <c r="A6" s="3"/>
      <c r="B6" s="4"/>
      <c r="C6" s="3"/>
      <c r="D6" s="5" t="s">
        <v>0</v>
      </c>
      <c r="E6" s="3"/>
      <c r="F6" s="3"/>
      <c r="G6" s="3"/>
      <c r="H6" s="3"/>
      <c r="I6" s="3"/>
      <c r="J6" s="3"/>
      <c r="K6" s="3"/>
      <c r="L6" s="3"/>
    </row>
    <row r="7" spans="1:12" ht="27.75" thickBot="1" x14ac:dyDescent="0.3">
      <c r="A7" s="6"/>
      <c r="B7" s="7" t="s">
        <v>1</v>
      </c>
      <c r="C7" s="6"/>
      <c r="D7" s="8" t="s">
        <v>2</v>
      </c>
      <c r="E7" s="2"/>
      <c r="F7" s="2"/>
      <c r="G7" s="2"/>
      <c r="H7" s="2"/>
      <c r="I7" s="9"/>
      <c r="J7" s="2"/>
      <c r="K7" s="2"/>
      <c r="L7" s="2"/>
    </row>
    <row r="8" spans="1:12" ht="28.5" thickTop="1" thickBot="1" x14ac:dyDescent="0.3">
      <c r="A8" s="2"/>
      <c r="B8" s="7" t="s">
        <v>3</v>
      </c>
      <c r="C8" s="2"/>
      <c r="D8" s="2"/>
      <c r="E8" s="2"/>
      <c r="F8" s="2"/>
      <c r="G8" s="113" t="s">
        <v>4</v>
      </c>
      <c r="H8" s="2"/>
      <c r="I8" s="10">
        <f ca="1">OFFSET($I$119,-1,0)</f>
        <v>4679.9799999999996</v>
      </c>
      <c r="J8" s="11">
        <f ca="1">ROUND(I8*3.4528,2)</f>
        <v>16159.03</v>
      </c>
      <c r="K8" s="12"/>
      <c r="L8" s="12"/>
    </row>
    <row r="9" spans="1:12" ht="16.5" thickTop="1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3.45" customHeight="1" x14ac:dyDescent="0.25">
      <c r="A10" s="13" t="s">
        <v>5</v>
      </c>
      <c r="B10" s="14" t="s">
        <v>6</v>
      </c>
      <c r="C10" s="15" t="s">
        <v>7</v>
      </c>
      <c r="D10" s="13" t="s">
        <v>8</v>
      </c>
      <c r="E10" s="13" t="s">
        <v>9</v>
      </c>
      <c r="F10" s="13" t="s">
        <v>10</v>
      </c>
      <c r="G10" s="16" t="s">
        <v>11</v>
      </c>
      <c r="H10" s="17" t="s">
        <v>12</v>
      </c>
      <c r="I10" s="17" t="s">
        <v>13</v>
      </c>
      <c r="J10" s="18" t="s">
        <v>14</v>
      </c>
      <c r="K10" s="18" t="s">
        <v>15</v>
      </c>
      <c r="L10" s="18" t="s">
        <v>16</v>
      </c>
    </row>
    <row r="11" spans="1:12" ht="39.6" customHeight="1" x14ac:dyDescent="0.25">
      <c r="A11" s="19">
        <v>1</v>
      </c>
      <c r="B11" s="20" t="s">
        <v>17</v>
      </c>
      <c r="C11" s="21" t="s">
        <v>18</v>
      </c>
      <c r="D11" s="19" t="s">
        <v>19</v>
      </c>
      <c r="E11" s="22"/>
      <c r="F11" s="22"/>
      <c r="G11" s="23">
        <f t="array" aca="1" ref="G11" ca="1">SUM(OFFSET(E11,1,0):E12*OFFSET(G11,1,0):G12)</f>
        <v>16.195</v>
      </c>
      <c r="H11" s="24">
        <v>10</v>
      </c>
      <c r="I11" s="25" t="str">
        <f ca="1">TEXT(VALUE(J11+K11+L11),"0,00")</f>
        <v>161,95</v>
      </c>
      <c r="J11" s="25" t="str">
        <f ca="1">TEXT(SUM(OFFSET(J11,1,0):J12),"0,00")</f>
        <v>161,95</v>
      </c>
      <c r="K11" s="25" t="str">
        <f ca="1">TEXT(SUM(OFFSET(K11,1,0):K12),"0,00")</f>
        <v>0,00</v>
      </c>
      <c r="L11" s="25" t="str">
        <f ca="1">TEXT(SUM(OFFSET(L11,1,0):L12),"0,00")</f>
        <v>0,00</v>
      </c>
    </row>
    <row r="12" spans="1:12" ht="26.45" customHeight="1" x14ac:dyDescent="0.25">
      <c r="A12" s="26"/>
      <c r="B12" s="27" t="s">
        <v>20</v>
      </c>
      <c r="C12" s="28">
        <v>10217</v>
      </c>
      <c r="D12" s="26" t="s">
        <v>21</v>
      </c>
      <c r="E12" s="29">
        <v>4.0999999999999996</v>
      </c>
      <c r="F12" s="29">
        <f>$I$1</f>
        <v>1</v>
      </c>
      <c r="G12" s="30">
        <f>3.95*F12</f>
        <v>3.95</v>
      </c>
      <c r="H12" s="31">
        <f>E12*H11</f>
        <v>41</v>
      </c>
      <c r="I12" s="31">
        <f>ROUND(G12*H12,2)</f>
        <v>161.94999999999999</v>
      </c>
      <c r="J12" s="32">
        <f>I12</f>
        <v>161.94999999999999</v>
      </c>
      <c r="K12" s="32"/>
      <c r="L12" s="32"/>
    </row>
    <row r="13" spans="1:12" ht="52.9" customHeight="1" x14ac:dyDescent="0.25">
      <c r="A13" s="19">
        <v>2</v>
      </c>
      <c r="B13" s="20" t="s">
        <v>22</v>
      </c>
      <c r="C13" s="21" t="s">
        <v>23</v>
      </c>
      <c r="D13" s="19" t="s">
        <v>24</v>
      </c>
      <c r="E13" s="22"/>
      <c r="F13" s="33"/>
      <c r="G13" s="23">
        <f t="array" aca="1" ref="G13" ca="1">SUM(OFFSET(E13,1,0):E15*OFFSET(G13,1,0):G15)</f>
        <v>158.80189999999999</v>
      </c>
      <c r="H13" s="24">
        <v>0.43</v>
      </c>
      <c r="I13" s="25" t="str">
        <f ca="1">TEXT(VALUE(J13+K13+L13),"0,00")</f>
        <v>68,29</v>
      </c>
      <c r="J13" s="25" t="str">
        <f ca="1">TEXT(SUM(OFFSET(J13,1,0):J15),"0,00")</f>
        <v>1,82</v>
      </c>
      <c r="K13" s="25" t="str">
        <f ca="1">TEXT(SUM(OFFSET(K13,1,0):K15),"0,00")</f>
        <v>0,00</v>
      </c>
      <c r="L13" s="25" t="str">
        <f ca="1">TEXT(SUM(OFFSET(L13,1,0):L15),"0,00")</f>
        <v>66,47</v>
      </c>
    </row>
    <row r="14" spans="1:12" ht="26.45" customHeight="1" x14ac:dyDescent="0.25">
      <c r="A14" s="34"/>
      <c r="B14" s="35" t="s">
        <v>25</v>
      </c>
      <c r="C14" s="36">
        <v>10250</v>
      </c>
      <c r="D14" s="34" t="s">
        <v>21</v>
      </c>
      <c r="E14" s="37">
        <v>1.01</v>
      </c>
      <c r="F14" s="37">
        <f>$I$1</f>
        <v>1</v>
      </c>
      <c r="G14" s="38">
        <f>4.19*F14</f>
        <v>4.1900000000000004</v>
      </c>
      <c r="H14" s="39">
        <f>E14*H13</f>
        <v>0.43430000000000002</v>
      </c>
      <c r="I14" s="39">
        <f>ROUND(G14*H14,2)</f>
        <v>1.82</v>
      </c>
      <c r="J14" s="40">
        <f>I14</f>
        <v>1.82</v>
      </c>
      <c r="K14" s="40"/>
      <c r="L14" s="40"/>
    </row>
    <row r="15" spans="1:12" ht="26.45" customHeight="1" x14ac:dyDescent="0.25">
      <c r="A15" s="41"/>
      <c r="B15" s="42" t="s">
        <v>26</v>
      </c>
      <c r="C15" s="43">
        <v>489067</v>
      </c>
      <c r="D15" s="41" t="s">
        <v>27</v>
      </c>
      <c r="E15" s="33">
        <v>6.5</v>
      </c>
      <c r="F15" s="33">
        <v>1</v>
      </c>
      <c r="G15" s="33">
        <v>23.78</v>
      </c>
      <c r="H15" s="44">
        <f>E15*H13</f>
        <v>2.7949999999999999</v>
      </c>
      <c r="I15" s="44">
        <f>ROUND(G15*H15,2)</f>
        <v>66.47</v>
      </c>
      <c r="J15" s="45"/>
      <c r="K15" s="45"/>
      <c r="L15" s="45">
        <f>I15</f>
        <v>66.47</v>
      </c>
    </row>
    <row r="16" spans="1:12" ht="39.6" customHeight="1" x14ac:dyDescent="0.25">
      <c r="A16" s="19">
        <v>3</v>
      </c>
      <c r="B16" s="20" t="s">
        <v>28</v>
      </c>
      <c r="C16" s="21" t="s">
        <v>29</v>
      </c>
      <c r="D16" s="19" t="s">
        <v>19</v>
      </c>
      <c r="E16" s="22"/>
      <c r="F16" s="33"/>
      <c r="G16" s="23">
        <f t="array" aca="1" ref="G16" ca="1">SUM(OFFSET(E16,1,0):E20*OFFSET(G16,1,0):G20)</f>
        <v>82.44156000000001</v>
      </c>
      <c r="H16" s="24">
        <v>1.2</v>
      </c>
      <c r="I16" s="25" t="str">
        <f ca="1">TEXT(VALUE(J16+K16+L16),"0,00")</f>
        <v>98,93</v>
      </c>
      <c r="J16" s="25" t="str">
        <f ca="1">TEXT(SUM(OFFSET(J16,1,0):J20),"0,00")</f>
        <v>48,42</v>
      </c>
      <c r="K16" s="25" t="str">
        <f ca="1">TEXT(SUM(OFFSET(K16,1,0):K20),"0,00")</f>
        <v>23,25</v>
      </c>
      <c r="L16" s="25" t="str">
        <f ca="1">TEXT(SUM(OFFSET(L16,1,0):L20),"0,00")</f>
        <v>27,26</v>
      </c>
    </row>
    <row r="17" spans="1:12" ht="26.45" customHeight="1" x14ac:dyDescent="0.25">
      <c r="A17" s="41"/>
      <c r="B17" s="42" t="s">
        <v>30</v>
      </c>
      <c r="C17" s="43">
        <v>10344</v>
      </c>
      <c r="D17" s="41" t="s">
        <v>21</v>
      </c>
      <c r="E17" s="33">
        <v>8.32</v>
      </c>
      <c r="F17" s="33">
        <f>$I$1</f>
        <v>1</v>
      </c>
      <c r="G17" s="46">
        <f>4.85*F17</f>
        <v>4.8499999999999996</v>
      </c>
      <c r="H17" s="44">
        <f>E17*H16</f>
        <v>9.984</v>
      </c>
      <c r="I17" s="44">
        <f>ROUND(G17*H17,2)</f>
        <v>48.42</v>
      </c>
      <c r="J17" s="45">
        <f>I17</f>
        <v>48.42</v>
      </c>
      <c r="K17" s="45"/>
      <c r="L17" s="45"/>
    </row>
    <row r="18" spans="1:12" ht="13.15" customHeight="1" x14ac:dyDescent="0.25">
      <c r="A18" s="41"/>
      <c r="B18" s="42" t="s">
        <v>31</v>
      </c>
      <c r="C18" s="43">
        <v>20033</v>
      </c>
      <c r="D18" s="41" t="s">
        <v>32</v>
      </c>
      <c r="E18" s="33">
        <v>3.4000000000000002E-2</v>
      </c>
      <c r="F18" s="33">
        <v>1</v>
      </c>
      <c r="G18" s="33">
        <v>511.19</v>
      </c>
      <c r="H18" s="44">
        <f>E18*H16</f>
        <v>4.0800000000000003E-2</v>
      </c>
      <c r="I18" s="44">
        <f>ROUND(G18*H18,2)</f>
        <v>20.86</v>
      </c>
      <c r="J18" s="45"/>
      <c r="K18" s="45">
        <f>I18</f>
        <v>20.86</v>
      </c>
      <c r="L18" s="45"/>
    </row>
    <row r="19" spans="1:12" ht="13.15" customHeight="1" x14ac:dyDescent="0.25">
      <c r="A19" s="41"/>
      <c r="B19" s="42" t="s">
        <v>33</v>
      </c>
      <c r="C19" s="43">
        <v>600010</v>
      </c>
      <c r="D19" s="41" t="s">
        <v>19</v>
      </c>
      <c r="E19" s="33">
        <v>3.5000000000000003E-2</v>
      </c>
      <c r="F19" s="33">
        <v>1</v>
      </c>
      <c r="G19" s="33">
        <v>56.9</v>
      </c>
      <c r="H19" s="44">
        <f>E19*H16</f>
        <v>4.2000000000000003E-2</v>
      </c>
      <c r="I19" s="44">
        <f>ROUND(G19*H19,2)</f>
        <v>2.39</v>
      </c>
      <c r="J19" s="45"/>
      <c r="K19" s="45">
        <f>I19</f>
        <v>2.39</v>
      </c>
      <c r="L19" s="45"/>
    </row>
    <row r="20" spans="1:12" ht="26.45" customHeight="1" x14ac:dyDescent="0.25">
      <c r="A20" s="26"/>
      <c r="B20" s="27" t="s">
        <v>34</v>
      </c>
      <c r="C20" s="28">
        <v>489041</v>
      </c>
      <c r="D20" s="26" t="s">
        <v>27</v>
      </c>
      <c r="E20" s="29">
        <v>0.73</v>
      </c>
      <c r="F20" s="29">
        <v>1</v>
      </c>
      <c r="G20" s="29">
        <v>31.12</v>
      </c>
      <c r="H20" s="31">
        <f>E20*H16</f>
        <v>0.876</v>
      </c>
      <c r="I20" s="31">
        <f>ROUND(G20*H20,2)</f>
        <v>27.26</v>
      </c>
      <c r="J20" s="32"/>
      <c r="K20" s="32"/>
      <c r="L20" s="32">
        <f>I20</f>
        <v>27.26</v>
      </c>
    </row>
    <row r="21" spans="1:12" ht="39.6" customHeight="1" x14ac:dyDescent="0.25">
      <c r="A21" s="47">
        <v>4</v>
      </c>
      <c r="B21" s="20" t="s">
        <v>35</v>
      </c>
      <c r="C21" s="21" t="s">
        <v>36</v>
      </c>
      <c r="D21" s="19" t="s">
        <v>37</v>
      </c>
      <c r="E21" s="48"/>
      <c r="F21" s="49"/>
      <c r="G21" s="50">
        <f t="array" aca="1" ref="G21" ca="1">SUM(OFFSET(E21,1,0):E22*OFFSET(G21,1,0):G22)</f>
        <v>1.4229000000000001</v>
      </c>
      <c r="H21" s="24">
        <v>14</v>
      </c>
      <c r="I21" s="51" t="str">
        <f ca="1">TEXT(VALUE(J21+K21+L21+M21),"0,00")</f>
        <v>19,92</v>
      </c>
      <c r="J21" s="52" t="str">
        <f ca="1">TEXT(SUM(OFFSET(J21,1,0):J22),"0,00")</f>
        <v>19,92</v>
      </c>
      <c r="K21" s="52" t="str">
        <f ca="1">TEXT(SUM(OFFSET(K21,1,0):K22),"0,00")</f>
        <v>0,00</v>
      </c>
      <c r="L21" s="52" t="str">
        <f ca="1">TEXT(SUM(OFFSET(L21,1,0):L22),"0,00")</f>
        <v>0,00</v>
      </c>
    </row>
    <row r="22" spans="1:12" ht="26.45" customHeight="1" x14ac:dyDescent="0.25">
      <c r="A22" s="53"/>
      <c r="B22" s="35" t="s">
        <v>38</v>
      </c>
      <c r="C22" s="36">
        <v>10300</v>
      </c>
      <c r="D22" s="34" t="s">
        <v>21</v>
      </c>
      <c r="E22" s="54">
        <v>0.31</v>
      </c>
      <c r="F22" s="55">
        <f>$I$1</f>
        <v>1</v>
      </c>
      <c r="G22" s="54">
        <f>4.59*F22</f>
        <v>4.59</v>
      </c>
      <c r="H22" s="39">
        <f>E22*H21</f>
        <v>4.34</v>
      </c>
      <c r="I22" s="39">
        <f>ROUND(G22*H22,2)</f>
        <v>19.920000000000002</v>
      </c>
      <c r="J22" s="40">
        <f>I22</f>
        <v>19.920000000000002</v>
      </c>
      <c r="K22" s="40"/>
      <c r="L22" s="40"/>
    </row>
    <row r="23" spans="1:12" ht="66" customHeight="1" x14ac:dyDescent="0.25">
      <c r="A23" s="19">
        <v>5</v>
      </c>
      <c r="B23" s="20" t="s">
        <v>39</v>
      </c>
      <c r="C23" s="21" t="s">
        <v>40</v>
      </c>
      <c r="D23" s="19" t="s">
        <v>41</v>
      </c>
      <c r="E23" s="22"/>
      <c r="F23" s="33"/>
      <c r="G23" s="23">
        <f t="array" aca="1" ref="G23" ca="1">SUM(OFFSET(E23,1,0):E37*OFFSET(G23,1,0):G37)</f>
        <v>114.6134</v>
      </c>
      <c r="H23" s="24">
        <v>2</v>
      </c>
      <c r="I23" s="25" t="str">
        <f ca="1">TEXT(VALUE(J23+K23+L23),"0,00")</f>
        <v>229,23</v>
      </c>
      <c r="J23" s="25" t="str">
        <f ca="1">TEXT(SUM(OFFSET(J23,1,0):J37),"0,00")</f>
        <v>53,24</v>
      </c>
      <c r="K23" s="25" t="str">
        <f ca="1">TEXT(SUM(OFFSET(K23,1,0):K37),"0,00")</f>
        <v>142,53</v>
      </c>
      <c r="L23" s="25" t="str">
        <f ca="1">TEXT(SUM(OFFSET(L23,1,0):L37),"0,00")</f>
        <v>33,46</v>
      </c>
    </row>
    <row r="24" spans="1:12" ht="26.45" customHeight="1" x14ac:dyDescent="0.25">
      <c r="A24" s="41"/>
      <c r="B24" s="42" t="s">
        <v>42</v>
      </c>
      <c r="C24" s="43">
        <v>10420</v>
      </c>
      <c r="D24" s="41" t="s">
        <v>21</v>
      </c>
      <c r="E24" s="33">
        <v>5.0999999999999996</v>
      </c>
      <c r="F24" s="33">
        <f>$I$1</f>
        <v>1</v>
      </c>
      <c r="G24" s="46">
        <f>5.22*F24</f>
        <v>5.22</v>
      </c>
      <c r="H24" s="44">
        <f>E24*H23</f>
        <v>10.199999999999999</v>
      </c>
      <c r="I24" s="44">
        <f t="shared" ref="I24:I37" si="0">ROUND(G24*H24,2)</f>
        <v>53.24</v>
      </c>
      <c r="J24" s="45">
        <f>I24</f>
        <v>53.24</v>
      </c>
      <c r="K24" s="45"/>
      <c r="L24" s="45"/>
    </row>
    <row r="25" spans="1:12" ht="26.45" customHeight="1" x14ac:dyDescent="0.25">
      <c r="A25" s="41"/>
      <c r="B25" s="42" t="s">
        <v>43</v>
      </c>
      <c r="C25" s="43">
        <v>488160</v>
      </c>
      <c r="D25" s="41" t="s">
        <v>27</v>
      </c>
      <c r="E25" s="33">
        <v>0.98</v>
      </c>
      <c r="F25" s="33">
        <v>1</v>
      </c>
      <c r="G25" s="33">
        <v>11.87</v>
      </c>
      <c r="H25" s="44">
        <f>E25*H23</f>
        <v>1.96</v>
      </c>
      <c r="I25" s="44">
        <f t="shared" si="0"/>
        <v>23.27</v>
      </c>
      <c r="J25" s="45"/>
      <c r="K25" s="45"/>
      <c r="L25" s="45">
        <f>I25</f>
        <v>23.27</v>
      </c>
    </row>
    <row r="26" spans="1:12" ht="13.15" customHeight="1" x14ac:dyDescent="0.25">
      <c r="A26" s="41"/>
      <c r="B26" s="42" t="s">
        <v>44</v>
      </c>
      <c r="C26" s="43">
        <v>489244</v>
      </c>
      <c r="D26" s="41" t="s">
        <v>27</v>
      </c>
      <c r="E26" s="33">
        <v>0.23</v>
      </c>
      <c r="F26" s="33">
        <v>1</v>
      </c>
      <c r="G26" s="33">
        <v>0.46</v>
      </c>
      <c r="H26" s="44">
        <f>E26*H23</f>
        <v>0.46</v>
      </c>
      <c r="I26" s="44">
        <f t="shared" si="0"/>
        <v>0.21</v>
      </c>
      <c r="J26" s="45"/>
      <c r="K26" s="45"/>
      <c r="L26" s="45">
        <f>I26</f>
        <v>0.21</v>
      </c>
    </row>
    <row r="27" spans="1:12" ht="26.45" customHeight="1" x14ac:dyDescent="0.25">
      <c r="A27" s="41"/>
      <c r="B27" s="42" t="s">
        <v>45</v>
      </c>
      <c r="C27" s="43">
        <v>489245</v>
      </c>
      <c r="D27" s="41" t="s">
        <v>27</v>
      </c>
      <c r="E27" s="33">
        <v>0.5</v>
      </c>
      <c r="F27" s="33">
        <v>1</v>
      </c>
      <c r="G27" s="33">
        <v>7.22</v>
      </c>
      <c r="H27" s="44">
        <f>E27*H23</f>
        <v>1</v>
      </c>
      <c r="I27" s="44">
        <f t="shared" si="0"/>
        <v>7.22</v>
      </c>
      <c r="J27" s="45"/>
      <c r="K27" s="45"/>
      <c r="L27" s="45">
        <f>I27</f>
        <v>7.22</v>
      </c>
    </row>
    <row r="28" spans="1:12" ht="26.45" customHeight="1" x14ac:dyDescent="0.25">
      <c r="A28" s="41"/>
      <c r="B28" s="42" t="s">
        <v>46</v>
      </c>
      <c r="C28" s="43">
        <v>489246</v>
      </c>
      <c r="D28" s="41" t="s">
        <v>27</v>
      </c>
      <c r="E28" s="33">
        <v>0.5</v>
      </c>
      <c r="F28" s="33">
        <v>1</v>
      </c>
      <c r="G28" s="33">
        <v>2.76</v>
      </c>
      <c r="H28" s="44">
        <f>E28*H23</f>
        <v>1</v>
      </c>
      <c r="I28" s="44">
        <f t="shared" si="0"/>
        <v>2.76</v>
      </c>
      <c r="J28" s="45"/>
      <c r="K28" s="45"/>
      <c r="L28" s="45">
        <f>I28</f>
        <v>2.76</v>
      </c>
    </row>
    <row r="29" spans="1:12" ht="13.15" customHeight="1" x14ac:dyDescent="0.25">
      <c r="A29" s="41"/>
      <c r="B29" s="42" t="s">
        <v>47</v>
      </c>
      <c r="C29" s="43">
        <v>20095</v>
      </c>
      <c r="D29" s="41" t="s">
        <v>48</v>
      </c>
      <c r="E29" s="33">
        <v>0.04</v>
      </c>
      <c r="F29" s="33">
        <v>1</v>
      </c>
      <c r="G29" s="33">
        <v>1.06</v>
      </c>
      <c r="H29" s="44">
        <f>E29*H23</f>
        <v>0.08</v>
      </c>
      <c r="I29" s="44">
        <f t="shared" si="0"/>
        <v>0.08</v>
      </c>
      <c r="J29" s="45"/>
      <c r="K29" s="45">
        <f t="shared" ref="K29:K37" si="1">I29</f>
        <v>0.08</v>
      </c>
      <c r="L29" s="45"/>
    </row>
    <row r="30" spans="1:12" ht="13.15" customHeight="1" x14ac:dyDescent="0.25">
      <c r="A30" s="41"/>
      <c r="B30" s="42" t="s">
        <v>49</v>
      </c>
      <c r="C30" s="43">
        <v>20096</v>
      </c>
      <c r="D30" s="41" t="s">
        <v>48</v>
      </c>
      <c r="E30" s="33">
        <v>0.05</v>
      </c>
      <c r="F30" s="33">
        <v>1</v>
      </c>
      <c r="G30" s="33">
        <v>2.2599999999999998</v>
      </c>
      <c r="H30" s="44">
        <f>E30*H23</f>
        <v>0.1</v>
      </c>
      <c r="I30" s="44">
        <f t="shared" si="0"/>
        <v>0.23</v>
      </c>
      <c r="J30" s="45"/>
      <c r="K30" s="45">
        <f t="shared" si="1"/>
        <v>0.23</v>
      </c>
      <c r="L30" s="45"/>
    </row>
    <row r="31" spans="1:12" ht="13.15" customHeight="1" x14ac:dyDescent="0.25">
      <c r="A31" s="41"/>
      <c r="B31" s="42" t="s">
        <v>50</v>
      </c>
      <c r="C31" s="43">
        <v>120038</v>
      </c>
      <c r="D31" s="41" t="s">
        <v>48</v>
      </c>
      <c r="E31" s="33">
        <v>0.45</v>
      </c>
      <c r="F31" s="33">
        <v>1</v>
      </c>
      <c r="G31" s="33">
        <v>1.94</v>
      </c>
      <c r="H31" s="44">
        <f>E31*H23</f>
        <v>0.9</v>
      </c>
      <c r="I31" s="44">
        <f t="shared" si="0"/>
        <v>1.75</v>
      </c>
      <c r="J31" s="45"/>
      <c r="K31" s="45">
        <f t="shared" si="1"/>
        <v>1.75</v>
      </c>
      <c r="L31" s="45"/>
    </row>
    <row r="32" spans="1:12" ht="13.15" customHeight="1" x14ac:dyDescent="0.25">
      <c r="A32" s="41"/>
      <c r="B32" s="42" t="s">
        <v>51</v>
      </c>
      <c r="C32" s="43">
        <v>120049</v>
      </c>
      <c r="D32" s="41" t="s">
        <v>48</v>
      </c>
      <c r="E32" s="33">
        <v>1.62</v>
      </c>
      <c r="F32" s="33">
        <v>1</v>
      </c>
      <c r="G32" s="33">
        <v>1.92</v>
      </c>
      <c r="H32" s="44">
        <f>E32*H23</f>
        <v>3.24</v>
      </c>
      <c r="I32" s="44">
        <f t="shared" si="0"/>
        <v>6.22</v>
      </c>
      <c r="J32" s="45"/>
      <c r="K32" s="45">
        <f t="shared" si="1"/>
        <v>6.22</v>
      </c>
      <c r="L32" s="45"/>
    </row>
    <row r="33" spans="1:12" ht="13.15" customHeight="1" x14ac:dyDescent="0.25">
      <c r="A33" s="26"/>
      <c r="B33" s="27" t="s">
        <v>52</v>
      </c>
      <c r="C33" s="28">
        <v>210004</v>
      </c>
      <c r="D33" s="26" t="s">
        <v>19</v>
      </c>
      <c r="E33" s="29">
        <v>0.08</v>
      </c>
      <c r="F33" s="29">
        <v>1</v>
      </c>
      <c r="G33" s="29">
        <v>1.24</v>
      </c>
      <c r="H33" s="31">
        <f>E33*H23</f>
        <v>0.16</v>
      </c>
      <c r="I33" s="31">
        <f t="shared" si="0"/>
        <v>0.2</v>
      </c>
      <c r="J33" s="32"/>
      <c r="K33" s="32">
        <f t="shared" si="1"/>
        <v>0.2</v>
      </c>
      <c r="L33" s="32"/>
    </row>
    <row r="34" spans="1:12" ht="13.15" customHeight="1" x14ac:dyDescent="0.25">
      <c r="A34" s="41"/>
      <c r="B34" s="42" t="s">
        <v>53</v>
      </c>
      <c r="C34" s="43">
        <v>260114</v>
      </c>
      <c r="D34" s="41" t="s">
        <v>41</v>
      </c>
      <c r="E34" s="33">
        <v>2</v>
      </c>
      <c r="F34" s="33">
        <v>1</v>
      </c>
      <c r="G34" s="33">
        <v>9.6999999999999993</v>
      </c>
      <c r="H34" s="44">
        <f>E34*H23</f>
        <v>4</v>
      </c>
      <c r="I34" s="44">
        <f t="shared" si="0"/>
        <v>38.799999999999997</v>
      </c>
      <c r="J34" s="45"/>
      <c r="K34" s="45">
        <f t="shared" si="1"/>
        <v>38.799999999999997</v>
      </c>
      <c r="L34" s="45"/>
    </row>
    <row r="35" spans="1:12" ht="13.15" customHeight="1" x14ac:dyDescent="0.25">
      <c r="A35" s="34"/>
      <c r="B35" s="35" t="s">
        <v>54</v>
      </c>
      <c r="C35" s="36">
        <v>261141</v>
      </c>
      <c r="D35" s="34" t="s">
        <v>41</v>
      </c>
      <c r="E35" s="37">
        <v>2.5000000000000001E-2</v>
      </c>
      <c r="F35" s="37">
        <v>1</v>
      </c>
      <c r="G35" s="56">
        <v>1505</v>
      </c>
      <c r="H35" s="39">
        <f>E35*H23</f>
        <v>0.05</v>
      </c>
      <c r="I35" s="39">
        <f t="shared" si="0"/>
        <v>75.25</v>
      </c>
      <c r="J35" s="40"/>
      <c r="K35" s="40">
        <f t="shared" si="1"/>
        <v>75.25</v>
      </c>
      <c r="L35" s="40"/>
    </row>
    <row r="36" spans="1:12" ht="13.15" customHeight="1" x14ac:dyDescent="0.25">
      <c r="A36" s="41"/>
      <c r="B36" s="42" t="s">
        <v>55</v>
      </c>
      <c r="C36" s="43">
        <v>262007</v>
      </c>
      <c r="D36" s="41" t="s">
        <v>41</v>
      </c>
      <c r="E36" s="33">
        <v>2</v>
      </c>
      <c r="F36" s="33">
        <v>1</v>
      </c>
      <c r="G36" s="57">
        <v>5</v>
      </c>
      <c r="H36" s="44">
        <f>E36*H23</f>
        <v>4</v>
      </c>
      <c r="I36" s="44">
        <f t="shared" si="0"/>
        <v>20</v>
      </c>
      <c r="J36" s="45"/>
      <c r="K36" s="45">
        <f t="shared" si="1"/>
        <v>20</v>
      </c>
      <c r="L36" s="45"/>
    </row>
    <row r="37" spans="1:12" ht="13.15" customHeight="1" x14ac:dyDescent="0.25">
      <c r="A37" s="41"/>
      <c r="B37" s="42" t="s">
        <v>56</v>
      </c>
      <c r="C37" s="43">
        <v>490037</v>
      </c>
      <c r="D37" s="41" t="s">
        <v>41</v>
      </c>
      <c r="E37" s="33">
        <v>1</v>
      </c>
      <c r="F37" s="33">
        <v>1</v>
      </c>
      <c r="G37" s="33">
        <v>0</v>
      </c>
      <c r="H37" s="44">
        <f>E37*H23</f>
        <v>2</v>
      </c>
      <c r="I37" s="44">
        <f t="shared" si="0"/>
        <v>0</v>
      </c>
      <c r="J37" s="45"/>
      <c r="K37" s="45">
        <f t="shared" si="1"/>
        <v>0</v>
      </c>
      <c r="L37" s="45"/>
    </row>
    <row r="38" spans="1:12" ht="26.45" customHeight="1" x14ac:dyDescent="0.25">
      <c r="A38" s="47">
        <v>6</v>
      </c>
      <c r="B38" s="20" t="s">
        <v>57</v>
      </c>
      <c r="C38" s="21" t="s">
        <v>58</v>
      </c>
      <c r="D38" s="19" t="s">
        <v>59</v>
      </c>
      <c r="E38" s="48"/>
      <c r="F38" s="49"/>
      <c r="G38" s="50">
        <f t="array" aca="1" ref="G38" ca="1">SUM(OFFSET(E38,1,0):E41*OFFSET(G38,1,0):G41)</f>
        <v>2.1818</v>
      </c>
      <c r="H38" s="24">
        <v>24</v>
      </c>
      <c r="I38" s="51" t="str">
        <f ca="1">TEXT(VALUE(J38+K38+L38+M38),"0,00")</f>
        <v>52,36</v>
      </c>
      <c r="J38" s="52" t="str">
        <f ca="1">TEXT(SUM(OFFSET(J38,1,0):J41),"0,00")</f>
        <v>51,22</v>
      </c>
      <c r="K38" s="52" t="str">
        <f ca="1">TEXT(SUM(OFFSET(K38,1,0):K41),"0,00")</f>
        <v>1,14</v>
      </c>
      <c r="L38" s="52" t="str">
        <f ca="1">TEXT(SUM(OFFSET(L38,1,0):L41),"0,00")</f>
        <v>0,00</v>
      </c>
    </row>
    <row r="39" spans="1:12" ht="26.45" customHeight="1" x14ac:dyDescent="0.25">
      <c r="A39" s="58"/>
      <c r="B39" s="42" t="s">
        <v>60</v>
      </c>
      <c r="C39" s="43">
        <v>10350</v>
      </c>
      <c r="D39" s="41" t="s">
        <v>21</v>
      </c>
      <c r="E39" s="59">
        <v>0.44</v>
      </c>
      <c r="F39" s="60">
        <f>$I$1</f>
        <v>1</v>
      </c>
      <c r="G39" s="59">
        <f>4.85*F39</f>
        <v>4.8499999999999996</v>
      </c>
      <c r="H39" s="44">
        <f>E39*H38</f>
        <v>10.56</v>
      </c>
      <c r="I39" s="44">
        <f t="shared" ref="I39:I41" si="2">ROUND(G39*H39,2)</f>
        <v>51.22</v>
      </c>
      <c r="J39" s="45">
        <f>I39</f>
        <v>51.22</v>
      </c>
      <c r="K39" s="45"/>
      <c r="L39" s="45"/>
    </row>
    <row r="40" spans="1:12" ht="13.15" customHeight="1" x14ac:dyDescent="0.25">
      <c r="A40" s="58"/>
      <c r="B40" s="42" t="s">
        <v>47</v>
      </c>
      <c r="C40" s="43">
        <v>20095</v>
      </c>
      <c r="D40" s="41" t="s">
        <v>48</v>
      </c>
      <c r="E40" s="59">
        <v>0.01</v>
      </c>
      <c r="F40" s="60"/>
      <c r="G40" s="59">
        <v>1.06</v>
      </c>
      <c r="H40" s="44">
        <f>E40*H38</f>
        <v>0.24</v>
      </c>
      <c r="I40" s="44">
        <f t="shared" si="2"/>
        <v>0.25</v>
      </c>
      <c r="J40" s="45"/>
      <c r="K40" s="45">
        <f>I40</f>
        <v>0.25</v>
      </c>
      <c r="L40" s="45"/>
    </row>
    <row r="41" spans="1:12" ht="13.15" customHeight="1" x14ac:dyDescent="0.25">
      <c r="A41" s="58"/>
      <c r="B41" s="42" t="s">
        <v>52</v>
      </c>
      <c r="C41" s="43">
        <v>210004</v>
      </c>
      <c r="D41" s="41" t="s">
        <v>19</v>
      </c>
      <c r="E41" s="59">
        <v>0.03</v>
      </c>
      <c r="F41" s="60"/>
      <c r="G41" s="59">
        <v>1.24</v>
      </c>
      <c r="H41" s="44">
        <f>E41*H38</f>
        <v>0.72</v>
      </c>
      <c r="I41" s="44">
        <f t="shared" si="2"/>
        <v>0.89</v>
      </c>
      <c r="J41" s="45"/>
      <c r="K41" s="45">
        <f>I41</f>
        <v>0.89</v>
      </c>
      <c r="L41" s="45"/>
    </row>
    <row r="42" spans="1:12" ht="52.9" customHeight="1" x14ac:dyDescent="0.25">
      <c r="A42" s="19">
        <v>7</v>
      </c>
      <c r="B42" s="20" t="s">
        <v>61</v>
      </c>
      <c r="C42" s="21" t="s">
        <v>62</v>
      </c>
      <c r="D42" s="19" t="s">
        <v>41</v>
      </c>
      <c r="E42" s="22"/>
      <c r="F42" s="33"/>
      <c r="G42" s="23">
        <f t="array" aca="1" ref="G42" ca="1">SUM(OFFSET(E42,1,0):E45*OFFSET(G42,1,0):G45)</f>
        <v>51.461400000000005</v>
      </c>
      <c r="H42" s="24">
        <v>2</v>
      </c>
      <c r="I42" s="25" t="str">
        <f ca="1">TEXT(VALUE(J42+K42+L42),"0,00")</f>
        <v>102,92</v>
      </c>
      <c r="J42" s="25" t="str">
        <f ca="1">TEXT(SUM(OFFSET(J42,1,0):J45),"0,00")</f>
        <v>43,71</v>
      </c>
      <c r="K42" s="25" t="str">
        <f ca="1">TEXT(SUM(OFFSET(K42,1,0):K45),"0,00")</f>
        <v>15,89</v>
      </c>
      <c r="L42" s="25" t="str">
        <f ca="1">TEXT(SUM(OFFSET(L42,1,0):L45),"0,00")</f>
        <v>43,32</v>
      </c>
    </row>
    <row r="43" spans="1:12" ht="26.45" customHeight="1" x14ac:dyDescent="0.25">
      <c r="A43" s="41"/>
      <c r="B43" s="42" t="s">
        <v>63</v>
      </c>
      <c r="C43" s="43">
        <v>10311</v>
      </c>
      <c r="D43" s="41" t="s">
        <v>21</v>
      </c>
      <c r="E43" s="33">
        <v>4.7</v>
      </c>
      <c r="F43" s="33">
        <f>$I$1</f>
        <v>1</v>
      </c>
      <c r="G43" s="46">
        <f>4.65*F43</f>
        <v>4.6500000000000004</v>
      </c>
      <c r="H43" s="44">
        <f>E43*H42</f>
        <v>9.4</v>
      </c>
      <c r="I43" s="44">
        <f>ROUND(G43*H43,2)</f>
        <v>43.71</v>
      </c>
      <c r="J43" s="45">
        <f>I43</f>
        <v>43.71</v>
      </c>
      <c r="K43" s="45"/>
      <c r="L43" s="45"/>
    </row>
    <row r="44" spans="1:12" ht="13.15" customHeight="1" x14ac:dyDescent="0.25">
      <c r="A44" s="41"/>
      <c r="B44" s="42" t="s">
        <v>64</v>
      </c>
      <c r="C44" s="43">
        <v>600043</v>
      </c>
      <c r="D44" s="41" t="s">
        <v>19</v>
      </c>
      <c r="E44" s="33">
        <v>0.11</v>
      </c>
      <c r="F44" s="33">
        <v>1</v>
      </c>
      <c r="G44" s="33">
        <v>72.239999999999995</v>
      </c>
      <c r="H44" s="44">
        <f>E44*H42</f>
        <v>0.22</v>
      </c>
      <c r="I44" s="44">
        <f>ROUND(G44*H44,2)</f>
        <v>15.89</v>
      </c>
      <c r="J44" s="45"/>
      <c r="K44" s="45">
        <f>I44</f>
        <v>15.89</v>
      </c>
      <c r="L44" s="45"/>
    </row>
    <row r="45" spans="1:12" ht="26.45" customHeight="1" x14ac:dyDescent="0.25">
      <c r="A45" s="26"/>
      <c r="B45" s="27" t="s">
        <v>65</v>
      </c>
      <c r="C45" s="28">
        <v>310235</v>
      </c>
      <c r="D45" s="26" t="s">
        <v>27</v>
      </c>
      <c r="E45" s="29">
        <v>3</v>
      </c>
      <c r="F45" s="29">
        <v>1</v>
      </c>
      <c r="G45" s="29">
        <v>7.22</v>
      </c>
      <c r="H45" s="31">
        <f>E45*H42</f>
        <v>6</v>
      </c>
      <c r="I45" s="31">
        <f>ROUND(G45*H45,2)</f>
        <v>43.32</v>
      </c>
      <c r="J45" s="32"/>
      <c r="K45" s="32"/>
      <c r="L45" s="32">
        <f>I45</f>
        <v>43.32</v>
      </c>
    </row>
    <row r="46" spans="1:12" ht="39.6" customHeight="1" x14ac:dyDescent="0.25">
      <c r="A46" s="47">
        <v>8</v>
      </c>
      <c r="B46" s="20" t="s">
        <v>66</v>
      </c>
      <c r="C46" s="21" t="s">
        <v>67</v>
      </c>
      <c r="D46" s="19" t="s">
        <v>19</v>
      </c>
      <c r="E46" s="48"/>
      <c r="F46" s="49"/>
      <c r="G46" s="50">
        <f t="array" aca="1" ref="G46" ca="1">SUM(OFFSET(E46,1,0):E47*OFFSET(G46,1,0):G47)</f>
        <v>19.350000000000001</v>
      </c>
      <c r="H46" s="24">
        <v>1</v>
      </c>
      <c r="I46" s="51" t="str">
        <f ca="1">TEXT(VALUE(J46+K46+L46+M46),"0,00")</f>
        <v>19,35</v>
      </c>
      <c r="J46" s="52" t="str">
        <f ca="1">TEXT(SUM(OFFSET(J46,1,0):J47),"0,00")</f>
        <v>19,35</v>
      </c>
      <c r="K46" s="52" t="str">
        <f ca="1">TEXT(SUM(OFFSET(K46,1,0):K47),"0,00")</f>
        <v>0,00</v>
      </c>
      <c r="L46" s="52" t="str">
        <f ca="1">TEXT(SUM(OFFSET(L46,1,0):L47),"0,00")</f>
        <v>0,00</v>
      </c>
    </row>
    <row r="47" spans="1:12" ht="26.45" customHeight="1" x14ac:dyDescent="0.25">
      <c r="A47" s="41"/>
      <c r="B47" s="42" t="s">
        <v>68</v>
      </c>
      <c r="C47" s="43">
        <v>10200</v>
      </c>
      <c r="D47" s="41" t="s">
        <v>21</v>
      </c>
      <c r="E47" s="59">
        <v>5</v>
      </c>
      <c r="F47" s="60">
        <f>$I$1</f>
        <v>1</v>
      </c>
      <c r="G47" s="59">
        <f>3.87*F47</f>
        <v>3.87</v>
      </c>
      <c r="H47" s="44">
        <f>E47*H46</f>
        <v>5</v>
      </c>
      <c r="I47" s="44">
        <f>ROUND(G47*H47,2)</f>
        <v>19.350000000000001</v>
      </c>
      <c r="J47" s="45">
        <f>I47</f>
        <v>19.350000000000001</v>
      </c>
      <c r="K47" s="45"/>
      <c r="L47" s="45"/>
    </row>
    <row r="48" spans="1:12" ht="52.9" customHeight="1" x14ac:dyDescent="0.25">
      <c r="A48" s="19">
        <v>9</v>
      </c>
      <c r="B48" s="20" t="s">
        <v>69</v>
      </c>
      <c r="C48" s="21" t="s">
        <v>70</v>
      </c>
      <c r="D48" s="19" t="s">
        <v>59</v>
      </c>
      <c r="E48" s="22"/>
      <c r="F48" s="33"/>
      <c r="G48" s="23">
        <f t="array" aca="1" ref="G48" ca="1">SUM(OFFSET(E48,1,0):E62*OFFSET(G48,1,0):G62)</f>
        <v>27.255366666666667</v>
      </c>
      <c r="H48" s="24">
        <v>24</v>
      </c>
      <c r="I48" s="25" t="str">
        <f ca="1">TEXT(VALUE(J48+K48+L48+M48),"0,00")</f>
        <v>654,12</v>
      </c>
      <c r="J48" s="25" t="str">
        <f ca="1">TEXT(SUM(OFFSET(J48,1,0):J62),"0,00")</f>
        <v>103,81</v>
      </c>
      <c r="K48" s="25" t="str">
        <f ca="1">TEXT(SUM(OFFSET(K48,1,0):K62),"0,00")</f>
        <v>454,21</v>
      </c>
      <c r="L48" s="25" t="str">
        <f ca="1">TEXT(SUM(OFFSET(L48,1,0):L62),"0,00")</f>
        <v>96,10</v>
      </c>
    </row>
    <row r="49" spans="1:12" ht="26.45" customHeight="1" x14ac:dyDescent="0.25">
      <c r="A49" s="41"/>
      <c r="B49" s="42" t="s">
        <v>71</v>
      </c>
      <c r="C49" s="43">
        <v>10450</v>
      </c>
      <c r="D49" s="41" t="s">
        <v>21</v>
      </c>
      <c r="E49" s="33">
        <v>0.81</v>
      </c>
      <c r="F49" s="33">
        <f>$I$1</f>
        <v>1</v>
      </c>
      <c r="G49" s="46">
        <f>5.34*F49</f>
        <v>5.34</v>
      </c>
      <c r="H49" s="44">
        <f>E49*H48</f>
        <v>19.440000000000001</v>
      </c>
      <c r="I49" s="44">
        <f t="shared" ref="I49:I62" si="3">ROUND(G49*H49,2)</f>
        <v>103.81</v>
      </c>
      <c r="J49" s="45">
        <f>I49</f>
        <v>103.81</v>
      </c>
      <c r="K49" s="45"/>
      <c r="L49" s="45"/>
    </row>
    <row r="50" spans="1:12" ht="26.45" customHeight="1" x14ac:dyDescent="0.25">
      <c r="A50" s="41"/>
      <c r="B50" s="42" t="s">
        <v>43</v>
      </c>
      <c r="C50" s="43">
        <v>488160</v>
      </c>
      <c r="D50" s="41" t="s">
        <v>27</v>
      </c>
      <c r="E50" s="33">
        <v>7.0000000000000007E-2</v>
      </c>
      <c r="F50" s="33">
        <v>1</v>
      </c>
      <c r="G50" s="33">
        <v>11.87</v>
      </c>
      <c r="H50" s="44">
        <f>E50*H48</f>
        <v>1.6800000000000002</v>
      </c>
      <c r="I50" s="44">
        <f t="shared" si="3"/>
        <v>19.940000000000001</v>
      </c>
      <c r="J50" s="45"/>
      <c r="K50" s="45"/>
      <c r="L50" s="45">
        <f>I50</f>
        <v>19.940000000000001</v>
      </c>
    </row>
    <row r="51" spans="1:12" ht="26.45" customHeight="1" x14ac:dyDescent="0.25">
      <c r="A51" s="41"/>
      <c r="B51" s="42" t="s">
        <v>72</v>
      </c>
      <c r="C51" s="43">
        <v>489034</v>
      </c>
      <c r="D51" s="41" t="s">
        <v>27</v>
      </c>
      <c r="E51" s="33">
        <v>0.05</v>
      </c>
      <c r="F51" s="33">
        <v>1</v>
      </c>
      <c r="G51" s="33">
        <v>22.19</v>
      </c>
      <c r="H51" s="44">
        <f>E51*H48</f>
        <v>1.2000000000000002</v>
      </c>
      <c r="I51" s="44">
        <f t="shared" si="3"/>
        <v>26.63</v>
      </c>
      <c r="J51" s="45"/>
      <c r="K51" s="45"/>
      <c r="L51" s="45">
        <f>I51</f>
        <v>26.63</v>
      </c>
    </row>
    <row r="52" spans="1:12" ht="13.15" customHeight="1" x14ac:dyDescent="0.25">
      <c r="A52" s="41"/>
      <c r="B52" s="42" t="s">
        <v>73</v>
      </c>
      <c r="C52" s="43">
        <v>489210</v>
      </c>
      <c r="D52" s="41" t="s">
        <v>27</v>
      </c>
      <c r="E52" s="33">
        <v>0.04</v>
      </c>
      <c r="F52" s="33">
        <v>1</v>
      </c>
      <c r="G52" s="33">
        <v>0.46</v>
      </c>
      <c r="H52" s="44">
        <f>E52*H48</f>
        <v>0.96</v>
      </c>
      <c r="I52" s="44">
        <f t="shared" si="3"/>
        <v>0.44</v>
      </c>
      <c r="J52" s="45"/>
      <c r="K52" s="45"/>
      <c r="L52" s="45">
        <f>I52</f>
        <v>0.44</v>
      </c>
    </row>
    <row r="53" spans="1:12" ht="13.15" customHeight="1" x14ac:dyDescent="0.25">
      <c r="A53" s="41"/>
      <c r="B53" s="42" t="s">
        <v>74</v>
      </c>
      <c r="C53" s="43">
        <v>489261</v>
      </c>
      <c r="D53" s="41" t="s">
        <v>27</v>
      </c>
      <c r="E53" s="33">
        <v>0.06</v>
      </c>
      <c r="F53" s="33">
        <v>1</v>
      </c>
      <c r="G53" s="33">
        <v>34.090000000000003</v>
      </c>
      <c r="H53" s="44">
        <f>E53*H48</f>
        <v>1.44</v>
      </c>
      <c r="I53" s="44">
        <f t="shared" si="3"/>
        <v>49.09</v>
      </c>
      <c r="J53" s="45"/>
      <c r="K53" s="45"/>
      <c r="L53" s="45">
        <f>I53</f>
        <v>49.09</v>
      </c>
    </row>
    <row r="54" spans="1:12" ht="13.15" customHeight="1" x14ac:dyDescent="0.25">
      <c r="A54" s="41"/>
      <c r="B54" s="42" t="s">
        <v>47</v>
      </c>
      <c r="C54" s="43">
        <v>20095</v>
      </c>
      <c r="D54" s="41" t="s">
        <v>48</v>
      </c>
      <c r="E54" s="33">
        <v>5.2999999999999999E-2</v>
      </c>
      <c r="F54" s="33">
        <v>1</v>
      </c>
      <c r="G54" s="33">
        <v>1.06</v>
      </c>
      <c r="H54" s="44">
        <f>E54*H48</f>
        <v>1.272</v>
      </c>
      <c r="I54" s="44">
        <f t="shared" si="3"/>
        <v>1.35</v>
      </c>
      <c r="J54" s="45"/>
      <c r="K54" s="45">
        <f t="shared" ref="K54:K62" si="4">I54</f>
        <v>1.35</v>
      </c>
      <c r="L54" s="45"/>
    </row>
    <row r="55" spans="1:12" ht="13.15" customHeight="1" x14ac:dyDescent="0.25">
      <c r="A55" s="41"/>
      <c r="B55" s="42" t="s">
        <v>50</v>
      </c>
      <c r="C55" s="43">
        <v>120038</v>
      </c>
      <c r="D55" s="41" t="s">
        <v>48</v>
      </c>
      <c r="E55" s="33">
        <v>2.1999999999999999E-2</v>
      </c>
      <c r="F55" s="33">
        <v>1</v>
      </c>
      <c r="G55" s="33">
        <v>1.94</v>
      </c>
      <c r="H55" s="44">
        <f>E55*H48</f>
        <v>0.52800000000000002</v>
      </c>
      <c r="I55" s="44">
        <f t="shared" si="3"/>
        <v>1.02</v>
      </c>
      <c r="J55" s="45"/>
      <c r="K55" s="45">
        <f t="shared" si="4"/>
        <v>1.02</v>
      </c>
      <c r="L55" s="45"/>
    </row>
    <row r="56" spans="1:12" ht="13.15" customHeight="1" x14ac:dyDescent="0.25">
      <c r="A56" s="41"/>
      <c r="B56" s="42" t="s">
        <v>52</v>
      </c>
      <c r="C56" s="43">
        <v>210004</v>
      </c>
      <c r="D56" s="41" t="s">
        <v>19</v>
      </c>
      <c r="E56" s="33">
        <v>6.0000000000000001E-3</v>
      </c>
      <c r="F56" s="33">
        <v>1</v>
      </c>
      <c r="G56" s="33">
        <v>1.24</v>
      </c>
      <c r="H56" s="44">
        <f>E56*H48</f>
        <v>0.14400000000000002</v>
      </c>
      <c r="I56" s="44">
        <f t="shared" si="3"/>
        <v>0.18</v>
      </c>
      <c r="J56" s="45"/>
      <c r="K56" s="45">
        <f t="shared" si="4"/>
        <v>0.18</v>
      </c>
      <c r="L56" s="45"/>
    </row>
    <row r="57" spans="1:12" ht="13.15" customHeight="1" x14ac:dyDescent="0.25">
      <c r="A57" s="41"/>
      <c r="B57" s="42" t="s">
        <v>75</v>
      </c>
      <c r="C57" s="43">
        <v>390050</v>
      </c>
      <c r="D57" s="41" t="s">
        <v>41</v>
      </c>
      <c r="E57" s="33">
        <v>2.5000000000000001E-2</v>
      </c>
      <c r="F57" s="33">
        <v>1</v>
      </c>
      <c r="G57" s="57">
        <v>3</v>
      </c>
      <c r="H57" s="44">
        <f>E57*H48</f>
        <v>0.60000000000000009</v>
      </c>
      <c r="I57" s="44">
        <f t="shared" si="3"/>
        <v>1.8</v>
      </c>
      <c r="J57" s="45"/>
      <c r="K57" s="45">
        <f t="shared" si="4"/>
        <v>1.8</v>
      </c>
      <c r="L57" s="45"/>
    </row>
    <row r="58" spans="1:12" ht="26.45" customHeight="1" x14ac:dyDescent="0.25">
      <c r="A58" s="41"/>
      <c r="B58" s="42" t="s">
        <v>76</v>
      </c>
      <c r="C58" s="43">
        <v>520392</v>
      </c>
      <c r="D58" s="41" t="s">
        <v>32</v>
      </c>
      <c r="E58" s="33">
        <v>1.5E-3</v>
      </c>
      <c r="F58" s="33">
        <v>1</v>
      </c>
      <c r="G58" s="33">
        <v>1454</v>
      </c>
      <c r="H58" s="44">
        <f>E58*H48</f>
        <v>3.6000000000000004E-2</v>
      </c>
      <c r="I58" s="44">
        <f t="shared" si="3"/>
        <v>52.34</v>
      </c>
      <c r="J58" s="45"/>
      <c r="K58" s="45">
        <f t="shared" si="4"/>
        <v>52.34</v>
      </c>
      <c r="L58" s="45"/>
    </row>
    <row r="59" spans="1:12" ht="26.45" customHeight="1" x14ac:dyDescent="0.25">
      <c r="A59" s="26"/>
      <c r="B59" s="27" t="s">
        <v>77</v>
      </c>
      <c r="C59" s="28">
        <v>534025</v>
      </c>
      <c r="D59" s="26" t="s">
        <v>19</v>
      </c>
      <c r="E59" s="29">
        <v>1E-4</v>
      </c>
      <c r="F59" s="29">
        <v>1</v>
      </c>
      <c r="G59" s="29">
        <v>0</v>
      </c>
      <c r="H59" s="31">
        <f>E59*H48</f>
        <v>2.4000000000000002E-3</v>
      </c>
      <c r="I59" s="31">
        <f t="shared" si="3"/>
        <v>0</v>
      </c>
      <c r="J59" s="32"/>
      <c r="K59" s="32">
        <f t="shared" si="4"/>
        <v>0</v>
      </c>
      <c r="L59" s="32"/>
    </row>
    <row r="60" spans="1:12" ht="26.45" customHeight="1" x14ac:dyDescent="0.25">
      <c r="A60" s="41"/>
      <c r="B60" s="42" t="s">
        <v>78</v>
      </c>
      <c r="C60" s="43" t="s">
        <v>79</v>
      </c>
      <c r="D60" s="41" t="s">
        <v>41</v>
      </c>
      <c r="E60" s="61">
        <v>8.3333333333333329E-2</v>
      </c>
      <c r="F60" s="33"/>
      <c r="G60" s="61">
        <v>32.96</v>
      </c>
      <c r="H60" s="62">
        <f>E60*H48</f>
        <v>2</v>
      </c>
      <c r="I60" s="62">
        <f t="shared" si="3"/>
        <v>65.92</v>
      </c>
      <c r="J60" s="63"/>
      <c r="K60" s="63">
        <f t="shared" si="4"/>
        <v>65.92</v>
      </c>
      <c r="L60" s="63"/>
    </row>
    <row r="61" spans="1:12" ht="26.45" customHeight="1" x14ac:dyDescent="0.25">
      <c r="A61" s="64"/>
      <c r="B61" s="65" t="s">
        <v>80</v>
      </c>
      <c r="C61" s="66" t="s">
        <v>81</v>
      </c>
      <c r="D61" s="64" t="s">
        <v>82</v>
      </c>
      <c r="E61" s="67">
        <v>0</v>
      </c>
      <c r="F61" s="67">
        <v>1</v>
      </c>
      <c r="G61" s="67">
        <v>0</v>
      </c>
      <c r="H61" s="68">
        <f>E61*H48</f>
        <v>0</v>
      </c>
      <c r="I61" s="68">
        <f t="shared" si="3"/>
        <v>0</v>
      </c>
      <c r="J61" s="69"/>
      <c r="K61" s="69">
        <f t="shared" si="4"/>
        <v>0</v>
      </c>
      <c r="L61" s="69"/>
    </row>
    <row r="62" spans="1:12" ht="26.45" customHeight="1" x14ac:dyDescent="0.25">
      <c r="A62" s="26"/>
      <c r="B62" s="27" t="s">
        <v>83</v>
      </c>
      <c r="C62" s="28" t="s">
        <v>84</v>
      </c>
      <c r="D62" s="26" t="s">
        <v>59</v>
      </c>
      <c r="E62" s="70">
        <v>1.01</v>
      </c>
      <c r="F62" s="29"/>
      <c r="G62" s="71">
        <v>13.68</v>
      </c>
      <c r="H62" s="72">
        <f>E62*H48</f>
        <v>24.240000000000002</v>
      </c>
      <c r="I62" s="72">
        <f t="shared" si="3"/>
        <v>331.6</v>
      </c>
      <c r="J62" s="73"/>
      <c r="K62" s="73">
        <f t="shared" si="4"/>
        <v>331.6</v>
      </c>
      <c r="L62" s="73"/>
    </row>
    <row r="63" spans="1:12" ht="39.6" customHeight="1" x14ac:dyDescent="0.25">
      <c r="A63" s="19">
        <v>10</v>
      </c>
      <c r="B63" s="20" t="s">
        <v>85</v>
      </c>
      <c r="C63" s="21" t="s">
        <v>86</v>
      </c>
      <c r="D63" s="19" t="s">
        <v>41</v>
      </c>
      <c r="E63" s="22"/>
      <c r="F63" s="33"/>
      <c r="G63" s="23">
        <f t="array" aca="1" ref="G63" ca="1">SUM(OFFSET(E63,1,0):E71*OFFSET(G63,1,0):G71)</f>
        <v>71.453299999999999</v>
      </c>
      <c r="H63" s="24">
        <v>4</v>
      </c>
      <c r="I63" s="25" t="str">
        <f ca="1">TEXT(VALUE(J63+K63+L63),"0,00")</f>
        <v>285,81</v>
      </c>
      <c r="J63" s="25" t="str">
        <f ca="1">TEXT(SUM(OFFSET(J63,1,0):J71),"0,00")</f>
        <v>46,99</v>
      </c>
      <c r="K63" s="25" t="str">
        <f ca="1">TEXT(SUM(OFFSET(K63,1,0):K71),"0,00")</f>
        <v>201,06</v>
      </c>
      <c r="L63" s="25" t="str">
        <f ca="1">TEXT(SUM(OFFSET(L63,1,0):L71),"0,00")</f>
        <v>37,76</v>
      </c>
    </row>
    <row r="64" spans="1:12" ht="26.45" customHeight="1" x14ac:dyDescent="0.25">
      <c r="A64" s="34"/>
      <c r="B64" s="35" t="s">
        <v>71</v>
      </c>
      <c r="C64" s="36">
        <v>10450</v>
      </c>
      <c r="D64" s="34" t="s">
        <v>21</v>
      </c>
      <c r="E64" s="37">
        <v>2.2000000000000002</v>
      </c>
      <c r="F64" s="37">
        <f>$I$1</f>
        <v>1</v>
      </c>
      <c r="G64" s="38">
        <f>5.34*F64</f>
        <v>5.34</v>
      </c>
      <c r="H64" s="39">
        <f>E64*H63</f>
        <v>8.8000000000000007</v>
      </c>
      <c r="I64" s="39">
        <f t="shared" ref="I64:I71" si="5">ROUND(G64*H64,2)</f>
        <v>46.99</v>
      </c>
      <c r="J64" s="40">
        <f>I64</f>
        <v>46.99</v>
      </c>
      <c r="K64" s="40"/>
      <c r="L64" s="40"/>
    </row>
    <row r="65" spans="1:12" ht="26.45" customHeight="1" x14ac:dyDescent="0.25">
      <c r="A65" s="41"/>
      <c r="B65" s="42" t="s">
        <v>43</v>
      </c>
      <c r="C65" s="43">
        <v>488160</v>
      </c>
      <c r="D65" s="41" t="s">
        <v>27</v>
      </c>
      <c r="E65" s="33">
        <v>0.77</v>
      </c>
      <c r="F65" s="33">
        <v>1</v>
      </c>
      <c r="G65" s="33">
        <v>11.87</v>
      </c>
      <c r="H65" s="44">
        <f>E65*H63</f>
        <v>3.08</v>
      </c>
      <c r="I65" s="44">
        <f t="shared" si="5"/>
        <v>36.56</v>
      </c>
      <c r="J65" s="45"/>
      <c r="K65" s="45"/>
      <c r="L65" s="45">
        <f>I65</f>
        <v>36.56</v>
      </c>
    </row>
    <row r="66" spans="1:12" ht="13.15" customHeight="1" x14ac:dyDescent="0.25">
      <c r="A66" s="41"/>
      <c r="B66" s="42" t="s">
        <v>73</v>
      </c>
      <c r="C66" s="43">
        <v>489210</v>
      </c>
      <c r="D66" s="41" t="s">
        <v>27</v>
      </c>
      <c r="E66" s="33">
        <v>0.65</v>
      </c>
      <c r="F66" s="33">
        <v>1</v>
      </c>
      <c r="G66" s="33">
        <v>0.46</v>
      </c>
      <c r="H66" s="44">
        <f>E66*H63</f>
        <v>2.6</v>
      </c>
      <c r="I66" s="44">
        <f t="shared" si="5"/>
        <v>1.2</v>
      </c>
      <c r="J66" s="45"/>
      <c r="K66" s="45"/>
      <c r="L66" s="45">
        <f>I66</f>
        <v>1.2</v>
      </c>
    </row>
    <row r="67" spans="1:12" ht="13.15" customHeight="1" x14ac:dyDescent="0.25">
      <c r="A67" s="41"/>
      <c r="B67" s="42" t="s">
        <v>47</v>
      </c>
      <c r="C67" s="43">
        <v>20095</v>
      </c>
      <c r="D67" s="41" t="s">
        <v>48</v>
      </c>
      <c r="E67" s="33">
        <v>0.05</v>
      </c>
      <c r="F67" s="33">
        <v>1</v>
      </c>
      <c r="G67" s="33">
        <v>1.06</v>
      </c>
      <c r="H67" s="44">
        <f>E67*H63</f>
        <v>0.2</v>
      </c>
      <c r="I67" s="44">
        <f t="shared" si="5"/>
        <v>0.21</v>
      </c>
      <c r="J67" s="45"/>
      <c r="K67" s="45">
        <f>I67</f>
        <v>0.21</v>
      </c>
      <c r="L67" s="45"/>
    </row>
    <row r="68" spans="1:12" ht="13.15" customHeight="1" x14ac:dyDescent="0.25">
      <c r="A68" s="41"/>
      <c r="B68" s="42" t="s">
        <v>50</v>
      </c>
      <c r="C68" s="43">
        <v>120038</v>
      </c>
      <c r="D68" s="41" t="s">
        <v>48</v>
      </c>
      <c r="E68" s="33">
        <v>0.23</v>
      </c>
      <c r="F68" s="33">
        <v>1</v>
      </c>
      <c r="G68" s="33">
        <v>1.94</v>
      </c>
      <c r="H68" s="44">
        <f>E68*H63</f>
        <v>0.92</v>
      </c>
      <c r="I68" s="44">
        <f t="shared" si="5"/>
        <v>1.78</v>
      </c>
      <c r="J68" s="45"/>
      <c r="K68" s="45">
        <f>I68</f>
        <v>1.78</v>
      </c>
      <c r="L68" s="45"/>
    </row>
    <row r="69" spans="1:12" ht="13.15" customHeight="1" x14ac:dyDescent="0.25">
      <c r="A69" s="41"/>
      <c r="B69" s="42" t="s">
        <v>52</v>
      </c>
      <c r="C69" s="43">
        <v>210004</v>
      </c>
      <c r="D69" s="41" t="s">
        <v>19</v>
      </c>
      <c r="E69" s="33">
        <v>0.03</v>
      </c>
      <c r="F69" s="33">
        <v>1</v>
      </c>
      <c r="G69" s="33">
        <v>1.24</v>
      </c>
      <c r="H69" s="44">
        <f>E69*H63</f>
        <v>0.12</v>
      </c>
      <c r="I69" s="44">
        <f t="shared" si="5"/>
        <v>0.15</v>
      </c>
      <c r="J69" s="45"/>
      <c r="K69" s="45">
        <f>I69</f>
        <v>0.15</v>
      </c>
      <c r="L69" s="45"/>
    </row>
    <row r="70" spans="1:12" ht="13.15" customHeight="1" x14ac:dyDescent="0.25">
      <c r="A70" s="41"/>
      <c r="B70" s="42" t="s">
        <v>75</v>
      </c>
      <c r="C70" s="43">
        <v>390050</v>
      </c>
      <c r="D70" s="41" t="s">
        <v>41</v>
      </c>
      <c r="E70" s="33">
        <v>0.46</v>
      </c>
      <c r="F70" s="33">
        <v>1</v>
      </c>
      <c r="G70" s="33">
        <v>0</v>
      </c>
      <c r="H70" s="44">
        <f>E70*H63</f>
        <v>1.84</v>
      </c>
      <c r="I70" s="44">
        <f t="shared" si="5"/>
        <v>0</v>
      </c>
      <c r="J70" s="45"/>
      <c r="K70" s="45">
        <f>I70</f>
        <v>0</v>
      </c>
      <c r="L70" s="45"/>
    </row>
    <row r="71" spans="1:12" ht="26.45" customHeight="1" x14ac:dyDescent="0.25">
      <c r="A71" s="26"/>
      <c r="B71" s="74" t="s">
        <v>87</v>
      </c>
      <c r="C71" s="28" t="s">
        <v>88</v>
      </c>
      <c r="D71" s="26" t="s">
        <v>41</v>
      </c>
      <c r="E71" s="70">
        <v>1</v>
      </c>
      <c r="F71" s="29"/>
      <c r="G71" s="71">
        <v>49.73</v>
      </c>
      <c r="H71" s="72">
        <f>E71*H63</f>
        <v>4</v>
      </c>
      <c r="I71" s="72">
        <f t="shared" si="5"/>
        <v>198.92</v>
      </c>
      <c r="J71" s="73"/>
      <c r="K71" s="73">
        <f>I71</f>
        <v>198.92</v>
      </c>
      <c r="L71" s="73"/>
    </row>
    <row r="72" spans="1:12" ht="39.6" customHeight="1" x14ac:dyDescent="0.25">
      <c r="A72" s="19">
        <v>11</v>
      </c>
      <c r="B72" s="20" t="s">
        <v>89</v>
      </c>
      <c r="C72" s="21" t="s">
        <v>90</v>
      </c>
      <c r="D72" s="19" t="s">
        <v>41</v>
      </c>
      <c r="E72" s="22"/>
      <c r="F72" s="33"/>
      <c r="G72" s="23">
        <f t="array" aca="1" ref="G72" ca="1">SUM(OFFSET(E72,1,0):E75*OFFSET(G72,1,0):G75)</f>
        <v>42.322400000000002</v>
      </c>
      <c r="H72" s="24">
        <v>12</v>
      </c>
      <c r="I72" s="25" t="str">
        <f ca="1">TEXT(VALUE(J72+K72+L72),"0,00")</f>
        <v>507,87</v>
      </c>
      <c r="J72" s="25" t="str">
        <f ca="1">TEXT(SUM(OFFSET(J72,1,0):J75),"0,00")</f>
        <v>106,75</v>
      </c>
      <c r="K72" s="25" t="str">
        <f ca="1">TEXT(SUM(OFFSET(K72,1,0):K75),"0,00")</f>
        <v>401,12</v>
      </c>
      <c r="L72" s="25" t="str">
        <f ca="1">TEXT(SUM(OFFSET(L72,1,0):L75),"0,00")</f>
        <v>0,00</v>
      </c>
    </row>
    <row r="73" spans="1:12" ht="26.45" customHeight="1" x14ac:dyDescent="0.25">
      <c r="A73" s="34"/>
      <c r="B73" s="35" t="s">
        <v>91</v>
      </c>
      <c r="C73" s="36">
        <v>10500</v>
      </c>
      <c r="D73" s="34" t="s">
        <v>21</v>
      </c>
      <c r="E73" s="37">
        <v>1.6</v>
      </c>
      <c r="F73" s="37">
        <f>$I$1</f>
        <v>1</v>
      </c>
      <c r="G73" s="38">
        <f>5.56*F73</f>
        <v>5.56</v>
      </c>
      <c r="H73" s="39">
        <f>E73*H72</f>
        <v>19.200000000000003</v>
      </c>
      <c r="I73" s="39">
        <f>ROUND(G73*H73,2)</f>
        <v>106.75</v>
      </c>
      <c r="J73" s="40">
        <f>I73</f>
        <v>106.75</v>
      </c>
      <c r="K73" s="40"/>
      <c r="L73" s="40"/>
    </row>
    <row r="74" spans="1:12" ht="13.15" customHeight="1" x14ac:dyDescent="0.25">
      <c r="A74" s="41"/>
      <c r="B74" s="42" t="s">
        <v>47</v>
      </c>
      <c r="C74" s="43">
        <v>20095</v>
      </c>
      <c r="D74" s="41" t="s">
        <v>48</v>
      </c>
      <c r="E74" s="33">
        <v>0.44</v>
      </c>
      <c r="F74" s="33">
        <v>1</v>
      </c>
      <c r="G74" s="33">
        <v>1.06</v>
      </c>
      <c r="H74" s="44">
        <f>E74*H72</f>
        <v>5.28</v>
      </c>
      <c r="I74" s="44">
        <f>ROUND(G74*H74,2)</f>
        <v>5.6</v>
      </c>
      <c r="J74" s="45"/>
      <c r="K74" s="45">
        <f>I74</f>
        <v>5.6</v>
      </c>
      <c r="L74" s="45"/>
    </row>
    <row r="75" spans="1:12" ht="26.45" customHeight="1" x14ac:dyDescent="0.25">
      <c r="A75" s="26"/>
      <c r="B75" s="74" t="s">
        <v>78</v>
      </c>
      <c r="C75" s="28" t="s">
        <v>79</v>
      </c>
      <c r="D75" s="26" t="s">
        <v>41</v>
      </c>
      <c r="E75" s="71">
        <v>1</v>
      </c>
      <c r="F75" s="29"/>
      <c r="G75" s="71">
        <v>32.96</v>
      </c>
      <c r="H75" s="72">
        <f>E75*H72</f>
        <v>12</v>
      </c>
      <c r="I75" s="72">
        <f>ROUND(G75*H75,2)</f>
        <v>395.52</v>
      </c>
      <c r="J75" s="73"/>
      <c r="K75" s="73">
        <f>I75</f>
        <v>395.52</v>
      </c>
      <c r="L75" s="73"/>
    </row>
    <row r="76" spans="1:12" ht="52.9" customHeight="1" x14ac:dyDescent="0.25">
      <c r="A76" s="19">
        <v>12</v>
      </c>
      <c r="B76" s="20" t="s">
        <v>92</v>
      </c>
      <c r="C76" s="21" t="s">
        <v>93</v>
      </c>
      <c r="D76" s="19" t="s">
        <v>19</v>
      </c>
      <c r="E76" s="22"/>
      <c r="F76" s="33"/>
      <c r="G76" s="23">
        <f t="array" aca="1" ref="G76" ca="1">SUM(OFFSET(E76,1,0):E80*OFFSET(G76,1,0):G80)</f>
        <v>61.886299999999999</v>
      </c>
      <c r="H76" s="24">
        <v>1</v>
      </c>
      <c r="I76" s="25" t="str">
        <f ca="1">TEXT(VALUE(J76+K76+L76),"0,00")</f>
        <v>61,89</v>
      </c>
      <c r="J76" s="25" t="str">
        <f ca="1">TEXT(SUM(OFFSET(J76,1,0):J80),"0,00")</f>
        <v>16,11</v>
      </c>
      <c r="K76" s="25" t="str">
        <f ca="1">TEXT(SUM(OFFSET(K76,1,0):K80),"0,00")</f>
        <v>14,58</v>
      </c>
      <c r="L76" s="25" t="str">
        <f ca="1">TEXT(SUM(OFFSET(L76,1,0):L80),"0,00")</f>
        <v>31,20</v>
      </c>
    </row>
    <row r="77" spans="1:12" ht="26.45" customHeight="1" x14ac:dyDescent="0.25">
      <c r="A77" s="41"/>
      <c r="B77" s="42" t="s">
        <v>94</v>
      </c>
      <c r="C77" s="43">
        <v>10400</v>
      </c>
      <c r="D77" s="41" t="s">
        <v>21</v>
      </c>
      <c r="E77" s="33">
        <v>3.11</v>
      </c>
      <c r="F77" s="33">
        <f>$I$1</f>
        <v>1</v>
      </c>
      <c r="G77" s="46">
        <f>5.18*F77</f>
        <v>5.18</v>
      </c>
      <c r="H77" s="44">
        <f>E77*H76</f>
        <v>3.11</v>
      </c>
      <c r="I77" s="44">
        <f>ROUND(G77*H77,2)</f>
        <v>16.11</v>
      </c>
      <c r="J77" s="45">
        <f>I77</f>
        <v>16.11</v>
      </c>
      <c r="K77" s="45"/>
      <c r="L77" s="45"/>
    </row>
    <row r="78" spans="1:12" ht="26.45" customHeight="1" x14ac:dyDescent="0.25">
      <c r="A78" s="41"/>
      <c r="B78" s="42" t="s">
        <v>95</v>
      </c>
      <c r="C78" s="43">
        <v>368322</v>
      </c>
      <c r="D78" s="41" t="s">
        <v>27</v>
      </c>
      <c r="E78" s="33">
        <v>1.55</v>
      </c>
      <c r="F78" s="33">
        <v>1</v>
      </c>
      <c r="G78" s="33">
        <v>17.37</v>
      </c>
      <c r="H78" s="44">
        <f>E78*H76</f>
        <v>1.55</v>
      </c>
      <c r="I78" s="44">
        <f>ROUND(G78*H78,2)</f>
        <v>26.92</v>
      </c>
      <c r="J78" s="45"/>
      <c r="K78" s="45"/>
      <c r="L78" s="45">
        <f>I78</f>
        <v>26.92</v>
      </c>
    </row>
    <row r="79" spans="1:12" ht="13.15" customHeight="1" x14ac:dyDescent="0.25">
      <c r="A79" s="41"/>
      <c r="B79" s="42" t="s">
        <v>96</v>
      </c>
      <c r="C79" s="43">
        <v>380003</v>
      </c>
      <c r="D79" s="41" t="s">
        <v>27</v>
      </c>
      <c r="E79" s="33">
        <v>1.55</v>
      </c>
      <c r="F79" s="33">
        <v>1</v>
      </c>
      <c r="G79" s="33">
        <v>2.76</v>
      </c>
      <c r="H79" s="44">
        <f>E79*H76</f>
        <v>1.55</v>
      </c>
      <c r="I79" s="44">
        <f>ROUND(G79*H79,2)</f>
        <v>4.28</v>
      </c>
      <c r="J79" s="45"/>
      <c r="K79" s="45"/>
      <c r="L79" s="45">
        <f>I79</f>
        <v>4.28</v>
      </c>
    </row>
    <row r="80" spans="1:12" ht="13.15" customHeight="1" x14ac:dyDescent="0.25">
      <c r="A80" s="41"/>
      <c r="B80" s="42" t="s">
        <v>97</v>
      </c>
      <c r="C80" s="43">
        <v>573023</v>
      </c>
      <c r="D80" s="41" t="s">
        <v>19</v>
      </c>
      <c r="E80" s="33">
        <v>1.1000000000000001</v>
      </c>
      <c r="F80" s="33">
        <v>1</v>
      </c>
      <c r="G80" s="33">
        <v>13.25</v>
      </c>
      <c r="H80" s="44">
        <f>E80*H76</f>
        <v>1.1000000000000001</v>
      </c>
      <c r="I80" s="44">
        <f>ROUND(G80*H80,2)</f>
        <v>14.58</v>
      </c>
      <c r="J80" s="45"/>
      <c r="K80" s="45">
        <f>I80</f>
        <v>14.58</v>
      </c>
      <c r="L80" s="45"/>
    </row>
    <row r="81" spans="1:12" ht="39.6" customHeight="1" x14ac:dyDescent="0.25">
      <c r="A81" s="19">
        <v>13</v>
      </c>
      <c r="B81" s="20" t="s">
        <v>98</v>
      </c>
      <c r="C81" s="21" t="s">
        <v>99</v>
      </c>
      <c r="D81" s="19" t="s">
        <v>41</v>
      </c>
      <c r="E81" s="22"/>
      <c r="F81" s="33"/>
      <c r="G81" s="23">
        <f t="array" aca="1" ref="G81" ca="1">SUM(OFFSET(E81,1,0):E84*OFFSET(G81,1,0):G84)</f>
        <v>6.894499999999999</v>
      </c>
      <c r="H81" s="24">
        <v>2</v>
      </c>
      <c r="I81" s="25" t="str">
        <f ca="1">TEXT(VALUE(J81+K81+L81),"0,00")</f>
        <v>13,79</v>
      </c>
      <c r="J81" s="25" t="str">
        <f ca="1">TEXT(SUM(OFFSET(J81,1,0):J84),"0,00")</f>
        <v>3,88</v>
      </c>
      <c r="K81" s="25" t="str">
        <f ca="1">TEXT(SUM(OFFSET(K81,1,0):K84),"0,00")</f>
        <v>9,91</v>
      </c>
      <c r="L81" s="25" t="str">
        <f ca="1">TEXT(SUM(OFFSET(L81,1,0):L84),"0,00")</f>
        <v>0,00</v>
      </c>
    </row>
    <row r="82" spans="1:12" ht="26.45" customHeight="1" x14ac:dyDescent="0.25">
      <c r="A82" s="34"/>
      <c r="B82" s="35" t="s">
        <v>60</v>
      </c>
      <c r="C82" s="36">
        <v>10350</v>
      </c>
      <c r="D82" s="34" t="s">
        <v>21</v>
      </c>
      <c r="E82" s="37">
        <v>0.4</v>
      </c>
      <c r="F82" s="37">
        <f>$I$1</f>
        <v>1</v>
      </c>
      <c r="G82" s="38">
        <f>4.85*F82</f>
        <v>4.8499999999999996</v>
      </c>
      <c r="H82" s="39">
        <f>E82*H81</f>
        <v>0.8</v>
      </c>
      <c r="I82" s="39">
        <f>ROUND(G82*H82,2)</f>
        <v>3.88</v>
      </c>
      <c r="J82" s="40">
        <f>I82</f>
        <v>3.88</v>
      </c>
      <c r="K82" s="40"/>
      <c r="L82" s="40"/>
    </row>
    <row r="83" spans="1:12" ht="26.45" customHeight="1" x14ac:dyDescent="0.25">
      <c r="A83" s="26"/>
      <c r="B83" s="74" t="s">
        <v>100</v>
      </c>
      <c r="C83" s="28" t="s">
        <v>101</v>
      </c>
      <c r="D83" s="26" t="s">
        <v>41</v>
      </c>
      <c r="E83" s="71">
        <v>1</v>
      </c>
      <c r="F83" s="29"/>
      <c r="G83" s="71">
        <v>4.67</v>
      </c>
      <c r="H83" s="72">
        <f>E83*H81</f>
        <v>2</v>
      </c>
      <c r="I83" s="72">
        <f>ROUND(G83*H83,2)</f>
        <v>9.34</v>
      </c>
      <c r="J83" s="73"/>
      <c r="K83" s="73">
        <f>I83</f>
        <v>9.34</v>
      </c>
      <c r="L83" s="73"/>
    </row>
    <row r="84" spans="1:12" ht="13.15" customHeight="1" x14ac:dyDescent="0.25">
      <c r="A84" s="26"/>
      <c r="B84" s="27" t="s">
        <v>102</v>
      </c>
      <c r="C84" s="28">
        <v>600004</v>
      </c>
      <c r="D84" s="26" t="s">
        <v>19</v>
      </c>
      <c r="E84" s="29">
        <v>5.0000000000000001E-3</v>
      </c>
      <c r="F84" s="29">
        <v>1</v>
      </c>
      <c r="G84" s="29">
        <v>56.9</v>
      </c>
      <c r="H84" s="31">
        <f>E84*H81</f>
        <v>0.01</v>
      </c>
      <c r="I84" s="31">
        <f>ROUND(G84*H84,2)</f>
        <v>0.56999999999999995</v>
      </c>
      <c r="J84" s="32"/>
      <c r="K84" s="32">
        <f>I84</f>
        <v>0.56999999999999995</v>
      </c>
      <c r="L84" s="32"/>
    </row>
    <row r="85" spans="1:12" ht="52.9" customHeight="1" x14ac:dyDescent="0.25">
      <c r="A85" s="19">
        <v>14</v>
      </c>
      <c r="B85" s="20" t="s">
        <v>103</v>
      </c>
      <c r="C85" s="21" t="s">
        <v>104</v>
      </c>
      <c r="D85" s="19" t="s">
        <v>105</v>
      </c>
      <c r="E85" s="22"/>
      <c r="F85" s="33"/>
      <c r="G85" s="23">
        <f t="array" aca="1" ref="G85" ca="1">SUM(OFFSET(E85,1,0):E91*OFFSET(G85,1,0):G91)</f>
        <v>124.41371428571431</v>
      </c>
      <c r="H85" s="24">
        <v>1.2</v>
      </c>
      <c r="I85" s="25" t="str">
        <f ca="1">TEXT(VALUE(J85+K85+L85),"0,00")</f>
        <v>149,30</v>
      </c>
      <c r="J85" s="25" t="str">
        <f ca="1">TEXT(SUM(OFFSET(J85,1,0):J91),"0,00")</f>
        <v>57,81</v>
      </c>
      <c r="K85" s="25" t="str">
        <f ca="1">TEXT(SUM(OFFSET(K85,1,0):K91),"0,00")</f>
        <v>63,94</v>
      </c>
      <c r="L85" s="25" t="str">
        <f ca="1">TEXT(SUM(OFFSET(L85,1,0):L91),"0,00")</f>
        <v>27,55</v>
      </c>
    </row>
    <row r="86" spans="1:12" ht="26.45" customHeight="1" x14ac:dyDescent="0.25">
      <c r="A86" s="34"/>
      <c r="B86" s="35" t="s">
        <v>94</v>
      </c>
      <c r="C86" s="36">
        <v>10400</v>
      </c>
      <c r="D86" s="34" t="s">
        <v>21</v>
      </c>
      <c r="E86" s="37">
        <v>9.3000000000000007</v>
      </c>
      <c r="F86" s="37">
        <f>$I$1</f>
        <v>1</v>
      </c>
      <c r="G86" s="38">
        <f>5.18*F86</f>
        <v>5.18</v>
      </c>
      <c r="H86" s="39">
        <f>E86*H85</f>
        <v>11.16</v>
      </c>
      <c r="I86" s="39">
        <f t="shared" ref="I86:I91" si="6">ROUND(G86*H86,2)</f>
        <v>57.81</v>
      </c>
      <c r="J86" s="40">
        <f>I86</f>
        <v>57.81</v>
      </c>
      <c r="K86" s="40"/>
      <c r="L86" s="40"/>
    </row>
    <row r="87" spans="1:12" ht="26.45" customHeight="1" x14ac:dyDescent="0.25">
      <c r="A87" s="41"/>
      <c r="B87" s="42" t="s">
        <v>106</v>
      </c>
      <c r="C87" s="43">
        <v>342521</v>
      </c>
      <c r="D87" s="41" t="s">
        <v>27</v>
      </c>
      <c r="E87" s="33">
        <v>2.2999999999999998</v>
      </c>
      <c r="F87" s="33">
        <v>1</v>
      </c>
      <c r="G87" s="33">
        <v>2.76</v>
      </c>
      <c r="H87" s="44">
        <f>E87*H85</f>
        <v>2.76</v>
      </c>
      <c r="I87" s="44">
        <f t="shared" si="6"/>
        <v>7.62</v>
      </c>
      <c r="J87" s="45"/>
      <c r="K87" s="45"/>
      <c r="L87" s="45">
        <f>I87</f>
        <v>7.62</v>
      </c>
    </row>
    <row r="88" spans="1:12" ht="13.15" customHeight="1" x14ac:dyDescent="0.25">
      <c r="A88" s="41"/>
      <c r="B88" s="42" t="s">
        <v>107</v>
      </c>
      <c r="C88" s="43">
        <v>489161</v>
      </c>
      <c r="D88" s="41" t="s">
        <v>27</v>
      </c>
      <c r="E88" s="33">
        <v>2.2999999999999998</v>
      </c>
      <c r="F88" s="33">
        <v>1</v>
      </c>
      <c r="G88" s="33">
        <v>7.22</v>
      </c>
      <c r="H88" s="44">
        <f>E88*H85</f>
        <v>2.76</v>
      </c>
      <c r="I88" s="44">
        <f t="shared" si="6"/>
        <v>19.93</v>
      </c>
      <c r="J88" s="45"/>
      <c r="K88" s="45"/>
      <c r="L88" s="45">
        <f>I88</f>
        <v>19.93</v>
      </c>
    </row>
    <row r="89" spans="1:12" ht="13.15" customHeight="1" x14ac:dyDescent="0.25">
      <c r="A89" s="41"/>
      <c r="B89" s="42" t="s">
        <v>108</v>
      </c>
      <c r="C89" s="43">
        <v>260111</v>
      </c>
      <c r="D89" s="41" t="s">
        <v>59</v>
      </c>
      <c r="E89" s="33">
        <v>3.5714285714285716</v>
      </c>
      <c r="F89" s="33">
        <v>1</v>
      </c>
      <c r="G89" s="57">
        <v>9</v>
      </c>
      <c r="H89" s="44">
        <f>E89*H85</f>
        <v>4.2857142857142856</v>
      </c>
      <c r="I89" s="44">
        <f t="shared" si="6"/>
        <v>38.57</v>
      </c>
      <c r="J89" s="45"/>
      <c r="K89" s="45">
        <f>I89</f>
        <v>38.57</v>
      </c>
      <c r="L89" s="45"/>
    </row>
    <row r="90" spans="1:12" ht="13.15" customHeight="1" x14ac:dyDescent="0.25">
      <c r="A90" s="41"/>
      <c r="B90" s="42" t="s">
        <v>109</v>
      </c>
      <c r="C90" s="43">
        <v>260115</v>
      </c>
      <c r="D90" s="41" t="s">
        <v>41</v>
      </c>
      <c r="E90" s="33">
        <v>1.4285714285714286</v>
      </c>
      <c r="F90" s="33">
        <v>1</v>
      </c>
      <c r="G90" s="57">
        <v>10</v>
      </c>
      <c r="H90" s="44">
        <f>E90*H85</f>
        <v>1.7142857142857142</v>
      </c>
      <c r="I90" s="44">
        <f t="shared" si="6"/>
        <v>17.14</v>
      </c>
      <c r="J90" s="45"/>
      <c r="K90" s="45">
        <f>I90</f>
        <v>17.14</v>
      </c>
      <c r="L90" s="45"/>
    </row>
    <row r="91" spans="1:12" ht="13.15" customHeight="1" x14ac:dyDescent="0.25">
      <c r="A91" s="26"/>
      <c r="B91" s="27" t="s">
        <v>55</v>
      </c>
      <c r="C91" s="28">
        <v>262007</v>
      </c>
      <c r="D91" s="26" t="s">
        <v>41</v>
      </c>
      <c r="E91" s="29">
        <v>1.4285714285714286</v>
      </c>
      <c r="F91" s="29">
        <v>1</v>
      </c>
      <c r="G91" s="75">
        <v>4.8</v>
      </c>
      <c r="H91" s="31">
        <f>E91*H85</f>
        <v>1.7142857142857142</v>
      </c>
      <c r="I91" s="31">
        <f t="shared" si="6"/>
        <v>8.23</v>
      </c>
      <c r="J91" s="32"/>
      <c r="K91" s="32">
        <f>I91</f>
        <v>8.23</v>
      </c>
      <c r="L91" s="32"/>
    </row>
    <row r="92" spans="1:12" ht="26.45" customHeight="1" x14ac:dyDescent="0.25">
      <c r="A92" s="19">
        <v>15</v>
      </c>
      <c r="B92" s="20" t="s">
        <v>110</v>
      </c>
      <c r="C92" s="21" t="s">
        <v>111</v>
      </c>
      <c r="D92" s="19" t="s">
        <v>19</v>
      </c>
      <c r="E92" s="22"/>
      <c r="F92" s="33"/>
      <c r="G92" s="23">
        <f t="array" aca="1" ref="G92" ca="1">SUM(OFFSET(E92,1,0):E94*OFFSET(G92,1,0):G94)</f>
        <v>4.5399000000000003</v>
      </c>
      <c r="H92" s="24">
        <v>10</v>
      </c>
      <c r="I92" s="25" t="str">
        <f ca="1">TEXT(VALUE(J92+K92+L92),"0,00")</f>
        <v>45,40</v>
      </c>
      <c r="J92" s="25" t="str">
        <f ca="1">TEXT(SUM(OFFSET(J92,1,0):J94),"0,00")</f>
        <v>36,74</v>
      </c>
      <c r="K92" s="25" t="str">
        <f ca="1">TEXT(SUM(OFFSET(K92,1,0):K94),"0,00")</f>
        <v>0,00</v>
      </c>
      <c r="L92" s="25" t="str">
        <f ca="1">TEXT(SUM(OFFSET(L92,1,0):L94),"0,00")</f>
        <v>8,66</v>
      </c>
    </row>
    <row r="93" spans="1:12" ht="13.15" customHeight="1" x14ac:dyDescent="0.25">
      <c r="A93" s="41"/>
      <c r="B93" s="42" t="s">
        <v>112</v>
      </c>
      <c r="C93" s="43">
        <v>10220</v>
      </c>
      <c r="D93" s="41" t="s">
        <v>21</v>
      </c>
      <c r="E93" s="33">
        <v>0.93</v>
      </c>
      <c r="F93" s="33">
        <f>$I$1</f>
        <v>1</v>
      </c>
      <c r="G93" s="46">
        <f>3.95*F93</f>
        <v>3.95</v>
      </c>
      <c r="H93" s="44">
        <f>E93*H92</f>
        <v>9.3000000000000007</v>
      </c>
      <c r="I93" s="44">
        <f>ROUND(G93*H93,2)</f>
        <v>36.74</v>
      </c>
      <c r="J93" s="45">
        <f>I93</f>
        <v>36.74</v>
      </c>
      <c r="K93" s="45"/>
      <c r="L93" s="45"/>
    </row>
    <row r="94" spans="1:12" ht="13.15" customHeight="1" x14ac:dyDescent="0.25">
      <c r="A94" s="26"/>
      <c r="B94" s="27" t="s">
        <v>113</v>
      </c>
      <c r="C94" s="28">
        <v>489197</v>
      </c>
      <c r="D94" s="26" t="s">
        <v>27</v>
      </c>
      <c r="E94" s="29">
        <v>0.12</v>
      </c>
      <c r="F94" s="29">
        <v>1</v>
      </c>
      <c r="G94" s="29">
        <v>7.22</v>
      </c>
      <c r="H94" s="31">
        <f>E94*H92</f>
        <v>1.2</v>
      </c>
      <c r="I94" s="31">
        <f>ROUND(G94*H94,2)</f>
        <v>8.66</v>
      </c>
      <c r="J94" s="32"/>
      <c r="K94" s="32"/>
      <c r="L94" s="32">
        <f>I94</f>
        <v>8.66</v>
      </c>
    </row>
    <row r="95" spans="1:12" ht="26.45" customHeight="1" x14ac:dyDescent="0.25">
      <c r="A95" s="19">
        <v>16</v>
      </c>
      <c r="B95" s="20" t="s">
        <v>114</v>
      </c>
      <c r="C95" s="21" t="s">
        <v>115</v>
      </c>
      <c r="D95" s="19" t="s">
        <v>19</v>
      </c>
      <c r="E95" s="22"/>
      <c r="F95" s="33"/>
      <c r="G95" s="23">
        <f t="array" aca="1" ref="G95" ca="1">SUM(OFFSET(E95,1,0):E98*OFFSET(G95,1,0):G98)</f>
        <v>3.5350000000000001</v>
      </c>
      <c r="H95" s="24">
        <v>43</v>
      </c>
      <c r="I95" s="25" t="str">
        <f ca="1">TEXT(VALUE(J95+K95+L95),"0,00")</f>
        <v>152,01</v>
      </c>
      <c r="J95" s="25" t="str">
        <f ca="1">TEXT(SUM(OFFSET(J95,1,0):J98),"0,00")</f>
        <v>63,62</v>
      </c>
      <c r="K95" s="25" t="str">
        <f ca="1">TEXT(SUM(OFFSET(K95,1,0):K98),"0,00")</f>
        <v>0,00</v>
      </c>
      <c r="L95" s="25" t="str">
        <f ca="1">TEXT(SUM(OFFSET(L95,1,0):L98),"0,00")</f>
        <v>88,39</v>
      </c>
    </row>
    <row r="96" spans="1:12" ht="13.15" customHeight="1" x14ac:dyDescent="0.25">
      <c r="A96" s="34"/>
      <c r="B96" s="35" t="s">
        <v>116</v>
      </c>
      <c r="C96" s="36">
        <v>10240</v>
      </c>
      <c r="D96" s="34" t="s">
        <v>21</v>
      </c>
      <c r="E96" s="37">
        <v>0.36</v>
      </c>
      <c r="F96" s="37">
        <f>$I$1</f>
        <v>1</v>
      </c>
      <c r="G96" s="38">
        <f>4.11*F96</f>
        <v>4.1100000000000003</v>
      </c>
      <c r="H96" s="39">
        <f>E96*H95</f>
        <v>15.479999999999999</v>
      </c>
      <c r="I96" s="39">
        <f>ROUND(G96*H96,2)</f>
        <v>63.62</v>
      </c>
      <c r="J96" s="40">
        <f>I96</f>
        <v>63.62</v>
      </c>
      <c r="K96" s="40"/>
      <c r="L96" s="40"/>
    </row>
    <row r="97" spans="1:12" ht="26.45" customHeight="1" x14ac:dyDescent="0.25">
      <c r="A97" s="41"/>
      <c r="B97" s="42" t="s">
        <v>26</v>
      </c>
      <c r="C97" s="43">
        <v>489067</v>
      </c>
      <c r="D97" s="41" t="s">
        <v>27</v>
      </c>
      <c r="E97" s="33">
        <v>0.05</v>
      </c>
      <c r="F97" s="33">
        <v>1</v>
      </c>
      <c r="G97" s="33">
        <v>23.78</v>
      </c>
      <c r="H97" s="44">
        <f>E97*H95</f>
        <v>2.15</v>
      </c>
      <c r="I97" s="44">
        <f>ROUND(G97*H97,2)</f>
        <v>51.13</v>
      </c>
      <c r="J97" s="45"/>
      <c r="K97" s="45"/>
      <c r="L97" s="45">
        <f>I97</f>
        <v>51.13</v>
      </c>
    </row>
    <row r="98" spans="1:12" ht="13.15" customHeight="1" x14ac:dyDescent="0.25">
      <c r="A98" s="26"/>
      <c r="B98" s="27" t="s">
        <v>113</v>
      </c>
      <c r="C98" s="28">
        <v>489197</v>
      </c>
      <c r="D98" s="26" t="s">
        <v>27</v>
      </c>
      <c r="E98" s="29">
        <v>0.12</v>
      </c>
      <c r="F98" s="29">
        <v>1</v>
      </c>
      <c r="G98" s="29">
        <v>7.22</v>
      </c>
      <c r="H98" s="31">
        <f>E98*H95</f>
        <v>5.16</v>
      </c>
      <c r="I98" s="31">
        <f>ROUND(G98*H98,2)</f>
        <v>37.26</v>
      </c>
      <c r="J98" s="32"/>
      <c r="K98" s="32"/>
      <c r="L98" s="32">
        <f>I98</f>
        <v>37.26</v>
      </c>
    </row>
    <row r="99" spans="1:12" ht="26.45" customHeight="1" x14ac:dyDescent="0.25">
      <c r="A99" s="19">
        <v>17</v>
      </c>
      <c r="B99" s="20" t="s">
        <v>117</v>
      </c>
      <c r="C99" s="21" t="s">
        <v>118</v>
      </c>
      <c r="D99" s="19" t="s">
        <v>119</v>
      </c>
      <c r="E99" s="22"/>
      <c r="F99" s="33"/>
      <c r="G99" s="23">
        <f t="array" aca="1" ref="G99" ca="1">SUM(OFFSET(E99,1,0):E100*OFFSET(G99,1,0):G100)</f>
        <v>50.955000000000005</v>
      </c>
      <c r="H99" s="24">
        <v>1</v>
      </c>
      <c r="I99" s="25" t="str">
        <f ca="1">TEXT(VALUE(J99+K99+L99),"0,00")</f>
        <v>50,96</v>
      </c>
      <c r="J99" s="25" t="str">
        <f ca="1">TEXT(SUM(OFFSET(J99,1,0):J100),"0,00")</f>
        <v>50,96</v>
      </c>
      <c r="K99" s="25" t="str">
        <f ca="1">TEXT(SUM(OFFSET(K99,1,0):K100),"0,00")</f>
        <v>0,00</v>
      </c>
      <c r="L99" s="25" t="str">
        <f ca="1">TEXT(SUM(OFFSET(L99,1,0):L100),"0,00")</f>
        <v>0,00</v>
      </c>
    </row>
    <row r="100" spans="1:12" ht="26.45" customHeight="1" x14ac:dyDescent="0.25">
      <c r="A100" s="34"/>
      <c r="B100" s="35" t="s">
        <v>20</v>
      </c>
      <c r="C100" s="36">
        <v>10217</v>
      </c>
      <c r="D100" s="34" t="s">
        <v>21</v>
      </c>
      <c r="E100" s="37">
        <v>12.9</v>
      </c>
      <c r="F100" s="37">
        <f>$I$1</f>
        <v>1</v>
      </c>
      <c r="G100" s="38">
        <f>3.95*F100</f>
        <v>3.95</v>
      </c>
      <c r="H100" s="39">
        <f>E100*H99</f>
        <v>12.9</v>
      </c>
      <c r="I100" s="39">
        <f>ROUND(G100*H100,2)</f>
        <v>50.96</v>
      </c>
      <c r="J100" s="40">
        <f>I100</f>
        <v>50.96</v>
      </c>
      <c r="K100" s="40"/>
      <c r="L100" s="40"/>
    </row>
    <row r="101" spans="1:12" ht="52.9" customHeight="1" x14ac:dyDescent="0.25">
      <c r="A101" s="47">
        <v>18</v>
      </c>
      <c r="B101" s="20" t="s">
        <v>120</v>
      </c>
      <c r="C101" s="21" t="s">
        <v>121</v>
      </c>
      <c r="D101" s="19" t="s">
        <v>32</v>
      </c>
      <c r="E101" s="48"/>
      <c r="F101" s="49"/>
      <c r="G101" s="50">
        <f t="array" aca="1" ref="G101" ca="1">SUM(OFFSET(E101,1,0):E103*OFFSET(G101,1,0):G103)</f>
        <v>21.978900000000003</v>
      </c>
      <c r="H101" s="24">
        <v>0.8</v>
      </c>
      <c r="I101" s="51" t="str">
        <f ca="1">TEXT(VALUE(J101+K101+L101+M101),"0,00")</f>
        <v>17,59</v>
      </c>
      <c r="J101" s="52" t="str">
        <f ca="1">TEXT(SUM(OFFSET(J101,1,0):J103),"0,00")</f>
        <v>3,93</v>
      </c>
      <c r="K101" s="52" t="str">
        <f ca="1">TEXT(SUM(OFFSET(K101,1,0):K103),"0,00")</f>
        <v>0,00</v>
      </c>
      <c r="L101" s="52" t="str">
        <f ca="1">TEXT(SUM(OFFSET(L101,1,0):L103),"0,00")</f>
        <v>13,66</v>
      </c>
    </row>
    <row r="102" spans="1:12" ht="26.45" customHeight="1" x14ac:dyDescent="0.25">
      <c r="A102" s="41"/>
      <c r="B102" s="42" t="s">
        <v>122</v>
      </c>
      <c r="C102" s="43">
        <v>10160</v>
      </c>
      <c r="D102" s="41" t="s">
        <v>21</v>
      </c>
      <c r="E102" s="59">
        <v>1.33</v>
      </c>
      <c r="F102" s="60">
        <f>$I$1</f>
        <v>1</v>
      </c>
      <c r="G102" s="59">
        <f>3.69*F102</f>
        <v>3.69</v>
      </c>
      <c r="H102" s="44">
        <f>E102*H101</f>
        <v>1.0640000000000001</v>
      </c>
      <c r="I102" s="44">
        <f t="shared" ref="I102:I103" si="7">ROUND(G102*H102,2)</f>
        <v>3.93</v>
      </c>
      <c r="J102" s="45">
        <f>I102</f>
        <v>3.93</v>
      </c>
      <c r="K102" s="45"/>
      <c r="L102" s="45"/>
    </row>
    <row r="103" spans="1:12" ht="26.45" customHeight="1" x14ac:dyDescent="0.25">
      <c r="A103" s="41"/>
      <c r="B103" s="42" t="s">
        <v>123</v>
      </c>
      <c r="C103" s="43">
        <v>450001</v>
      </c>
      <c r="D103" s="41" t="s">
        <v>27</v>
      </c>
      <c r="E103" s="59">
        <v>0.72</v>
      </c>
      <c r="F103" s="60"/>
      <c r="G103" s="59">
        <v>23.71</v>
      </c>
      <c r="H103" s="44">
        <f>E103*H101</f>
        <v>0.57599999999999996</v>
      </c>
      <c r="I103" s="44">
        <f t="shared" si="7"/>
        <v>13.66</v>
      </c>
      <c r="J103" s="45"/>
      <c r="K103" s="45"/>
      <c r="L103" s="45">
        <f>I103</f>
        <v>13.66</v>
      </c>
    </row>
    <row r="104" spans="1:12" ht="13.15" customHeight="1" x14ac:dyDescent="0.25">
      <c r="A104" s="76"/>
      <c r="B104" s="77" t="s">
        <v>124</v>
      </c>
      <c r="C104" s="78"/>
      <c r="D104" s="79"/>
      <c r="E104" s="79"/>
      <c r="F104" s="79"/>
      <c r="G104" s="80"/>
      <c r="H104" s="78"/>
      <c r="I104" s="81">
        <f ca="1">ROUND(J104+K104+L104,2)</f>
        <v>2691.69</v>
      </c>
      <c r="J104" s="82">
        <f ca="1">SUM(J$10:OFFSET(J104,-1,0))</f>
        <v>890.23</v>
      </c>
      <c r="K104" s="82">
        <f ca="1">SUM(K$10:OFFSET(K104,-1,0))</f>
        <v>1327.6299999999997</v>
      </c>
      <c r="L104" s="82">
        <f ca="1">SUM(L$10:OFFSET(L104,-1,0))</f>
        <v>473.83000000000004</v>
      </c>
    </row>
    <row r="105" spans="1:12" ht="13.15" customHeight="1" x14ac:dyDescent="0.25">
      <c r="A105" s="83"/>
      <c r="B105" s="84"/>
      <c r="C105" s="8" t="s">
        <v>125</v>
      </c>
      <c r="D105" s="1"/>
      <c r="E105" s="1"/>
      <c r="F105" s="1"/>
      <c r="G105" s="1"/>
      <c r="H105" s="85"/>
      <c r="I105" s="81">
        <f ca="1">ROUND(ROUND(J104,2)*J105,2)</f>
        <v>71.22</v>
      </c>
      <c r="J105" s="86">
        <v>0.08</v>
      </c>
      <c r="K105" s="87"/>
      <c r="L105" s="87"/>
    </row>
    <row r="106" spans="1:12" ht="13.15" customHeight="1" x14ac:dyDescent="0.25">
      <c r="A106" s="83"/>
      <c r="B106" s="88"/>
      <c r="C106" s="89" t="s">
        <v>126</v>
      </c>
      <c r="D106" s="1"/>
      <c r="E106" s="1"/>
      <c r="F106" s="1"/>
      <c r="G106" s="1"/>
      <c r="H106" s="85"/>
      <c r="I106" s="81">
        <f ca="1">ROUND(K106*ROUND(K104,2),2)</f>
        <v>39.83</v>
      </c>
      <c r="J106" s="87"/>
      <c r="K106" s="86">
        <v>0.03</v>
      </c>
      <c r="L106" s="87"/>
    </row>
    <row r="107" spans="1:12" ht="13.15" customHeight="1" x14ac:dyDescent="0.25">
      <c r="A107" s="83"/>
      <c r="B107" s="88"/>
      <c r="C107" s="89" t="s">
        <v>127</v>
      </c>
      <c r="D107" s="1"/>
      <c r="E107" s="1"/>
      <c r="F107" s="1"/>
      <c r="G107" s="1"/>
      <c r="H107" s="85"/>
      <c r="I107" s="81">
        <f ca="1">ROUND(L107*ROUND(L104,2),2)</f>
        <v>14.21</v>
      </c>
      <c r="J107" s="87"/>
      <c r="K107" s="87"/>
      <c r="L107" s="86">
        <v>0.03</v>
      </c>
    </row>
    <row r="108" spans="1:12" ht="13.15" customHeight="1" x14ac:dyDescent="0.25">
      <c r="A108" s="83"/>
      <c r="B108" s="90"/>
      <c r="C108" s="91" t="s">
        <v>128</v>
      </c>
      <c r="D108" s="92"/>
      <c r="E108" s="92"/>
      <c r="F108" s="92"/>
      <c r="G108" s="92"/>
      <c r="H108" s="93"/>
      <c r="I108" s="94">
        <f ca="1">ROUND(ROUND(J104,2)*J108*(1+J105),2)</f>
        <v>297.86</v>
      </c>
      <c r="J108" s="95">
        <v>0.30980000000000002</v>
      </c>
      <c r="K108" s="87"/>
      <c r="L108" s="87"/>
    </row>
    <row r="109" spans="1:12" ht="13.15" customHeight="1" x14ac:dyDescent="0.25">
      <c r="A109" s="83"/>
      <c r="B109" s="96" t="s">
        <v>129</v>
      </c>
      <c r="C109" s="97"/>
      <c r="D109" s="98"/>
      <c r="E109" s="98"/>
      <c r="F109" s="98"/>
      <c r="G109" s="98"/>
      <c r="H109" s="99"/>
      <c r="I109" s="81">
        <f ca="1">SUM(I104:I108)</f>
        <v>3114.81</v>
      </c>
      <c r="J109" s="82">
        <f ca="1">ROUND(J105*ROUND(J104,2)+ROUND(J104,2)+I108,2)</f>
        <v>1259.31</v>
      </c>
      <c r="K109" s="82">
        <f ca="1">ROUND(ROUND(K104,2)*K106+ROUND(K104,2),2)</f>
        <v>1367.46</v>
      </c>
      <c r="L109" s="82">
        <f ca="1">ROUND(L107*ROUND(L104,2)+ROUND(L104,2),2)</f>
        <v>488.04</v>
      </c>
    </row>
    <row r="110" spans="1:12" ht="13.15" customHeight="1" x14ac:dyDescent="0.25">
      <c r="A110" s="83"/>
      <c r="B110" s="90"/>
      <c r="C110" s="100" t="s">
        <v>130</v>
      </c>
      <c r="D110" s="92"/>
      <c r="E110" s="92"/>
      <c r="F110" s="92"/>
      <c r="G110" s="92"/>
      <c r="H110" s="93"/>
      <c r="I110" s="94">
        <f ca="1">ROUND(J110*J109,2)+ROUND(K110*K109,2)+ROUND(L110*L109,2)</f>
        <v>280.33</v>
      </c>
      <c r="J110" s="95">
        <v>0.09</v>
      </c>
      <c r="K110" s="95">
        <v>0.09</v>
      </c>
      <c r="L110" s="95">
        <v>0.09</v>
      </c>
    </row>
    <row r="111" spans="1:12" ht="13.15" customHeight="1" x14ac:dyDescent="0.25">
      <c r="A111" s="83"/>
      <c r="B111" s="96" t="s">
        <v>131</v>
      </c>
      <c r="C111" s="98"/>
      <c r="D111" s="98"/>
      <c r="E111" s="98"/>
      <c r="F111" s="98"/>
      <c r="G111" s="99"/>
      <c r="H111" s="99"/>
      <c r="I111" s="81">
        <f ca="1">J111+K111+L111</f>
        <v>3395.1400000000003</v>
      </c>
      <c r="J111" s="82">
        <f ca="1">ROUND(J109*J110+J109,2)</f>
        <v>1372.65</v>
      </c>
      <c r="K111" s="82">
        <f ca="1">ROUND(K109*K110+K109,2)</f>
        <v>1490.53</v>
      </c>
      <c r="L111" s="82">
        <f ca="1">ROUND(L109*L110+L109,2)</f>
        <v>531.96</v>
      </c>
    </row>
    <row r="112" spans="1:12" ht="13.15" customHeight="1" x14ac:dyDescent="0.25">
      <c r="A112" s="83"/>
      <c r="B112" s="101"/>
      <c r="C112" s="92" t="s">
        <v>132</v>
      </c>
      <c r="D112" s="92"/>
      <c r="E112" s="92"/>
      <c r="F112" s="92"/>
      <c r="G112" s="100"/>
      <c r="H112" s="100"/>
      <c r="I112" s="94"/>
      <c r="J112" s="102">
        <v>1</v>
      </c>
      <c r="K112" s="102">
        <v>1</v>
      </c>
      <c r="L112" s="102">
        <v>1</v>
      </c>
    </row>
    <row r="113" spans="1:12" ht="13.15" customHeight="1" x14ac:dyDescent="0.25">
      <c r="A113" s="83"/>
      <c r="B113" s="96" t="s">
        <v>133</v>
      </c>
      <c r="C113" s="98"/>
      <c r="D113" s="98"/>
      <c r="E113" s="98"/>
      <c r="F113" s="98"/>
      <c r="G113" s="99"/>
      <c r="H113" s="99"/>
      <c r="I113" s="81">
        <f ca="1">J113+K113+L113</f>
        <v>3395.1400000000003</v>
      </c>
      <c r="J113" s="82">
        <f ca="1">ROUND(J112*J111,2)</f>
        <v>1372.65</v>
      </c>
      <c r="K113" s="82">
        <f ca="1">ROUND(K112*K111,2)</f>
        <v>1490.53</v>
      </c>
      <c r="L113" s="82">
        <f ca="1">ROUND(L112*L111,2)</f>
        <v>531.96</v>
      </c>
    </row>
    <row r="114" spans="1:12" ht="13.15" customHeight="1" x14ac:dyDescent="0.25">
      <c r="A114" s="83"/>
      <c r="B114" s="1"/>
      <c r="C114" s="85" t="s">
        <v>134</v>
      </c>
      <c r="D114" s="1"/>
      <c r="E114" s="1"/>
      <c r="F114" s="1"/>
      <c r="G114" s="1"/>
      <c r="H114" s="85"/>
      <c r="I114" s="81">
        <f ca="1">ROUND((J104*J105+J104)*J114,2)</f>
        <v>288.43</v>
      </c>
      <c r="J114" s="95">
        <v>0.3</v>
      </c>
      <c r="K114" s="87"/>
      <c r="L114" s="87"/>
    </row>
    <row r="115" spans="1:12" ht="13.15" customHeight="1" x14ac:dyDescent="0.25">
      <c r="A115" s="83"/>
      <c r="B115" s="103"/>
      <c r="C115" s="100" t="s">
        <v>135</v>
      </c>
      <c r="D115" s="92"/>
      <c r="E115" s="92"/>
      <c r="F115" s="92"/>
      <c r="G115" s="92"/>
      <c r="H115" s="93"/>
      <c r="I115" s="94">
        <f ca="1">ROUND(J115*(ROUND(J114*(J104+J105*J104),2)+J113),2)+ROUND(K115*(ROUND(K113,2)),2)+ROUND(L115*(ROUND(L113,2)),2)</f>
        <v>184.17999999999998</v>
      </c>
      <c r="J115" s="86">
        <v>0.05</v>
      </c>
      <c r="K115" s="86">
        <v>0.05</v>
      </c>
      <c r="L115" s="86">
        <v>0.05</v>
      </c>
    </row>
    <row r="116" spans="1:12" ht="13.15" customHeight="1" x14ac:dyDescent="0.25">
      <c r="A116" s="83"/>
      <c r="B116" s="96" t="s">
        <v>136</v>
      </c>
      <c r="C116" s="98"/>
      <c r="D116" s="98"/>
      <c r="E116" s="98"/>
      <c r="F116" s="98"/>
      <c r="G116" s="99"/>
      <c r="H116" s="99"/>
      <c r="I116" s="104">
        <f ca="1">J116+K116+L116</f>
        <v>3867.75</v>
      </c>
      <c r="J116" s="82">
        <f ca="1">ROUND(J115*(ROUND(J114*(J104+J105*J104),2)+J113)+(ROUND(J114*(J104+J105*J104),2)+J113),2)</f>
        <v>1744.13</v>
      </c>
      <c r="K116" s="82">
        <f ca="1">ROUND(K115*K113,2)+K113</f>
        <v>1565.06</v>
      </c>
      <c r="L116" s="82">
        <f ca="1">ROUND(L115*L113,2)+L113</f>
        <v>558.56000000000006</v>
      </c>
    </row>
    <row r="117" spans="1:12" ht="13.15" customHeight="1" x14ac:dyDescent="0.25">
      <c r="A117" s="83"/>
      <c r="B117" s="101"/>
      <c r="C117" s="92" t="s">
        <v>137</v>
      </c>
      <c r="D117" s="105"/>
      <c r="E117" s="92"/>
      <c r="F117" s="92"/>
      <c r="G117" s="100"/>
      <c r="H117" s="93"/>
      <c r="I117" s="106">
        <f ca="1">ROUND(J116*J117+K116*K117+L116*L117,2)</f>
        <v>812.23</v>
      </c>
      <c r="J117" s="107">
        <v>0.21</v>
      </c>
      <c r="K117" s="107">
        <v>0.21</v>
      </c>
      <c r="L117" s="107">
        <v>0.21</v>
      </c>
    </row>
    <row r="118" spans="1:12" ht="13.15" customHeight="1" x14ac:dyDescent="0.25">
      <c r="A118" s="83"/>
      <c r="B118" s="96" t="s">
        <v>138</v>
      </c>
      <c r="C118" s="108"/>
      <c r="D118" s="98"/>
      <c r="E118" s="98"/>
      <c r="F118" s="98"/>
      <c r="G118" s="98"/>
      <c r="H118" s="98"/>
      <c r="I118" s="104">
        <f ca="1">I116+I117</f>
        <v>4679.9799999999996</v>
      </c>
      <c r="J118" s="82">
        <f ca="1">IF(J116&lt;&gt;0,I118-K118-L118,0)</f>
        <v>2110.3999999999992</v>
      </c>
      <c r="K118" s="82">
        <f ca="1">ROUND(K117*K116+K116,2)</f>
        <v>1893.72</v>
      </c>
      <c r="L118" s="82">
        <f ca="1">ROUND(L117*L116+L116,2)</f>
        <v>675.86</v>
      </c>
    </row>
    <row r="119" spans="1:12" ht="13.15" customHeight="1" x14ac:dyDescent="0.25">
      <c r="A119" s="83"/>
      <c r="B119" s="2"/>
      <c r="C119" s="109"/>
      <c r="D119" s="110"/>
      <c r="E119" s="98"/>
      <c r="F119" s="98"/>
      <c r="G119" s="98"/>
      <c r="H119" s="98"/>
      <c r="I119" s="98"/>
      <c r="J119" s="98"/>
      <c r="K119" s="98"/>
      <c r="L119" s="98"/>
    </row>
    <row r="120" spans="1:12" ht="13.15" customHeight="1" x14ac:dyDescent="0.25">
      <c r="A120" s="83"/>
      <c r="B120" s="83"/>
      <c r="C120" s="1"/>
      <c r="D120" s="83"/>
      <c r="E120" s="98"/>
      <c r="F120" s="98"/>
      <c r="G120" s="98"/>
      <c r="H120" s="98"/>
      <c r="I120" s="98"/>
      <c r="J120" s="98"/>
      <c r="K120" s="98"/>
      <c r="L120" s="98"/>
    </row>
    <row r="121" spans="1:12" ht="13.15" customHeight="1" x14ac:dyDescent="0.25">
      <c r="A121" s="83"/>
      <c r="B121" s="83"/>
      <c r="C121" s="83"/>
      <c r="D121" s="1"/>
      <c r="E121" s="1"/>
      <c r="F121" s="1"/>
      <c r="G121" s="1"/>
      <c r="H121" s="111"/>
      <c r="I121" s="1"/>
      <c r="J121" s="1"/>
      <c r="K121" s="1"/>
      <c r="L121" s="1"/>
    </row>
  </sheetData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3"/>
  <sheetViews>
    <sheetView tabSelected="1" topLeftCell="A29" workbookViewId="0">
      <selection activeCell="I34" sqref="I34"/>
    </sheetView>
  </sheetViews>
  <sheetFormatPr defaultColWidth="8.85546875" defaultRowHeight="13.5" x14ac:dyDescent="0.2"/>
  <cols>
    <col min="1" max="1" width="4.5703125" style="119" customWidth="1"/>
    <col min="2" max="2" width="9" style="119" customWidth="1"/>
    <col min="3" max="3" width="34.28515625" style="119" customWidth="1"/>
    <col min="4" max="4" width="7.140625" style="119" customWidth="1"/>
    <col min="5" max="5" width="8.28515625" style="119" customWidth="1"/>
    <col min="6" max="6" width="9.7109375" style="119" customWidth="1"/>
    <col min="7" max="7" width="10.42578125" style="119" customWidth="1"/>
    <col min="8" max="8" width="9.7109375" style="119" customWidth="1"/>
    <col min="9" max="9" width="9.7109375" style="120" customWidth="1"/>
    <col min="10" max="10" width="11.5703125" style="119" customWidth="1"/>
    <col min="11" max="16384" width="8.85546875" style="119"/>
  </cols>
  <sheetData>
    <row r="1" spans="1:11" x14ac:dyDescent="0.2">
      <c r="A1" s="154" t="s">
        <v>177</v>
      </c>
      <c r="B1" s="155"/>
      <c r="C1" s="154"/>
      <c r="D1" s="156"/>
      <c r="E1" s="156"/>
      <c r="F1" s="157"/>
      <c r="H1" s="152"/>
      <c r="I1" s="152"/>
      <c r="J1" s="158" t="s">
        <v>161</v>
      </c>
    </row>
    <row r="2" spans="1:11" x14ac:dyDescent="0.2">
      <c r="A2" s="154"/>
      <c r="B2" s="186" t="s">
        <v>176</v>
      </c>
      <c r="C2" s="154"/>
      <c r="D2" s="156"/>
      <c r="E2" s="156"/>
      <c r="F2" s="157"/>
      <c r="H2" s="152"/>
      <c r="I2" s="152"/>
      <c r="J2" s="158"/>
    </row>
    <row r="3" spans="1:11" x14ac:dyDescent="0.2">
      <c r="A3" s="159"/>
      <c r="B3" s="160" t="s">
        <v>162</v>
      </c>
      <c r="C3" s="161"/>
      <c r="D3" s="156"/>
      <c r="E3" s="156"/>
      <c r="F3" s="156"/>
      <c r="G3" s="157"/>
      <c r="H3" s="153"/>
      <c r="I3" s="153"/>
    </row>
    <row r="4" spans="1:11" x14ac:dyDescent="0.2">
      <c r="A4" s="162"/>
      <c r="B4" s="163" t="s">
        <v>163</v>
      </c>
      <c r="C4" s="156"/>
      <c r="D4" s="156"/>
      <c r="E4" s="156"/>
      <c r="F4" s="156"/>
      <c r="G4" s="157"/>
      <c r="H4" s="153"/>
      <c r="I4" s="153"/>
    </row>
    <row r="5" spans="1:11" x14ac:dyDescent="0.2">
      <c r="A5" s="162"/>
      <c r="B5" s="163" t="s">
        <v>164</v>
      </c>
      <c r="C5" s="156"/>
      <c r="D5" s="156"/>
      <c r="E5" s="156"/>
      <c r="F5" s="156"/>
      <c r="G5" s="157"/>
      <c r="H5" s="153"/>
      <c r="I5" s="153"/>
    </row>
    <row r="6" spans="1:11" x14ac:dyDescent="0.2">
      <c r="A6" s="164" t="s">
        <v>165</v>
      </c>
      <c r="B6" s="156"/>
      <c r="C6" s="161"/>
      <c r="D6" s="156"/>
      <c r="E6" s="156"/>
      <c r="F6" s="156"/>
      <c r="G6" s="157"/>
      <c r="H6" s="153"/>
      <c r="I6" s="153"/>
    </row>
    <row r="7" spans="1:11" x14ac:dyDescent="0.2">
      <c r="A7" s="159"/>
      <c r="B7" s="156" t="s">
        <v>166</v>
      </c>
      <c r="C7" s="161"/>
      <c r="D7" s="156"/>
      <c r="E7" s="156"/>
      <c r="F7" s="156"/>
      <c r="G7" s="157"/>
      <c r="H7" s="153"/>
      <c r="I7" s="153"/>
    </row>
    <row r="8" spans="1:11" x14ac:dyDescent="0.2">
      <c r="A8" s="162"/>
      <c r="B8" s="165" t="s">
        <v>167</v>
      </c>
      <c r="C8" s="166"/>
      <c r="D8" s="156"/>
      <c r="E8" s="156"/>
      <c r="F8" s="156"/>
      <c r="G8" s="157"/>
      <c r="H8" s="153"/>
      <c r="I8" s="153"/>
    </row>
    <row r="9" spans="1:11" x14ac:dyDescent="0.2">
      <c r="A9" s="162"/>
      <c r="B9" s="167" t="s">
        <v>168</v>
      </c>
      <c r="C9" s="156"/>
      <c r="D9" s="156"/>
      <c r="E9" s="156"/>
      <c r="F9" s="156"/>
      <c r="G9" s="157"/>
      <c r="H9" s="153"/>
      <c r="I9" s="153"/>
    </row>
    <row r="10" spans="1:11" x14ac:dyDescent="0.2">
      <c r="A10" s="168" t="s">
        <v>169</v>
      </c>
      <c r="B10" s="169"/>
      <c r="C10" s="170"/>
      <c r="D10" s="156"/>
      <c r="E10" s="156"/>
      <c r="F10" s="156"/>
      <c r="G10" s="157"/>
      <c r="H10" s="153"/>
      <c r="I10" s="153"/>
    </row>
    <row r="11" spans="1:11" x14ac:dyDescent="0.2">
      <c r="A11" s="168" t="s">
        <v>170</v>
      </c>
      <c r="B11" s="169"/>
      <c r="C11" s="170"/>
      <c r="D11" s="156"/>
      <c r="E11" s="156"/>
      <c r="F11" s="156"/>
      <c r="G11" s="157"/>
    </row>
    <row r="12" spans="1:11" x14ac:dyDescent="0.2">
      <c r="A12" s="171"/>
      <c r="B12" s="188" t="s">
        <v>171</v>
      </c>
      <c r="C12" s="188"/>
      <c r="D12" s="188"/>
      <c r="E12" s="188"/>
      <c r="F12" s="188"/>
      <c r="G12" s="188"/>
      <c r="H12" s="188"/>
      <c r="I12" s="188"/>
    </row>
    <row r="13" spans="1:11" ht="18" customHeight="1" x14ac:dyDescent="0.2">
      <c r="A13" s="171"/>
      <c r="B13" s="187" t="s">
        <v>173</v>
      </c>
      <c r="C13" s="187"/>
      <c r="D13" s="187"/>
      <c r="E13" s="187"/>
      <c r="F13" s="187"/>
      <c r="G13" s="187"/>
      <c r="H13" s="187"/>
      <c r="I13" s="187"/>
    </row>
    <row r="14" spans="1:11" ht="15.75" x14ac:dyDescent="0.2">
      <c r="A14" s="171"/>
      <c r="B14" s="173"/>
      <c r="C14" s="173"/>
      <c r="D14" s="173"/>
      <c r="E14" s="173"/>
      <c r="F14" s="173"/>
      <c r="G14" s="172"/>
      <c r="H14" s="140"/>
      <c r="I14" s="141"/>
      <c r="J14" s="140"/>
      <c r="K14" s="127"/>
    </row>
    <row r="15" spans="1:11" x14ac:dyDescent="0.2">
      <c r="A15" s="174"/>
      <c r="B15" s="189" t="s">
        <v>178</v>
      </c>
      <c r="C15" s="189"/>
      <c r="D15" s="189"/>
      <c r="E15" s="189"/>
      <c r="F15" s="189"/>
      <c r="G15" s="189"/>
      <c r="H15" s="189"/>
      <c r="I15" s="189"/>
      <c r="J15" s="142"/>
      <c r="K15" s="127"/>
    </row>
    <row r="16" spans="1:11" x14ac:dyDescent="0.2">
      <c r="A16" s="180"/>
      <c r="B16" s="181"/>
      <c r="C16" s="175"/>
      <c r="D16" s="175"/>
      <c r="E16" s="176"/>
      <c r="F16" s="177"/>
      <c r="G16" s="157"/>
      <c r="H16" s="1"/>
      <c r="I16" s="177" t="s">
        <v>172</v>
      </c>
      <c r="J16" s="157"/>
      <c r="K16" s="127"/>
    </row>
    <row r="17" spans="1:11" x14ac:dyDescent="0.2">
      <c r="A17" s="129" t="s">
        <v>139</v>
      </c>
      <c r="B17" s="129" t="s">
        <v>141</v>
      </c>
      <c r="C17" s="129" t="s">
        <v>144</v>
      </c>
      <c r="D17" s="129" t="s">
        <v>147</v>
      </c>
      <c r="E17" s="130"/>
      <c r="F17" s="133"/>
      <c r="G17" s="134" t="s">
        <v>151</v>
      </c>
      <c r="H17" s="135"/>
      <c r="I17" s="136"/>
      <c r="J17" s="130"/>
      <c r="K17" s="127"/>
    </row>
    <row r="18" spans="1:11" ht="27" x14ac:dyDescent="0.2">
      <c r="A18" s="128" t="s">
        <v>5</v>
      </c>
      <c r="B18" s="128" t="s">
        <v>142</v>
      </c>
      <c r="C18" s="128" t="s">
        <v>145</v>
      </c>
      <c r="D18" s="128" t="s">
        <v>148</v>
      </c>
      <c r="E18" s="131" t="s">
        <v>12</v>
      </c>
      <c r="F18" s="132" t="s">
        <v>155</v>
      </c>
      <c r="G18" s="129" t="s">
        <v>14</v>
      </c>
      <c r="H18" s="129" t="s">
        <v>15</v>
      </c>
      <c r="I18" s="130" t="s">
        <v>16</v>
      </c>
      <c r="J18" s="131" t="s">
        <v>157</v>
      </c>
      <c r="K18" s="127"/>
    </row>
    <row r="19" spans="1:11" x14ac:dyDescent="0.2">
      <c r="A19" s="137" t="s">
        <v>140</v>
      </c>
      <c r="B19" s="137" t="s">
        <v>143</v>
      </c>
      <c r="C19" s="137" t="s">
        <v>146</v>
      </c>
      <c r="D19" s="137" t="s">
        <v>149</v>
      </c>
      <c r="E19" s="138" t="s">
        <v>150</v>
      </c>
      <c r="F19" s="139" t="s">
        <v>156</v>
      </c>
      <c r="G19" s="137" t="s">
        <v>152</v>
      </c>
      <c r="H19" s="137" t="s">
        <v>153</v>
      </c>
      <c r="I19" s="138" t="s">
        <v>154</v>
      </c>
      <c r="J19" s="138" t="s">
        <v>158</v>
      </c>
      <c r="K19" s="127"/>
    </row>
    <row r="20" spans="1:11" ht="42" customHeight="1" x14ac:dyDescent="0.2">
      <c r="A20" s="148">
        <v>1</v>
      </c>
      <c r="B20" s="148" t="s">
        <v>18</v>
      </c>
      <c r="C20" s="148" t="s">
        <v>17</v>
      </c>
      <c r="D20" s="149" t="s">
        <v>19</v>
      </c>
      <c r="E20" s="150">
        <v>8.4</v>
      </c>
      <c r="F20" s="190">
        <v>31.729000000000003</v>
      </c>
      <c r="G20" s="151">
        <v>266.52</v>
      </c>
      <c r="H20" s="151">
        <v>0</v>
      </c>
      <c r="I20" s="151">
        <v>0</v>
      </c>
      <c r="J20" s="151">
        <f t="shared" ref="J20:J32" si="0">ROUND(F20*E20,2)</f>
        <v>266.52</v>
      </c>
      <c r="K20" s="127"/>
    </row>
    <row r="21" spans="1:11" ht="42.75" customHeight="1" x14ac:dyDescent="0.2">
      <c r="A21" s="148">
        <v>2</v>
      </c>
      <c r="B21" s="148" t="s">
        <v>23</v>
      </c>
      <c r="C21" s="148" t="s">
        <v>22</v>
      </c>
      <c r="D21" s="149" t="s">
        <v>24</v>
      </c>
      <c r="E21" s="150">
        <v>0.43</v>
      </c>
      <c r="F21" s="190">
        <v>190.53488372093022</v>
      </c>
      <c r="G21" s="151">
        <v>3.57</v>
      </c>
      <c r="H21" s="151">
        <v>0</v>
      </c>
      <c r="I21" s="151">
        <v>78.36</v>
      </c>
      <c r="J21" s="151">
        <f t="shared" si="0"/>
        <v>81.93</v>
      </c>
      <c r="K21" s="127"/>
    </row>
    <row r="22" spans="1:11" ht="40.5" customHeight="1" x14ac:dyDescent="0.2">
      <c r="A22" s="148">
        <v>3</v>
      </c>
      <c r="B22" s="148" t="s">
        <v>36</v>
      </c>
      <c r="C22" s="148" t="s">
        <v>35</v>
      </c>
      <c r="D22" s="149" t="s">
        <v>37</v>
      </c>
      <c r="E22" s="150">
        <v>14</v>
      </c>
      <c r="F22" s="190">
        <v>2.7878571428571428</v>
      </c>
      <c r="G22" s="151">
        <v>39.03</v>
      </c>
      <c r="H22" s="151">
        <v>0</v>
      </c>
      <c r="I22" s="151">
        <v>0</v>
      </c>
      <c r="J22" s="151">
        <f t="shared" si="0"/>
        <v>39.03</v>
      </c>
      <c r="K22" s="127"/>
    </row>
    <row r="23" spans="1:11" ht="54" customHeight="1" x14ac:dyDescent="0.2">
      <c r="A23" s="148">
        <v>4</v>
      </c>
      <c r="B23" s="148" t="s">
        <v>40</v>
      </c>
      <c r="C23" s="148" t="s">
        <v>39</v>
      </c>
      <c r="D23" s="149" t="s">
        <v>41</v>
      </c>
      <c r="E23" s="150">
        <v>2</v>
      </c>
      <c r="F23" s="190">
        <v>155.88500000000002</v>
      </c>
      <c r="G23" s="151">
        <v>104.31</v>
      </c>
      <c r="H23" s="151">
        <v>168.02</v>
      </c>
      <c r="I23" s="151">
        <v>39.44</v>
      </c>
      <c r="J23" s="151">
        <f t="shared" si="0"/>
        <v>311.77</v>
      </c>
      <c r="K23" s="127"/>
    </row>
    <row r="24" spans="1:11" ht="40.5" x14ac:dyDescent="0.2">
      <c r="A24" s="148">
        <v>5</v>
      </c>
      <c r="B24" s="148" t="s">
        <v>62</v>
      </c>
      <c r="C24" s="148" t="s">
        <v>61</v>
      </c>
      <c r="D24" s="149" t="s">
        <v>41</v>
      </c>
      <c r="E24" s="150">
        <v>2</v>
      </c>
      <c r="F24" s="190">
        <v>77.72</v>
      </c>
      <c r="G24" s="151">
        <v>85.64</v>
      </c>
      <c r="H24" s="151">
        <v>18.73</v>
      </c>
      <c r="I24" s="151">
        <v>51.07</v>
      </c>
      <c r="J24" s="151">
        <f t="shared" si="0"/>
        <v>155.44</v>
      </c>
    </row>
    <row r="25" spans="1:11" ht="40.5" x14ac:dyDescent="0.2">
      <c r="A25" s="148">
        <v>6</v>
      </c>
      <c r="B25" s="148" t="s">
        <v>70</v>
      </c>
      <c r="C25" s="148" t="s">
        <v>69</v>
      </c>
      <c r="D25" s="149" t="s">
        <v>59</v>
      </c>
      <c r="E25" s="150">
        <v>6</v>
      </c>
      <c r="F25" s="190">
        <v>35.504583333333336</v>
      </c>
      <c r="G25" s="151">
        <v>50.85</v>
      </c>
      <c r="H25" s="151">
        <v>133.86000000000001</v>
      </c>
      <c r="I25" s="151">
        <v>28.32</v>
      </c>
      <c r="J25" s="151">
        <f t="shared" si="0"/>
        <v>213.03</v>
      </c>
    </row>
    <row r="26" spans="1:11" ht="27" x14ac:dyDescent="0.2">
      <c r="A26" s="148">
        <v>7</v>
      </c>
      <c r="B26" s="148" t="s">
        <v>86</v>
      </c>
      <c r="C26" s="148" t="s">
        <v>85</v>
      </c>
      <c r="D26" s="149" t="s">
        <v>41</v>
      </c>
      <c r="E26" s="150">
        <v>4</v>
      </c>
      <c r="F26" s="190">
        <v>93.397500000000008</v>
      </c>
      <c r="G26" s="151">
        <v>92.06</v>
      </c>
      <c r="H26" s="151">
        <v>237.02</v>
      </c>
      <c r="I26" s="151">
        <v>44.51</v>
      </c>
      <c r="J26" s="151">
        <f t="shared" si="0"/>
        <v>373.59</v>
      </c>
    </row>
    <row r="27" spans="1:11" ht="27" x14ac:dyDescent="0.2">
      <c r="A27" s="148">
        <v>8</v>
      </c>
      <c r="B27" s="148" t="s">
        <v>90</v>
      </c>
      <c r="C27" s="148" t="s">
        <v>89</v>
      </c>
      <c r="D27" s="149" t="s">
        <v>41</v>
      </c>
      <c r="E27" s="150">
        <v>7</v>
      </c>
      <c r="F27" s="190">
        <v>56.832500000000003</v>
      </c>
      <c r="G27" s="151">
        <v>122</v>
      </c>
      <c r="H27" s="151">
        <v>275.83</v>
      </c>
      <c r="I27" s="151">
        <v>0</v>
      </c>
      <c r="J27" s="151">
        <f t="shared" si="0"/>
        <v>397.83</v>
      </c>
    </row>
    <row r="28" spans="1:11" ht="40.5" x14ac:dyDescent="0.2">
      <c r="A28" s="148">
        <v>9</v>
      </c>
      <c r="B28" s="148" t="s">
        <v>93</v>
      </c>
      <c r="C28" s="148" t="s">
        <v>92</v>
      </c>
      <c r="D28" s="149" t="s">
        <v>19</v>
      </c>
      <c r="E28" s="150">
        <v>1</v>
      </c>
      <c r="F28" s="190">
        <v>85.53</v>
      </c>
      <c r="G28" s="151">
        <v>31.56</v>
      </c>
      <c r="H28" s="151">
        <v>17.190000000000001</v>
      </c>
      <c r="I28" s="151">
        <v>36.78</v>
      </c>
      <c r="J28" s="151">
        <f t="shared" si="0"/>
        <v>85.53</v>
      </c>
    </row>
    <row r="29" spans="1:11" ht="42" customHeight="1" x14ac:dyDescent="0.2">
      <c r="A29" s="148">
        <v>10</v>
      </c>
      <c r="B29" s="148" t="s">
        <v>104</v>
      </c>
      <c r="C29" s="148" t="s">
        <v>103</v>
      </c>
      <c r="D29" s="149" t="s">
        <v>105</v>
      </c>
      <c r="E29" s="150">
        <v>1.2</v>
      </c>
      <c r="F29" s="190">
        <v>184.25833333333333</v>
      </c>
      <c r="G29" s="151">
        <v>113.26</v>
      </c>
      <c r="H29" s="151">
        <v>75.37</v>
      </c>
      <c r="I29" s="151">
        <v>32.479999999999997</v>
      </c>
      <c r="J29" s="151">
        <f t="shared" si="0"/>
        <v>221.11</v>
      </c>
    </row>
    <row r="30" spans="1:11" ht="27" x14ac:dyDescent="0.2">
      <c r="A30" s="148">
        <v>11</v>
      </c>
      <c r="B30" s="148" t="s">
        <v>111</v>
      </c>
      <c r="C30" s="148" t="s">
        <v>110</v>
      </c>
      <c r="D30" s="149" t="s">
        <v>19</v>
      </c>
      <c r="E30" s="150">
        <v>8.3000000000000007</v>
      </c>
      <c r="F30" s="190">
        <v>8.2189999999999994</v>
      </c>
      <c r="G30" s="151">
        <v>59.75</v>
      </c>
      <c r="H30" s="151">
        <v>0</v>
      </c>
      <c r="I30" s="151">
        <v>8.4700000000000006</v>
      </c>
      <c r="J30" s="151">
        <f t="shared" si="0"/>
        <v>68.22</v>
      </c>
    </row>
    <row r="31" spans="1:11" ht="15.75" customHeight="1" x14ac:dyDescent="0.2">
      <c r="A31" s="148">
        <v>12</v>
      </c>
      <c r="B31" s="148" t="s">
        <v>115</v>
      </c>
      <c r="C31" s="148" t="s">
        <v>114</v>
      </c>
      <c r="D31" s="149" t="s">
        <v>19</v>
      </c>
      <c r="E31" s="150">
        <v>43</v>
      </c>
      <c r="F31" s="192">
        <v>5.3218604651162789</v>
      </c>
      <c r="G31" s="151">
        <v>124.64</v>
      </c>
      <c r="H31" s="151">
        <v>0</v>
      </c>
      <c r="I31" s="151">
        <v>104.2</v>
      </c>
      <c r="J31" s="151">
        <f t="shared" si="0"/>
        <v>228.84</v>
      </c>
    </row>
    <row r="32" spans="1:11" ht="40.5" x14ac:dyDescent="0.2">
      <c r="A32" s="148">
        <v>13</v>
      </c>
      <c r="B32" s="148" t="s">
        <v>121</v>
      </c>
      <c r="C32" s="148" t="s">
        <v>120</v>
      </c>
      <c r="D32" s="149" t="s">
        <v>32</v>
      </c>
      <c r="E32" s="150">
        <v>0.8</v>
      </c>
      <c r="F32" s="190">
        <v>29.75</v>
      </c>
      <c r="G32" s="151">
        <v>7.7</v>
      </c>
      <c r="H32" s="151">
        <v>0</v>
      </c>
      <c r="I32" s="151">
        <v>16.100000000000001</v>
      </c>
      <c r="J32" s="151">
        <f t="shared" si="0"/>
        <v>23.8</v>
      </c>
    </row>
    <row r="33" spans="1:12" x14ac:dyDescent="0.2">
      <c r="A33" s="98"/>
      <c r="B33" s="143" t="s">
        <v>124</v>
      </c>
      <c r="C33" s="99"/>
      <c r="D33" s="144"/>
      <c r="E33" s="99"/>
      <c r="F33" s="145"/>
      <c r="G33" s="146">
        <f>SUM(G$14:G32)</f>
        <v>1100.8900000000001</v>
      </c>
      <c r="H33" s="146">
        <f>SUM(H$14:H32)</f>
        <v>926.0200000000001</v>
      </c>
      <c r="I33" s="146">
        <f>SUM(I$14:I32)</f>
        <v>439.73000000000008</v>
      </c>
      <c r="J33" s="147">
        <f>SUM(J20:J32)</f>
        <v>2466.64</v>
      </c>
      <c r="L33" s="191"/>
    </row>
    <row r="34" spans="1:12" x14ac:dyDescent="0.2">
      <c r="A34" s="98"/>
      <c r="B34" s="122"/>
      <c r="C34" s="114" t="s">
        <v>137</v>
      </c>
      <c r="D34" s="115">
        <v>0.21</v>
      </c>
      <c r="E34" s="116"/>
      <c r="F34" s="125"/>
      <c r="G34" s="123"/>
      <c r="H34" s="124"/>
      <c r="I34" s="124"/>
      <c r="J34" s="121">
        <f>J33*D34</f>
        <v>517.99439999999993</v>
      </c>
    </row>
    <row r="35" spans="1:12" x14ac:dyDescent="0.2">
      <c r="A35" s="98"/>
      <c r="B35" s="126" t="s">
        <v>159</v>
      </c>
      <c r="C35" s="117"/>
      <c r="D35" s="118"/>
      <c r="E35" s="116"/>
      <c r="F35" s="125"/>
      <c r="G35" s="124"/>
      <c r="H35" s="123"/>
      <c r="I35" s="124"/>
      <c r="J35" s="121">
        <f>J33+J34</f>
        <v>2984.6343999999999</v>
      </c>
    </row>
    <row r="38" spans="1:12" x14ac:dyDescent="0.2">
      <c r="B38" s="153"/>
      <c r="C38" s="153"/>
      <c r="F38" s="153"/>
      <c r="G38" s="153"/>
      <c r="H38" s="153"/>
      <c r="I38" s="153"/>
      <c r="J38" s="153"/>
    </row>
    <row r="39" spans="1:12" x14ac:dyDescent="0.2">
      <c r="B39" s="153"/>
      <c r="C39" s="182" t="s">
        <v>174</v>
      </c>
      <c r="D39" s="183"/>
      <c r="E39" s="182"/>
      <c r="F39" s="182" t="s">
        <v>175</v>
      </c>
      <c r="G39" s="182"/>
      <c r="H39" s="153"/>
      <c r="I39" s="153"/>
      <c r="J39" s="153"/>
    </row>
    <row r="40" spans="1:12" ht="18.75" customHeight="1" x14ac:dyDescent="0.2">
      <c r="B40" s="178"/>
      <c r="C40" s="182"/>
      <c r="D40" s="183"/>
      <c r="E40" s="182"/>
      <c r="F40" s="182"/>
      <c r="G40" s="182"/>
      <c r="H40" s="153"/>
      <c r="I40" s="153"/>
      <c r="J40" s="153"/>
    </row>
    <row r="41" spans="1:12" x14ac:dyDescent="0.2">
      <c r="B41" s="179"/>
      <c r="C41" s="182"/>
      <c r="D41" s="184"/>
      <c r="E41" s="184"/>
      <c r="F41" s="184"/>
      <c r="G41" s="184"/>
      <c r="H41" s="179"/>
      <c r="I41" s="179"/>
      <c r="J41" s="179"/>
    </row>
    <row r="42" spans="1:12" ht="17.25" customHeight="1" x14ac:dyDescent="0.2">
      <c r="B42" s="153"/>
      <c r="C42" s="182"/>
      <c r="D42" s="184"/>
      <c r="E42" s="185"/>
      <c r="F42" s="185"/>
      <c r="G42" s="185"/>
      <c r="H42" s="153"/>
      <c r="I42" s="153"/>
      <c r="J42" s="153"/>
    </row>
    <row r="43" spans="1:12" x14ac:dyDescent="0.2">
      <c r="C43" s="182" t="s">
        <v>160</v>
      </c>
      <c r="D43" s="184"/>
      <c r="E43" s="185"/>
      <c r="F43" s="182"/>
      <c r="G43" s="185"/>
    </row>
  </sheetData>
  <mergeCells count="3">
    <mergeCell ref="B13:I13"/>
    <mergeCell ref="B12:I12"/>
    <mergeCell ref="B15:I15"/>
  </mergeCells>
  <pageMargins left="0.43307086614173229" right="0.23622047244094491" top="0.74803149606299213" bottom="0.74803149606299213" header="0.31496062992125984" footer="0.31496062992125984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2</vt:i4>
      </vt:variant>
    </vt:vector>
  </HeadingPairs>
  <TitlesOfParts>
    <vt:vector size="5" baseType="lpstr">
      <vt:lpstr>Detalus</vt:lpstr>
      <vt:lpstr>Glaustas</vt:lpstr>
      <vt:lpstr>Sheet3</vt:lpstr>
      <vt:lpstr>Detalus!Print_Area</vt:lpstr>
      <vt:lpstr>Detalus!Print_Titles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gmirkevic</dc:creator>
  <cp:lastModifiedBy>Inga</cp:lastModifiedBy>
  <cp:lastPrinted>2015-11-11T10:10:06Z</cp:lastPrinted>
  <dcterms:created xsi:type="dcterms:W3CDTF">2015-09-10T11:58:26Z</dcterms:created>
  <dcterms:modified xsi:type="dcterms:W3CDTF">2015-11-11T12:04:02Z</dcterms:modified>
</cp:coreProperties>
</file>