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" yWindow="492" windowWidth="11328" windowHeight="3600" tabRatio="785" firstSheet="35" activeTab="38"/>
  </bookViews>
  <sheets>
    <sheet name="nuskait_koreg_08_men" sheetId="195" r:id="rId1"/>
    <sheet name="SVD_patikrinimui" sheetId="165" r:id="rId2"/>
    <sheet name="SVD_0709" sheetId="186" r:id="rId3"/>
    <sheet name="SVD_0811" sheetId="193" r:id="rId4"/>
    <sheet name="SVD_0910" sheetId="202" r:id="rId5"/>
    <sheet name="SVD_1211" sheetId="225" r:id="rId6"/>
    <sheet name="SVD_0112" sheetId="232" r:id="rId7"/>
    <sheet name="grąžinimai" sheetId="150" r:id="rId8"/>
    <sheet name="e.shop_koregavimai" sheetId="217" r:id="rId9"/>
    <sheet name="epinig_koreg_12_men" sheetId="149" r:id="rId10"/>
    <sheet name="R_2014_01_atkelta(viso)" sheetId="143" r:id="rId11"/>
    <sheet name="R_2014_01_priskirta" sheetId="144" r:id="rId12"/>
    <sheet name="R_2014_1_iškelta" sheetId="145" r:id="rId13"/>
    <sheet name="R_2014_01_BENDRA" sheetId="146" r:id="rId14"/>
    <sheet name="R_2014_01_saskaitos" sheetId="147" r:id="rId15"/>
    <sheet name="epinig_koreg_02_men" sheetId="151" r:id="rId16"/>
    <sheet name="R_2014_02_atkelta(viso)" sheetId="152" r:id="rId17"/>
    <sheet name="R_2014_02_priskirta" sheetId="153" r:id="rId18"/>
    <sheet name="R_2014_2_iškelta" sheetId="154" r:id="rId19"/>
    <sheet name="R_2014_02_BENDRA" sheetId="155" r:id="rId20"/>
    <sheet name="R_2014_02_saskaitos" sheetId="156" r:id="rId21"/>
    <sheet name="epinig_koreg_03_men" sheetId="163" r:id="rId22"/>
    <sheet name="R_2014_03_atkelta(viso)" sheetId="158" r:id="rId23"/>
    <sheet name="R_2014_03_priskirta" sheetId="159" r:id="rId24"/>
    <sheet name="R_2014_3_iškelta" sheetId="160" r:id="rId25"/>
    <sheet name="R_2014_03_BENDRA " sheetId="161" r:id="rId26"/>
    <sheet name="R_2014_03_saskaitos" sheetId="162" r:id="rId27"/>
    <sheet name="nuskait_koreg_04_men" sheetId="166" r:id="rId28"/>
    <sheet name="R_2014_04_atkelta(viso)" sheetId="167" r:id="rId29"/>
    <sheet name="R_2014_04_priskirta" sheetId="168" r:id="rId30"/>
    <sheet name="R_2014_4_iškelta" sheetId="171" r:id="rId31"/>
    <sheet name="R_2014_04_BENDRA " sheetId="169" r:id="rId32"/>
    <sheet name="R_2014_04_saskaitos" sheetId="170" r:id="rId33"/>
    <sheet name="nuskait_koreg_05_men" sheetId="172" r:id="rId34"/>
    <sheet name="R_2014_05_atkelta(viso)" sheetId="174" r:id="rId35"/>
    <sheet name="R_2014_05_priskirta" sheetId="175" r:id="rId36"/>
    <sheet name="R_2014_5_iškelta" sheetId="176" r:id="rId37"/>
    <sheet name="R_2014_05_BENDRA" sheetId="177" r:id="rId38"/>
    <sheet name="R_2014_05_saskaitos" sheetId="178" r:id="rId39"/>
    <sheet name="nuskait_koreg_06_men" sheetId="179" r:id="rId40"/>
    <sheet name="R_2014_06_atkelta(viso)" sheetId="180" r:id="rId41"/>
    <sheet name="R_2014_06_priskirta" sheetId="181" r:id="rId42"/>
    <sheet name="R_2014_6_iškelta" sheetId="182" r:id="rId43"/>
    <sheet name="R_2014_06_BENDRA" sheetId="183" r:id="rId44"/>
    <sheet name="R_2014_06_saskaitos" sheetId="184" r:id="rId45"/>
    <sheet name="nuskait_koreg_07_men" sheetId="187" r:id="rId46"/>
    <sheet name="R_2014_07_priskirta" sheetId="189" r:id="rId47"/>
    <sheet name="R_2014_07_atkelta(viso)" sheetId="188" r:id="rId48"/>
    <sheet name="R_2014_7_iškelta" sheetId="190" r:id="rId49"/>
    <sheet name="R_2014_07_BENDRA" sheetId="191" r:id="rId50"/>
    <sheet name="R_2014_07_saskaitos" sheetId="192" r:id="rId51"/>
    <sheet name="nuskait_koreg_08_men_" sheetId="204" r:id="rId52"/>
    <sheet name="R_2014_08_priskirta" sheetId="196" r:id="rId53"/>
    <sheet name="R_2014_08_atkelta(viso)" sheetId="197" r:id="rId54"/>
    <sheet name="R_2014_8_iškelta" sheetId="198" r:id="rId55"/>
    <sheet name="R_2014_08_BENDRA" sheetId="199" r:id="rId56"/>
    <sheet name="R_2014_08_saskaitos" sheetId="200" r:id="rId57"/>
    <sheet name="nuskait_koreg_09_men" sheetId="203" r:id="rId58"/>
    <sheet name="R_2014_09_priskirta" sheetId="205" r:id="rId59"/>
    <sheet name="R_2014_09_atkelta(viso)" sheetId="206" r:id="rId60"/>
    <sheet name="R_2014_9_iškelta" sheetId="207" r:id="rId61"/>
    <sheet name="R_2014_09_BENDRA" sheetId="208" r:id="rId62"/>
    <sheet name="R_2014_09_saskaitos" sheetId="209" r:id="rId63"/>
    <sheet name="nuskait_koreg_10_men" sheetId="211" r:id="rId64"/>
    <sheet name="R_2014_10_priskirta" sheetId="212" r:id="rId65"/>
    <sheet name="R_2014_10_atkelta(viso)" sheetId="213" r:id="rId66"/>
    <sheet name="R_2014_10_iškelta" sheetId="214" r:id="rId67"/>
    <sheet name="R_2014_10_BENDRA" sheetId="215" r:id="rId68"/>
    <sheet name="R_2014_10_saskaitos" sheetId="216" r:id="rId69"/>
    <sheet name="nuskait_koreg_11_men" sheetId="218" r:id="rId70"/>
    <sheet name="R_2014_11_priskirta" sheetId="219" r:id="rId71"/>
    <sheet name="R_2014_11_atkelta(viso)" sheetId="220" r:id="rId72"/>
    <sheet name="R_2014_11_iškelta" sheetId="221" r:id="rId73"/>
    <sheet name="R_2014_11_BENDRA" sheetId="222" r:id="rId74"/>
    <sheet name="R_2014_11_saskaitos" sheetId="223" r:id="rId75"/>
    <sheet name="nuskait_koreg_12_men" sheetId="226" r:id="rId76"/>
    <sheet name="R_2014_12_priskirta" sheetId="227" r:id="rId77"/>
    <sheet name="R_2014_12_atkelta(viso)" sheetId="228" r:id="rId78"/>
    <sheet name="R_2014_12_iškelta" sheetId="229" r:id="rId79"/>
    <sheet name="R_2014_12_BENDRA" sheetId="230" r:id="rId80"/>
    <sheet name="R_2014_12_saskaitos" sheetId="231" r:id="rId81"/>
    <sheet name="R_2014_BENDRA " sheetId="98" r:id="rId82"/>
    <sheet name="R_2014_BENDRA_KOMPENSACIJOS" sheetId="134" r:id="rId83"/>
    <sheet name="R_2014_PAGAL_SASKAITAS (Lt)" sheetId="99" r:id="rId84"/>
    <sheet name="R_2014_PAGAL_SASKAITAS (vnt)" sheetId="136" r:id="rId85"/>
    <sheet name="R_2014_SASKAIT_KOMPENSACIJOS" sheetId="157" r:id="rId86"/>
    <sheet name="Sheet1" sheetId="194" r:id="rId87"/>
    <sheet name="09menkor" sheetId="210" r:id="rId88"/>
    <sheet name="Sheet2" sheetId="233" r:id="rId89"/>
    <sheet name="Sheet2 (2)" sheetId="234" r:id="rId90"/>
    <sheet name="bil.gamyba_platinimas" sheetId="235" r:id="rId91"/>
    <sheet name="Sheet3" sheetId="236" r:id="rId92"/>
  </sheets>
  <externalReferences>
    <externalReference r:id="rId93"/>
    <externalReference r:id="rId94"/>
  </externalReferences>
  <definedNames>
    <definedName name="A" localSheetId="15">'[1]Reglamentuotos ataskaitos'!#REF!</definedName>
    <definedName name="A" localSheetId="21">'[1]Reglamentuotos ataskaitos'!#REF!</definedName>
    <definedName name="A" localSheetId="27">'[1]Reglamentuotos ataskaitos'!#REF!</definedName>
    <definedName name="A" localSheetId="33">'[1]Reglamentuotos ataskaitos'!#REF!</definedName>
    <definedName name="A" localSheetId="39">'[1]Reglamentuotos ataskaitos'!#REF!</definedName>
    <definedName name="A" localSheetId="45">'[1]Reglamentuotos ataskaitos'!#REF!</definedName>
    <definedName name="A" localSheetId="0">'[1]Reglamentuotos ataskaitos'!#REF!</definedName>
    <definedName name="A" localSheetId="51">'[1]Reglamentuotos ataskaitos'!#REF!</definedName>
    <definedName name="A" localSheetId="57">'[1]Reglamentuotos ataskaitos'!#REF!</definedName>
    <definedName name="A" localSheetId="63">'[1]Reglamentuotos ataskaitos'!#REF!</definedName>
    <definedName name="A" localSheetId="69">'[1]Reglamentuotos ataskaitos'!#REF!</definedName>
    <definedName name="A" localSheetId="75">'[1]Reglamentuotos ataskaitos'!#REF!</definedName>
    <definedName name="A" localSheetId="10">'[1]Reglamentuotos ataskaitos'!#REF!</definedName>
    <definedName name="A" localSheetId="13">'[1]Reglamentuotos ataskaitos'!#REF!</definedName>
    <definedName name="A" localSheetId="11">'[1]Reglamentuotos ataskaitos'!#REF!</definedName>
    <definedName name="A" localSheetId="14">'[1]Reglamentuotos ataskaitos'!#REF!</definedName>
    <definedName name="A" localSheetId="16">'[1]Reglamentuotos ataskaitos'!#REF!</definedName>
    <definedName name="A" localSheetId="19">'[1]Reglamentuotos ataskaitos'!#REF!</definedName>
    <definedName name="A" localSheetId="17">'[1]Reglamentuotos ataskaitos'!#REF!</definedName>
    <definedName name="A" localSheetId="20">'[1]Reglamentuotos ataskaitos'!#REF!</definedName>
    <definedName name="A" localSheetId="22">'[1]Reglamentuotos ataskaitos'!#REF!</definedName>
    <definedName name="A" localSheetId="25">'[1]Reglamentuotos ataskaitos'!#REF!</definedName>
    <definedName name="A" localSheetId="23">'[1]Reglamentuotos ataskaitos'!#REF!</definedName>
    <definedName name="A" localSheetId="26">'[1]Reglamentuotos ataskaitos'!#REF!</definedName>
    <definedName name="A" localSheetId="28">'[1]Reglamentuotos ataskaitos'!#REF!</definedName>
    <definedName name="A" localSheetId="31">'[1]Reglamentuotos ataskaitos'!#REF!</definedName>
    <definedName name="A" localSheetId="29">'[1]Reglamentuotos ataskaitos'!#REF!</definedName>
    <definedName name="A" localSheetId="32">'[1]Reglamentuotos ataskaitos'!#REF!</definedName>
    <definedName name="A" localSheetId="34">'[1]Reglamentuotos ataskaitos'!#REF!</definedName>
    <definedName name="A" localSheetId="37">'[1]Reglamentuotos ataskaitos'!#REF!</definedName>
    <definedName name="A" localSheetId="35">'[1]Reglamentuotos ataskaitos'!#REF!</definedName>
    <definedName name="A" localSheetId="38">'[1]Reglamentuotos ataskaitos'!#REF!</definedName>
    <definedName name="A" localSheetId="40">'[1]Reglamentuotos ataskaitos'!#REF!</definedName>
    <definedName name="A" localSheetId="43">'[1]Reglamentuotos ataskaitos'!#REF!</definedName>
    <definedName name="A" localSheetId="41">'[1]Reglamentuotos ataskaitos'!#REF!</definedName>
    <definedName name="A" localSheetId="44">'[1]Reglamentuotos ataskaitos'!#REF!</definedName>
    <definedName name="A" localSheetId="47">'[1]Reglamentuotos ataskaitos'!#REF!</definedName>
    <definedName name="A" localSheetId="49">'[1]Reglamentuotos ataskaitos'!#REF!</definedName>
    <definedName name="A" localSheetId="46">'[1]Reglamentuotos ataskaitos'!#REF!</definedName>
    <definedName name="A" localSheetId="50">'[1]Reglamentuotos ataskaitos'!#REF!</definedName>
    <definedName name="A" localSheetId="53">'[1]Reglamentuotos ataskaitos'!#REF!</definedName>
    <definedName name="A" localSheetId="55">'[1]Reglamentuotos ataskaitos'!#REF!</definedName>
    <definedName name="A" localSheetId="52">'[1]Reglamentuotos ataskaitos'!#REF!</definedName>
    <definedName name="A" localSheetId="56">'[1]Reglamentuotos ataskaitos'!#REF!</definedName>
    <definedName name="A" localSheetId="59">'[1]Reglamentuotos ataskaitos'!#REF!</definedName>
    <definedName name="A" localSheetId="61">'[1]Reglamentuotos ataskaitos'!#REF!</definedName>
    <definedName name="A" localSheetId="58">'[1]Reglamentuotos ataskaitos'!#REF!</definedName>
    <definedName name="A" localSheetId="62">'[1]Reglamentuotos ataskaitos'!#REF!</definedName>
    <definedName name="A" localSheetId="12">'[1]Reglamentuotos ataskaitos'!#REF!</definedName>
    <definedName name="A" localSheetId="65">'[1]Reglamentuotos ataskaitos'!#REF!</definedName>
    <definedName name="A" localSheetId="67">'[1]Reglamentuotos ataskaitos'!#REF!</definedName>
    <definedName name="A" localSheetId="66">'[1]Reglamentuotos ataskaitos'!#REF!</definedName>
    <definedName name="A" localSheetId="64">'[1]Reglamentuotos ataskaitos'!#REF!</definedName>
    <definedName name="A" localSheetId="68">'[1]Reglamentuotos ataskaitos'!#REF!</definedName>
    <definedName name="A" localSheetId="71">'[1]Reglamentuotos ataskaitos'!#REF!</definedName>
    <definedName name="A" localSheetId="73">'[1]Reglamentuotos ataskaitos'!#REF!</definedName>
    <definedName name="A" localSheetId="72">'[1]Reglamentuotos ataskaitos'!#REF!</definedName>
    <definedName name="A" localSheetId="70">'[1]Reglamentuotos ataskaitos'!#REF!</definedName>
    <definedName name="A" localSheetId="74">'[1]Reglamentuotos ataskaitos'!#REF!</definedName>
    <definedName name="A" localSheetId="77">'[1]Reglamentuotos ataskaitos'!#REF!</definedName>
    <definedName name="A" localSheetId="79">'[1]Reglamentuotos ataskaitos'!#REF!</definedName>
    <definedName name="A" localSheetId="78">'[1]Reglamentuotos ataskaitos'!#REF!</definedName>
    <definedName name="A" localSheetId="76">'[1]Reglamentuotos ataskaitos'!#REF!</definedName>
    <definedName name="A" localSheetId="80">'[1]Reglamentuotos ataskaitos'!#REF!</definedName>
    <definedName name="A" localSheetId="18">'[1]Reglamentuotos ataskaitos'!#REF!</definedName>
    <definedName name="A" localSheetId="24">'[1]Reglamentuotos ataskaitos'!#REF!</definedName>
    <definedName name="A" localSheetId="30">'[1]Reglamentuotos ataskaitos'!#REF!</definedName>
    <definedName name="A" localSheetId="36">'[1]Reglamentuotos ataskaitos'!#REF!</definedName>
    <definedName name="A" localSheetId="42">'[1]Reglamentuotos ataskaitos'!#REF!</definedName>
    <definedName name="A" localSheetId="48">'[1]Reglamentuotos ataskaitos'!#REF!</definedName>
    <definedName name="A" localSheetId="54">'[1]Reglamentuotos ataskaitos'!#REF!</definedName>
    <definedName name="A" localSheetId="60">'[1]Reglamentuotos ataskaitos'!#REF!</definedName>
    <definedName name="A" localSheetId="81">'[1]Reglamentuotos ataskaitos'!#REF!</definedName>
    <definedName name="A" localSheetId="82">'[1]Reglamentuotos ataskaitos'!#REF!</definedName>
    <definedName name="A" localSheetId="83">'[1]Reglamentuotos ataskaitos'!#REF!</definedName>
    <definedName name="A" localSheetId="84">'[1]Reglamentuotos ataskaitos'!#REF!</definedName>
    <definedName name="A" localSheetId="85">'[1]Reglamentuotos ataskaitos'!#REF!</definedName>
    <definedName name="A" localSheetId="89">'[1]Reglamentuotos ataskaitos'!#REF!</definedName>
    <definedName name="A" localSheetId="5">'[1]Reglamentuotos ataskaitos'!#REF!</definedName>
    <definedName name="A">'[1]Reglamentuotos ataskaitos'!#REF!</definedName>
    <definedName name="B" localSheetId="15">'[1]Reglamentuotos ataskaitos'!#REF!</definedName>
    <definedName name="B" localSheetId="21">'[1]Reglamentuotos ataskaitos'!#REF!</definedName>
    <definedName name="B" localSheetId="27">'[1]Reglamentuotos ataskaitos'!#REF!</definedName>
    <definedName name="B" localSheetId="33">'[1]Reglamentuotos ataskaitos'!#REF!</definedName>
    <definedName name="B" localSheetId="39">'[1]Reglamentuotos ataskaitos'!#REF!</definedName>
    <definedName name="B" localSheetId="45">'[1]Reglamentuotos ataskaitos'!#REF!</definedName>
    <definedName name="B" localSheetId="0">'[1]Reglamentuotos ataskaitos'!#REF!</definedName>
    <definedName name="B" localSheetId="51">'[1]Reglamentuotos ataskaitos'!#REF!</definedName>
    <definedName name="B" localSheetId="57">'[1]Reglamentuotos ataskaitos'!#REF!</definedName>
    <definedName name="B" localSheetId="63">'[1]Reglamentuotos ataskaitos'!#REF!</definedName>
    <definedName name="B" localSheetId="69">'[1]Reglamentuotos ataskaitos'!#REF!</definedName>
    <definedName name="B" localSheetId="75">'[1]Reglamentuotos ataskaitos'!#REF!</definedName>
    <definedName name="B" localSheetId="10">'[1]Reglamentuotos ataskaitos'!#REF!</definedName>
    <definedName name="B" localSheetId="13">'[1]Reglamentuotos ataskaitos'!#REF!</definedName>
    <definedName name="B" localSheetId="11">'[1]Reglamentuotos ataskaitos'!#REF!</definedName>
    <definedName name="B" localSheetId="14">'[1]Reglamentuotos ataskaitos'!#REF!</definedName>
    <definedName name="B" localSheetId="16">'[1]Reglamentuotos ataskaitos'!#REF!</definedName>
    <definedName name="B" localSheetId="19">'[1]Reglamentuotos ataskaitos'!#REF!</definedName>
    <definedName name="B" localSheetId="17">'[1]Reglamentuotos ataskaitos'!#REF!</definedName>
    <definedName name="B" localSheetId="20">'[1]Reglamentuotos ataskaitos'!#REF!</definedName>
    <definedName name="B" localSheetId="22">'[1]Reglamentuotos ataskaitos'!#REF!</definedName>
    <definedName name="B" localSheetId="25">'[1]Reglamentuotos ataskaitos'!#REF!</definedName>
    <definedName name="B" localSheetId="23">'[1]Reglamentuotos ataskaitos'!#REF!</definedName>
    <definedName name="B" localSheetId="26">'[1]Reglamentuotos ataskaitos'!#REF!</definedName>
    <definedName name="B" localSheetId="28">'[1]Reglamentuotos ataskaitos'!#REF!</definedName>
    <definedName name="B" localSheetId="31">'[1]Reglamentuotos ataskaitos'!#REF!</definedName>
    <definedName name="B" localSheetId="29">'[1]Reglamentuotos ataskaitos'!#REF!</definedName>
    <definedName name="B" localSheetId="32">'[1]Reglamentuotos ataskaitos'!#REF!</definedName>
    <definedName name="B" localSheetId="34">'[1]Reglamentuotos ataskaitos'!#REF!</definedName>
    <definedName name="B" localSheetId="37">'[1]Reglamentuotos ataskaitos'!#REF!</definedName>
    <definedName name="B" localSheetId="35">'[1]Reglamentuotos ataskaitos'!#REF!</definedName>
    <definedName name="B" localSheetId="38">'[1]Reglamentuotos ataskaitos'!#REF!</definedName>
    <definedName name="B" localSheetId="40">'[1]Reglamentuotos ataskaitos'!#REF!</definedName>
    <definedName name="B" localSheetId="43">'[1]Reglamentuotos ataskaitos'!#REF!</definedName>
    <definedName name="B" localSheetId="41">'[1]Reglamentuotos ataskaitos'!#REF!</definedName>
    <definedName name="B" localSheetId="44">'[1]Reglamentuotos ataskaitos'!#REF!</definedName>
    <definedName name="B" localSheetId="47">'[1]Reglamentuotos ataskaitos'!#REF!</definedName>
    <definedName name="B" localSheetId="49">'[1]Reglamentuotos ataskaitos'!#REF!</definedName>
    <definedName name="B" localSheetId="46">'[1]Reglamentuotos ataskaitos'!#REF!</definedName>
    <definedName name="B" localSheetId="50">'[1]Reglamentuotos ataskaitos'!#REF!</definedName>
    <definedName name="B" localSheetId="53">'[1]Reglamentuotos ataskaitos'!#REF!</definedName>
    <definedName name="B" localSheetId="55">'[1]Reglamentuotos ataskaitos'!#REF!</definedName>
    <definedName name="B" localSheetId="52">'[1]Reglamentuotos ataskaitos'!#REF!</definedName>
    <definedName name="B" localSheetId="56">'[1]Reglamentuotos ataskaitos'!#REF!</definedName>
    <definedName name="B" localSheetId="59">'[1]Reglamentuotos ataskaitos'!#REF!</definedName>
    <definedName name="B" localSheetId="61">'[1]Reglamentuotos ataskaitos'!#REF!</definedName>
    <definedName name="B" localSheetId="58">'[1]Reglamentuotos ataskaitos'!#REF!</definedName>
    <definedName name="B" localSheetId="62">'[1]Reglamentuotos ataskaitos'!#REF!</definedName>
    <definedName name="B" localSheetId="12">'[1]Reglamentuotos ataskaitos'!#REF!</definedName>
    <definedName name="B" localSheetId="65">'[1]Reglamentuotos ataskaitos'!#REF!</definedName>
    <definedName name="B" localSheetId="67">'[1]Reglamentuotos ataskaitos'!#REF!</definedName>
    <definedName name="B" localSheetId="66">'[1]Reglamentuotos ataskaitos'!#REF!</definedName>
    <definedName name="B" localSheetId="64">'[1]Reglamentuotos ataskaitos'!#REF!</definedName>
    <definedName name="B" localSheetId="68">'[1]Reglamentuotos ataskaitos'!#REF!</definedName>
    <definedName name="B" localSheetId="71">'[1]Reglamentuotos ataskaitos'!#REF!</definedName>
    <definedName name="B" localSheetId="73">'[1]Reglamentuotos ataskaitos'!#REF!</definedName>
    <definedName name="B" localSheetId="72">'[1]Reglamentuotos ataskaitos'!#REF!</definedName>
    <definedName name="B" localSheetId="70">'[1]Reglamentuotos ataskaitos'!#REF!</definedName>
    <definedName name="B" localSheetId="74">'[1]Reglamentuotos ataskaitos'!#REF!</definedName>
    <definedName name="B" localSheetId="77">'[1]Reglamentuotos ataskaitos'!#REF!</definedName>
    <definedName name="B" localSheetId="79">'[1]Reglamentuotos ataskaitos'!#REF!</definedName>
    <definedName name="B" localSheetId="78">'[1]Reglamentuotos ataskaitos'!#REF!</definedName>
    <definedName name="B" localSheetId="76">'[1]Reglamentuotos ataskaitos'!#REF!</definedName>
    <definedName name="B" localSheetId="80">'[1]Reglamentuotos ataskaitos'!#REF!</definedName>
    <definedName name="B" localSheetId="18">'[1]Reglamentuotos ataskaitos'!#REF!</definedName>
    <definedName name="B" localSheetId="24">'[1]Reglamentuotos ataskaitos'!#REF!</definedName>
    <definedName name="B" localSheetId="30">'[1]Reglamentuotos ataskaitos'!#REF!</definedName>
    <definedName name="B" localSheetId="36">'[1]Reglamentuotos ataskaitos'!#REF!</definedName>
    <definedName name="B" localSheetId="42">'[1]Reglamentuotos ataskaitos'!#REF!</definedName>
    <definedName name="B" localSheetId="48">'[1]Reglamentuotos ataskaitos'!#REF!</definedName>
    <definedName name="B" localSheetId="54">'[1]Reglamentuotos ataskaitos'!#REF!</definedName>
    <definedName name="B" localSheetId="60">'[1]Reglamentuotos ataskaitos'!#REF!</definedName>
    <definedName name="B" localSheetId="81">'[1]Reglamentuotos ataskaitos'!#REF!</definedName>
    <definedName name="B" localSheetId="82">'[1]Reglamentuotos ataskaitos'!#REF!</definedName>
    <definedName name="B" localSheetId="83">'[1]Reglamentuotos ataskaitos'!#REF!</definedName>
    <definedName name="B" localSheetId="84">'[1]Reglamentuotos ataskaitos'!#REF!</definedName>
    <definedName name="B" localSheetId="85">'[1]Reglamentuotos ataskaitos'!#REF!</definedName>
    <definedName name="B" localSheetId="89">'[1]Reglamentuotos ataskaitos'!#REF!</definedName>
    <definedName name="B" localSheetId="5">'[1]Reglamentuotos ataskaitos'!#REF!</definedName>
    <definedName name="B">'[1]Reglamentuotos ataskaitos'!#REF!</definedName>
    <definedName name="D" localSheetId="15">'[1]Reglamentuotos ataskaitos'!#REF!</definedName>
    <definedName name="D" localSheetId="21">'[1]Reglamentuotos ataskaitos'!#REF!</definedName>
    <definedName name="D" localSheetId="27">'[1]Reglamentuotos ataskaitos'!#REF!</definedName>
    <definedName name="D" localSheetId="33">'[1]Reglamentuotos ataskaitos'!#REF!</definedName>
    <definedName name="D" localSheetId="39">'[1]Reglamentuotos ataskaitos'!#REF!</definedName>
    <definedName name="D" localSheetId="45">'[1]Reglamentuotos ataskaitos'!#REF!</definedName>
    <definedName name="D" localSheetId="0">'[1]Reglamentuotos ataskaitos'!#REF!</definedName>
    <definedName name="D" localSheetId="51">'[1]Reglamentuotos ataskaitos'!#REF!</definedName>
    <definedName name="D" localSheetId="57">'[1]Reglamentuotos ataskaitos'!#REF!</definedName>
    <definedName name="D" localSheetId="63">'[1]Reglamentuotos ataskaitos'!#REF!</definedName>
    <definedName name="D" localSheetId="69">'[1]Reglamentuotos ataskaitos'!#REF!</definedName>
    <definedName name="D" localSheetId="75">'[1]Reglamentuotos ataskaitos'!#REF!</definedName>
    <definedName name="D" localSheetId="10">'[1]Reglamentuotos ataskaitos'!#REF!</definedName>
    <definedName name="D" localSheetId="13">'[1]Reglamentuotos ataskaitos'!#REF!</definedName>
    <definedName name="D" localSheetId="11">'[1]Reglamentuotos ataskaitos'!#REF!</definedName>
    <definedName name="D" localSheetId="14">'[1]Reglamentuotos ataskaitos'!#REF!</definedName>
    <definedName name="D" localSheetId="16">'[1]Reglamentuotos ataskaitos'!#REF!</definedName>
    <definedName name="D" localSheetId="19">'[1]Reglamentuotos ataskaitos'!#REF!</definedName>
    <definedName name="D" localSheetId="17">'[1]Reglamentuotos ataskaitos'!#REF!</definedName>
    <definedName name="D" localSheetId="20">'[1]Reglamentuotos ataskaitos'!#REF!</definedName>
    <definedName name="D" localSheetId="22">'[1]Reglamentuotos ataskaitos'!#REF!</definedName>
    <definedName name="D" localSheetId="25">'[1]Reglamentuotos ataskaitos'!#REF!</definedName>
    <definedName name="D" localSheetId="23">'[1]Reglamentuotos ataskaitos'!#REF!</definedName>
    <definedName name="D" localSheetId="26">'[1]Reglamentuotos ataskaitos'!#REF!</definedName>
    <definedName name="D" localSheetId="28">'[1]Reglamentuotos ataskaitos'!#REF!</definedName>
    <definedName name="D" localSheetId="31">'[1]Reglamentuotos ataskaitos'!#REF!</definedName>
    <definedName name="D" localSheetId="29">'[1]Reglamentuotos ataskaitos'!#REF!</definedName>
    <definedName name="D" localSheetId="32">'[1]Reglamentuotos ataskaitos'!#REF!</definedName>
    <definedName name="D" localSheetId="34">'[1]Reglamentuotos ataskaitos'!#REF!</definedName>
    <definedName name="D" localSheetId="37">'[1]Reglamentuotos ataskaitos'!#REF!</definedName>
    <definedName name="D" localSheetId="35">'[1]Reglamentuotos ataskaitos'!#REF!</definedName>
    <definedName name="D" localSheetId="38">'[1]Reglamentuotos ataskaitos'!#REF!</definedName>
    <definedName name="D" localSheetId="40">'[1]Reglamentuotos ataskaitos'!#REF!</definedName>
    <definedName name="D" localSheetId="43">'[1]Reglamentuotos ataskaitos'!#REF!</definedName>
    <definedName name="D" localSheetId="41">'[1]Reglamentuotos ataskaitos'!#REF!</definedName>
    <definedName name="D" localSheetId="44">'[1]Reglamentuotos ataskaitos'!#REF!</definedName>
    <definedName name="D" localSheetId="47">'[1]Reglamentuotos ataskaitos'!#REF!</definedName>
    <definedName name="D" localSheetId="49">'[1]Reglamentuotos ataskaitos'!#REF!</definedName>
    <definedName name="D" localSheetId="46">'[1]Reglamentuotos ataskaitos'!#REF!</definedName>
    <definedName name="D" localSheetId="50">'[1]Reglamentuotos ataskaitos'!#REF!</definedName>
    <definedName name="D" localSheetId="53">'[1]Reglamentuotos ataskaitos'!#REF!</definedName>
    <definedName name="D" localSheetId="55">'[1]Reglamentuotos ataskaitos'!#REF!</definedName>
    <definedName name="D" localSheetId="52">'[1]Reglamentuotos ataskaitos'!#REF!</definedName>
    <definedName name="D" localSheetId="56">'[1]Reglamentuotos ataskaitos'!#REF!</definedName>
    <definedName name="D" localSheetId="59">'[1]Reglamentuotos ataskaitos'!#REF!</definedName>
    <definedName name="D" localSheetId="61">'[1]Reglamentuotos ataskaitos'!#REF!</definedName>
    <definedName name="D" localSheetId="58">'[1]Reglamentuotos ataskaitos'!#REF!</definedName>
    <definedName name="D" localSheetId="62">'[1]Reglamentuotos ataskaitos'!#REF!</definedName>
    <definedName name="D" localSheetId="12">'[1]Reglamentuotos ataskaitos'!#REF!</definedName>
    <definedName name="D" localSheetId="65">'[1]Reglamentuotos ataskaitos'!#REF!</definedName>
    <definedName name="D" localSheetId="67">'[1]Reglamentuotos ataskaitos'!#REF!</definedName>
    <definedName name="D" localSheetId="66">'[1]Reglamentuotos ataskaitos'!#REF!</definedName>
    <definedName name="D" localSheetId="64">'[1]Reglamentuotos ataskaitos'!#REF!</definedName>
    <definedName name="D" localSheetId="68">'[1]Reglamentuotos ataskaitos'!#REF!</definedName>
    <definedName name="D" localSheetId="71">'[1]Reglamentuotos ataskaitos'!#REF!</definedName>
    <definedName name="D" localSheetId="73">'[1]Reglamentuotos ataskaitos'!#REF!</definedName>
    <definedName name="D" localSheetId="72">'[1]Reglamentuotos ataskaitos'!#REF!</definedName>
    <definedName name="D" localSheetId="70">'[1]Reglamentuotos ataskaitos'!#REF!</definedName>
    <definedName name="D" localSheetId="74">'[1]Reglamentuotos ataskaitos'!#REF!</definedName>
    <definedName name="D" localSheetId="77">'[1]Reglamentuotos ataskaitos'!#REF!</definedName>
    <definedName name="D" localSheetId="79">'[1]Reglamentuotos ataskaitos'!#REF!</definedName>
    <definedName name="D" localSheetId="78">'[1]Reglamentuotos ataskaitos'!#REF!</definedName>
    <definedName name="D" localSheetId="76">'[1]Reglamentuotos ataskaitos'!#REF!</definedName>
    <definedName name="D" localSheetId="80">'[1]Reglamentuotos ataskaitos'!#REF!</definedName>
    <definedName name="D" localSheetId="18">'[1]Reglamentuotos ataskaitos'!#REF!</definedName>
    <definedName name="D" localSheetId="24">'[1]Reglamentuotos ataskaitos'!#REF!</definedName>
    <definedName name="D" localSheetId="30">'[1]Reglamentuotos ataskaitos'!#REF!</definedName>
    <definedName name="D" localSheetId="36">'[1]Reglamentuotos ataskaitos'!#REF!</definedName>
    <definedName name="D" localSheetId="42">'[1]Reglamentuotos ataskaitos'!#REF!</definedName>
    <definedName name="D" localSheetId="48">'[1]Reglamentuotos ataskaitos'!#REF!</definedName>
    <definedName name="D" localSheetId="54">'[1]Reglamentuotos ataskaitos'!#REF!</definedName>
    <definedName name="D" localSheetId="60">'[1]Reglamentuotos ataskaitos'!#REF!</definedName>
    <definedName name="D" localSheetId="81">'[1]Reglamentuotos ataskaitos'!#REF!</definedName>
    <definedName name="D" localSheetId="82">'[1]Reglamentuotos ataskaitos'!#REF!</definedName>
    <definedName name="D" localSheetId="83">'[1]Reglamentuotos ataskaitos'!#REF!</definedName>
    <definedName name="D" localSheetId="84">'[1]Reglamentuotos ataskaitos'!#REF!</definedName>
    <definedName name="D" localSheetId="85">'[1]Reglamentuotos ataskaitos'!#REF!</definedName>
    <definedName name="D" localSheetId="89">'[1]Reglamentuotos ataskaitos'!#REF!</definedName>
    <definedName name="D" localSheetId="5">'[1]Reglamentuotos ataskaitos'!#REF!</definedName>
    <definedName name="D">'[1]Reglamentuotos ataskaitos'!#REF!</definedName>
    <definedName name="Excel_BuiltIn_Print_Area_14" localSheetId="15">#REF!</definedName>
    <definedName name="Excel_BuiltIn_Print_Area_14" localSheetId="21">#REF!</definedName>
    <definedName name="Excel_BuiltIn_Print_Area_14" localSheetId="27">#REF!</definedName>
    <definedName name="Excel_BuiltIn_Print_Area_14" localSheetId="33">#REF!</definedName>
    <definedName name="Excel_BuiltIn_Print_Area_14" localSheetId="39">#REF!</definedName>
    <definedName name="Excel_BuiltIn_Print_Area_14" localSheetId="45">#REF!</definedName>
    <definedName name="Excel_BuiltIn_Print_Area_14" localSheetId="0">#REF!</definedName>
    <definedName name="Excel_BuiltIn_Print_Area_14" localSheetId="51">#REF!</definedName>
    <definedName name="Excel_BuiltIn_Print_Area_14" localSheetId="57">#REF!</definedName>
    <definedName name="Excel_BuiltIn_Print_Area_14" localSheetId="63">#REF!</definedName>
    <definedName name="Excel_BuiltIn_Print_Area_14" localSheetId="69">#REF!</definedName>
    <definedName name="Excel_BuiltIn_Print_Area_14" localSheetId="75">#REF!</definedName>
    <definedName name="Excel_BuiltIn_Print_Area_14" localSheetId="10">#REF!</definedName>
    <definedName name="Excel_BuiltIn_Print_Area_14" localSheetId="13">#REF!</definedName>
    <definedName name="Excel_BuiltIn_Print_Area_14" localSheetId="11">#REF!</definedName>
    <definedName name="Excel_BuiltIn_Print_Area_14" localSheetId="14">#REF!</definedName>
    <definedName name="Excel_BuiltIn_Print_Area_14" localSheetId="16">#REF!</definedName>
    <definedName name="Excel_BuiltIn_Print_Area_14" localSheetId="19">#REF!</definedName>
    <definedName name="Excel_BuiltIn_Print_Area_14" localSheetId="17">#REF!</definedName>
    <definedName name="Excel_BuiltIn_Print_Area_14" localSheetId="20">#REF!</definedName>
    <definedName name="Excel_BuiltIn_Print_Area_14" localSheetId="22">#REF!</definedName>
    <definedName name="Excel_BuiltIn_Print_Area_14" localSheetId="25">#REF!</definedName>
    <definedName name="Excel_BuiltIn_Print_Area_14" localSheetId="23">#REF!</definedName>
    <definedName name="Excel_BuiltIn_Print_Area_14" localSheetId="26">#REF!</definedName>
    <definedName name="Excel_BuiltIn_Print_Area_14" localSheetId="28">#REF!</definedName>
    <definedName name="Excel_BuiltIn_Print_Area_14" localSheetId="31">#REF!</definedName>
    <definedName name="Excel_BuiltIn_Print_Area_14" localSheetId="29">#REF!</definedName>
    <definedName name="Excel_BuiltIn_Print_Area_14" localSheetId="32">#REF!</definedName>
    <definedName name="Excel_BuiltIn_Print_Area_14" localSheetId="34">#REF!</definedName>
    <definedName name="Excel_BuiltIn_Print_Area_14" localSheetId="37">#REF!</definedName>
    <definedName name="Excel_BuiltIn_Print_Area_14" localSheetId="35">#REF!</definedName>
    <definedName name="Excel_BuiltIn_Print_Area_14" localSheetId="38">#REF!</definedName>
    <definedName name="Excel_BuiltIn_Print_Area_14" localSheetId="40">#REF!</definedName>
    <definedName name="Excel_BuiltIn_Print_Area_14" localSheetId="43">#REF!</definedName>
    <definedName name="Excel_BuiltIn_Print_Area_14" localSheetId="41">#REF!</definedName>
    <definedName name="Excel_BuiltIn_Print_Area_14" localSheetId="44">#REF!</definedName>
    <definedName name="Excel_BuiltIn_Print_Area_14" localSheetId="47">#REF!</definedName>
    <definedName name="Excel_BuiltIn_Print_Area_14" localSheetId="49">#REF!</definedName>
    <definedName name="Excel_BuiltIn_Print_Area_14" localSheetId="46">#REF!</definedName>
    <definedName name="Excel_BuiltIn_Print_Area_14" localSheetId="50">#REF!</definedName>
    <definedName name="Excel_BuiltIn_Print_Area_14" localSheetId="53">#REF!</definedName>
    <definedName name="Excel_BuiltIn_Print_Area_14" localSheetId="55">#REF!</definedName>
    <definedName name="Excel_BuiltIn_Print_Area_14" localSheetId="52">#REF!</definedName>
    <definedName name="Excel_BuiltIn_Print_Area_14" localSheetId="56">#REF!</definedName>
    <definedName name="Excel_BuiltIn_Print_Area_14" localSheetId="59">#REF!</definedName>
    <definedName name="Excel_BuiltIn_Print_Area_14" localSheetId="61">#REF!</definedName>
    <definedName name="Excel_BuiltIn_Print_Area_14" localSheetId="58">#REF!</definedName>
    <definedName name="Excel_BuiltIn_Print_Area_14" localSheetId="62">#REF!</definedName>
    <definedName name="Excel_BuiltIn_Print_Area_14" localSheetId="12">#REF!</definedName>
    <definedName name="Excel_BuiltIn_Print_Area_14" localSheetId="65">#REF!</definedName>
    <definedName name="Excel_BuiltIn_Print_Area_14" localSheetId="67">#REF!</definedName>
    <definedName name="Excel_BuiltIn_Print_Area_14" localSheetId="66">#REF!</definedName>
    <definedName name="Excel_BuiltIn_Print_Area_14" localSheetId="64">#REF!</definedName>
    <definedName name="Excel_BuiltIn_Print_Area_14" localSheetId="68">#REF!</definedName>
    <definedName name="Excel_BuiltIn_Print_Area_14" localSheetId="71">#REF!</definedName>
    <definedName name="Excel_BuiltIn_Print_Area_14" localSheetId="73">#REF!</definedName>
    <definedName name="Excel_BuiltIn_Print_Area_14" localSheetId="72">#REF!</definedName>
    <definedName name="Excel_BuiltIn_Print_Area_14" localSheetId="70">#REF!</definedName>
    <definedName name="Excel_BuiltIn_Print_Area_14" localSheetId="74">#REF!</definedName>
    <definedName name="Excel_BuiltIn_Print_Area_14" localSheetId="77">#REF!</definedName>
    <definedName name="Excel_BuiltIn_Print_Area_14" localSheetId="79">#REF!</definedName>
    <definedName name="Excel_BuiltIn_Print_Area_14" localSheetId="78">#REF!</definedName>
    <definedName name="Excel_BuiltIn_Print_Area_14" localSheetId="76">#REF!</definedName>
    <definedName name="Excel_BuiltIn_Print_Area_14" localSheetId="80">#REF!</definedName>
    <definedName name="Excel_BuiltIn_Print_Area_14" localSheetId="18">#REF!</definedName>
    <definedName name="Excel_BuiltIn_Print_Area_14" localSheetId="24">#REF!</definedName>
    <definedName name="Excel_BuiltIn_Print_Area_14" localSheetId="30">#REF!</definedName>
    <definedName name="Excel_BuiltIn_Print_Area_14" localSheetId="36">#REF!</definedName>
    <definedName name="Excel_BuiltIn_Print_Area_14" localSheetId="42">#REF!</definedName>
    <definedName name="Excel_BuiltIn_Print_Area_14" localSheetId="48">#REF!</definedName>
    <definedName name="Excel_BuiltIn_Print_Area_14" localSheetId="54">#REF!</definedName>
    <definedName name="Excel_BuiltIn_Print_Area_14" localSheetId="60">#REF!</definedName>
    <definedName name="Excel_BuiltIn_Print_Area_14" localSheetId="81">#REF!</definedName>
    <definedName name="Excel_BuiltIn_Print_Area_14" localSheetId="82">#REF!</definedName>
    <definedName name="Excel_BuiltIn_Print_Area_14" localSheetId="83">#REF!</definedName>
    <definedName name="Excel_BuiltIn_Print_Area_14" localSheetId="84">#REF!</definedName>
    <definedName name="Excel_BuiltIn_Print_Area_14" localSheetId="85">#REF!</definedName>
    <definedName name="Excel_BuiltIn_Print_Area_14" localSheetId="89">#REF!</definedName>
    <definedName name="Excel_BuiltIn_Print_Area_14" localSheetId="5">#REF!</definedName>
    <definedName name="Excel_BuiltIn_Print_Area_14">#REF!</definedName>
    <definedName name="I.T.75" localSheetId="15">#REF!</definedName>
    <definedName name="I.T.75" localSheetId="21">#REF!</definedName>
    <definedName name="I.T.75" localSheetId="27">#REF!</definedName>
    <definedName name="I.T.75" localSheetId="33">#REF!</definedName>
    <definedName name="I.T.75" localSheetId="39">#REF!</definedName>
    <definedName name="I.T.75" localSheetId="45">#REF!</definedName>
    <definedName name="I.T.75" localSheetId="0">#REF!</definedName>
    <definedName name="I.T.75" localSheetId="51">#REF!</definedName>
    <definedName name="I.T.75" localSheetId="57">#REF!</definedName>
    <definedName name="I.T.75" localSheetId="63">#REF!</definedName>
    <definedName name="I.T.75" localSheetId="69">#REF!</definedName>
    <definedName name="I.T.75" localSheetId="75">#REF!</definedName>
    <definedName name="I.T.75" localSheetId="10">#REF!</definedName>
    <definedName name="I.T.75" localSheetId="13">#REF!</definedName>
    <definedName name="I.T.75" localSheetId="11">#REF!</definedName>
    <definedName name="I.T.75" localSheetId="14">#REF!</definedName>
    <definedName name="I.T.75" localSheetId="16">#REF!</definedName>
    <definedName name="I.T.75" localSheetId="19">#REF!</definedName>
    <definedName name="I.T.75" localSheetId="17">#REF!</definedName>
    <definedName name="I.T.75" localSheetId="20">#REF!</definedName>
    <definedName name="I.T.75" localSheetId="22">#REF!</definedName>
    <definedName name="I.T.75" localSheetId="25">#REF!</definedName>
    <definedName name="I.T.75" localSheetId="23">#REF!</definedName>
    <definedName name="I.T.75" localSheetId="26">#REF!</definedName>
    <definedName name="I.T.75" localSheetId="28">#REF!</definedName>
    <definedName name="I.T.75" localSheetId="31">#REF!</definedName>
    <definedName name="I.T.75" localSheetId="29">#REF!</definedName>
    <definedName name="I.T.75" localSheetId="32">#REF!</definedName>
    <definedName name="I.T.75" localSheetId="34">#REF!</definedName>
    <definedName name="I.T.75" localSheetId="37">#REF!</definedName>
    <definedName name="I.T.75" localSheetId="35">#REF!</definedName>
    <definedName name="I.T.75" localSheetId="38">#REF!</definedName>
    <definedName name="I.T.75" localSheetId="40">#REF!</definedName>
    <definedName name="I.T.75" localSheetId="43">#REF!</definedName>
    <definedName name="I.T.75" localSheetId="41">#REF!</definedName>
    <definedName name="I.T.75" localSheetId="44">#REF!</definedName>
    <definedName name="I.T.75" localSheetId="47">#REF!</definedName>
    <definedName name="I.T.75" localSheetId="49">#REF!</definedName>
    <definedName name="I.T.75" localSheetId="46">#REF!</definedName>
    <definedName name="I.T.75" localSheetId="50">#REF!</definedName>
    <definedName name="I.T.75" localSheetId="53">#REF!</definedName>
    <definedName name="I.T.75" localSheetId="55">#REF!</definedName>
    <definedName name="I.T.75" localSheetId="52">#REF!</definedName>
    <definedName name="I.T.75" localSheetId="56">#REF!</definedName>
    <definedName name="I.T.75" localSheetId="59">#REF!</definedName>
    <definedName name="I.T.75" localSheetId="61">#REF!</definedName>
    <definedName name="I.T.75" localSheetId="58">#REF!</definedName>
    <definedName name="I.T.75" localSheetId="62">#REF!</definedName>
    <definedName name="I.T.75" localSheetId="12">#REF!</definedName>
    <definedName name="I.T.75" localSheetId="65">#REF!</definedName>
    <definedName name="I.T.75" localSheetId="67">#REF!</definedName>
    <definedName name="I.T.75" localSheetId="66">#REF!</definedName>
    <definedName name="I.T.75" localSheetId="64">#REF!</definedName>
    <definedName name="I.T.75" localSheetId="68">#REF!</definedName>
    <definedName name="I.T.75" localSheetId="71">#REF!</definedName>
    <definedName name="I.T.75" localSheetId="73">#REF!</definedName>
    <definedName name="I.T.75" localSheetId="72">#REF!</definedName>
    <definedName name="I.T.75" localSheetId="70">#REF!</definedName>
    <definedName name="I.T.75" localSheetId="74">#REF!</definedName>
    <definedName name="I.T.75" localSheetId="77">#REF!</definedName>
    <definedName name="I.T.75" localSheetId="79">#REF!</definedName>
    <definedName name="I.T.75" localSheetId="78">#REF!</definedName>
    <definedName name="I.T.75" localSheetId="76">#REF!</definedName>
    <definedName name="I.T.75" localSheetId="80">#REF!</definedName>
    <definedName name="I.T.75" localSheetId="18">#REF!</definedName>
    <definedName name="I.T.75" localSheetId="24">#REF!</definedName>
    <definedName name="I.T.75" localSheetId="30">#REF!</definedName>
    <definedName name="I.T.75" localSheetId="36">#REF!</definedName>
    <definedName name="I.T.75" localSheetId="42">#REF!</definedName>
    <definedName name="I.T.75" localSheetId="48">#REF!</definedName>
    <definedName name="I.T.75" localSheetId="54">#REF!</definedName>
    <definedName name="I.T.75" localSheetId="60">#REF!</definedName>
    <definedName name="I.T.75" localSheetId="81">#REF!</definedName>
    <definedName name="I.T.75" localSheetId="82">#REF!</definedName>
    <definedName name="I.T.75" localSheetId="83">#REF!</definedName>
    <definedName name="I.T.75" localSheetId="84">#REF!</definedName>
    <definedName name="I.T.75" localSheetId="85">#REF!</definedName>
    <definedName name="I.T.75" localSheetId="89">#REF!</definedName>
    <definedName name="I.T.75" localSheetId="5">#REF!</definedName>
    <definedName name="I.T.75">#REF!</definedName>
  </definedNames>
  <calcPr calcId="145621"/>
</workbook>
</file>

<file path=xl/calcChain.xml><?xml version="1.0" encoding="utf-8"?>
<calcChain xmlns="http://schemas.openxmlformats.org/spreadsheetml/2006/main">
  <c r="K1" i="178" l="1"/>
  <c r="N1" i="178"/>
  <c r="I1" i="178"/>
  <c r="R2" i="178"/>
  <c r="F2" i="178"/>
  <c r="G2" i="178"/>
  <c r="H2" i="178"/>
  <c r="I2" i="178"/>
  <c r="J2" i="178"/>
  <c r="K2" i="178"/>
  <c r="L2" i="178"/>
  <c r="M2" i="178"/>
  <c r="N2" i="178"/>
  <c r="O2" i="178"/>
  <c r="P2" i="178"/>
  <c r="Q2" i="178"/>
  <c r="E2" i="178"/>
  <c r="O2" i="170"/>
  <c r="R42" i="98" l="1"/>
  <c r="S42" i="98" s="1"/>
  <c r="T42" i="98" l="1"/>
  <c r="U42" i="98"/>
  <c r="Q55" i="99"/>
  <c r="Q54" i="99"/>
  <c r="P55" i="99"/>
  <c r="P54" i="99"/>
  <c r="O55" i="99"/>
  <c r="O54" i="99"/>
  <c r="N55" i="99"/>
  <c r="N54" i="99"/>
  <c r="M55" i="99"/>
  <c r="M54" i="99"/>
  <c r="L55" i="99"/>
  <c r="L54" i="99"/>
  <c r="K55" i="99"/>
  <c r="K54" i="99"/>
  <c r="J55" i="99"/>
  <c r="J54" i="99"/>
  <c r="I55" i="99"/>
  <c r="I54" i="99"/>
  <c r="P57" i="231"/>
  <c r="O57" i="231"/>
  <c r="N57" i="231"/>
  <c r="M57" i="231"/>
  <c r="L57" i="231"/>
  <c r="K57" i="231"/>
  <c r="J57" i="231"/>
  <c r="I57" i="231"/>
  <c r="H57" i="231"/>
  <c r="G57" i="231"/>
  <c r="F57" i="231"/>
  <c r="E57" i="231"/>
  <c r="Q57" i="231" s="1"/>
  <c r="P57" i="223"/>
  <c r="O57" i="223"/>
  <c r="N57" i="223"/>
  <c r="M57" i="223"/>
  <c r="L57" i="223"/>
  <c r="K57" i="223"/>
  <c r="J57" i="223"/>
  <c r="I57" i="223"/>
  <c r="H57" i="223"/>
  <c r="G57" i="223"/>
  <c r="F57" i="223"/>
  <c r="E57" i="223"/>
  <c r="Q57" i="223" s="1"/>
  <c r="P57" i="216"/>
  <c r="O57" i="216"/>
  <c r="N57" i="216"/>
  <c r="M57" i="216"/>
  <c r="L57" i="216"/>
  <c r="K57" i="216"/>
  <c r="J57" i="216"/>
  <c r="I57" i="216"/>
  <c r="H57" i="216"/>
  <c r="G57" i="216"/>
  <c r="F57" i="216"/>
  <c r="E57" i="216"/>
  <c r="Q57" i="216" s="1"/>
  <c r="P57" i="209"/>
  <c r="O57" i="209"/>
  <c r="N57" i="209"/>
  <c r="M57" i="209"/>
  <c r="L57" i="209"/>
  <c r="K57" i="209"/>
  <c r="J57" i="209"/>
  <c r="I57" i="209"/>
  <c r="H57" i="209"/>
  <c r="G57" i="209"/>
  <c r="F57" i="209"/>
  <c r="E57" i="209"/>
  <c r="Q57" i="209" s="1"/>
  <c r="P57" i="200"/>
  <c r="O57" i="200"/>
  <c r="N57" i="200"/>
  <c r="M57" i="200"/>
  <c r="L57" i="200"/>
  <c r="K57" i="200"/>
  <c r="J57" i="200"/>
  <c r="I57" i="200"/>
  <c r="H57" i="200"/>
  <c r="G57" i="200"/>
  <c r="F57" i="200"/>
  <c r="E57" i="200"/>
  <c r="Q57" i="200" s="1"/>
  <c r="Q57" i="192"/>
  <c r="P57" i="192"/>
  <c r="O57" i="192"/>
  <c r="N57" i="192"/>
  <c r="M57" i="192"/>
  <c r="L57" i="192"/>
  <c r="K57" i="192"/>
  <c r="J57" i="192"/>
  <c r="I57" i="192"/>
  <c r="H57" i="192"/>
  <c r="G57" i="192"/>
  <c r="F57" i="192"/>
  <c r="E57" i="192"/>
  <c r="P57" i="184"/>
  <c r="O57" i="184"/>
  <c r="N57" i="184"/>
  <c r="M57" i="184"/>
  <c r="L57" i="184"/>
  <c r="K57" i="184"/>
  <c r="J57" i="184"/>
  <c r="I57" i="184"/>
  <c r="H57" i="184"/>
  <c r="G57" i="184"/>
  <c r="F57" i="184"/>
  <c r="E57" i="184"/>
  <c r="O57" i="178"/>
  <c r="N57" i="178"/>
  <c r="M57" i="178"/>
  <c r="L57" i="178"/>
  <c r="K57" i="178"/>
  <c r="J57" i="178"/>
  <c r="I57" i="178"/>
  <c r="H57" i="178"/>
  <c r="G57" i="178"/>
  <c r="F57" i="178"/>
  <c r="E57" i="178"/>
  <c r="N57" i="170"/>
  <c r="M57" i="170"/>
  <c r="L57" i="170"/>
  <c r="K57" i="170"/>
  <c r="J57" i="170"/>
  <c r="I57" i="170"/>
  <c r="H57" i="170"/>
  <c r="G57" i="170"/>
  <c r="F57" i="170"/>
  <c r="E57" i="170"/>
  <c r="O57" i="170" s="1"/>
  <c r="N57" i="162"/>
  <c r="M57" i="162"/>
  <c r="L57" i="162"/>
  <c r="K57" i="162"/>
  <c r="J57" i="162"/>
  <c r="I57" i="162"/>
  <c r="H57" i="162"/>
  <c r="G57" i="162"/>
  <c r="F57" i="162"/>
  <c r="E57" i="162"/>
  <c r="O57" i="162" s="1"/>
  <c r="O57" i="156"/>
  <c r="N57" i="156"/>
  <c r="M57" i="156"/>
  <c r="L57" i="156"/>
  <c r="K57" i="156"/>
  <c r="J57" i="156"/>
  <c r="I57" i="156"/>
  <c r="H57" i="156"/>
  <c r="G57" i="156"/>
  <c r="F57" i="156"/>
  <c r="E57" i="156"/>
  <c r="F57" i="147"/>
  <c r="G57" i="147"/>
  <c r="H57" i="147"/>
  <c r="I57" i="147"/>
  <c r="J57" i="147"/>
  <c r="K57" i="147"/>
  <c r="L57" i="147"/>
  <c r="M57" i="147"/>
  <c r="N57" i="147"/>
  <c r="E57" i="147"/>
  <c r="E54" i="231"/>
  <c r="Q54" i="223"/>
  <c r="P59" i="223"/>
  <c r="M54" i="223"/>
  <c r="E54" i="223"/>
  <c r="Q54" i="216"/>
  <c r="P59" i="216"/>
  <c r="M54" i="216"/>
  <c r="E54" i="216"/>
  <c r="Q54" i="209"/>
  <c r="P59" i="209"/>
  <c r="Q54" i="200"/>
  <c r="P59" i="200"/>
  <c r="E54" i="200"/>
  <c r="R54" i="184"/>
  <c r="P59" i="184"/>
  <c r="O59" i="178"/>
  <c r="E54" i="170"/>
  <c r="O54" i="162"/>
  <c r="N59" i="162"/>
  <c r="E54" i="162"/>
  <c r="O54" i="156"/>
  <c r="O54" i="147"/>
  <c r="N59" i="147"/>
  <c r="E54" i="147"/>
  <c r="E28" i="236" l="1"/>
  <c r="D29" i="236"/>
  <c r="D25" i="236"/>
  <c r="E27" i="236" s="1"/>
  <c r="E10" i="236"/>
  <c r="E11" i="236"/>
  <c r="E12" i="236"/>
  <c r="E13" i="236"/>
  <c r="E14" i="236"/>
  <c r="E9" i="236"/>
  <c r="D8" i="236"/>
  <c r="E26" i="236" l="1"/>
  <c r="E29" i="236"/>
  <c r="E30" i="236"/>
  <c r="D5" i="235"/>
  <c r="D4" i="235" l="1"/>
  <c r="D3" i="235" s="1"/>
  <c r="D10" i="235" s="1"/>
  <c r="C5" i="234" l="1"/>
  <c r="H87" i="150" l="1"/>
  <c r="H76" i="150"/>
  <c r="H73" i="150"/>
  <c r="J10" i="231" l="1"/>
  <c r="J9" i="231"/>
  <c r="J8" i="231"/>
  <c r="J11" i="227"/>
  <c r="J10" i="227"/>
  <c r="J9" i="227"/>
  <c r="N12" i="231" l="1"/>
  <c r="O49" i="227" l="1"/>
  <c r="O46" i="227"/>
  <c r="O20" i="227"/>
  <c r="O48" i="231"/>
  <c r="O45" i="231"/>
  <c r="O19" i="231"/>
  <c r="O30" i="228"/>
  <c r="O12" i="231"/>
  <c r="O13" i="227"/>
  <c r="O45" i="227"/>
  <c r="O19" i="227"/>
  <c r="O12" i="227"/>
  <c r="O12" i="223"/>
  <c r="F108" i="150"/>
  <c r="H124" i="150"/>
  <c r="H125" i="150"/>
  <c r="H126" i="150"/>
  <c r="H121" i="150"/>
  <c r="H122" i="150"/>
  <c r="H123" i="150"/>
  <c r="H120" i="150"/>
  <c r="H118" i="150"/>
  <c r="H119" i="150"/>
  <c r="H117" i="150"/>
  <c r="H116" i="150"/>
  <c r="H115" i="150"/>
  <c r="H114" i="150"/>
  <c r="H113" i="150"/>
  <c r="H112" i="150"/>
  <c r="H111" i="150"/>
  <c r="H110" i="150"/>
  <c r="H109" i="150"/>
  <c r="H108" i="150" l="1"/>
  <c r="H31" i="228" l="1"/>
  <c r="H30" i="228"/>
  <c r="H28" i="228"/>
  <c r="H27" i="228"/>
  <c r="H26" i="228"/>
  <c r="H25" i="228"/>
  <c r="H33" i="228"/>
  <c r="H32" i="228"/>
  <c r="H39" i="228"/>
  <c r="H43" i="228"/>
  <c r="M44" i="229" l="1"/>
  <c r="M18" i="229"/>
  <c r="M11" i="229"/>
  <c r="M7" i="229"/>
  <c r="M6" i="229"/>
  <c r="Q55" i="231"/>
  <c r="R55" i="231" s="1"/>
  <c r="Q54" i="231"/>
  <c r="Q53" i="231"/>
  <c r="Q52" i="231"/>
  <c r="T52" i="231" s="1"/>
  <c r="W52" i="231" s="1"/>
  <c r="Q51" i="231"/>
  <c r="T51" i="231" s="1"/>
  <c r="Q50" i="231"/>
  <c r="R50" i="231" s="1"/>
  <c r="Q49" i="231"/>
  <c r="T49" i="231" s="1"/>
  <c r="W49" i="231" s="1"/>
  <c r="Q48" i="231"/>
  <c r="T48" i="231" s="1"/>
  <c r="Q47" i="231"/>
  <c r="T47" i="231" s="1"/>
  <c r="W47" i="231" s="1"/>
  <c r="Q46" i="231"/>
  <c r="R46" i="231" s="1"/>
  <c r="Q45" i="231"/>
  <c r="P44" i="231"/>
  <c r="N44" i="231"/>
  <c r="M44" i="231"/>
  <c r="L44" i="231"/>
  <c r="K44" i="231"/>
  <c r="J44" i="231"/>
  <c r="I44" i="231"/>
  <c r="H44" i="231"/>
  <c r="G44" i="231"/>
  <c r="F44" i="231"/>
  <c r="E44" i="231"/>
  <c r="Q43" i="231"/>
  <c r="Q42" i="231"/>
  <c r="T42" i="231" s="1"/>
  <c r="W42" i="231" s="1"/>
  <c r="Q41" i="231"/>
  <c r="R41" i="231" s="1"/>
  <c r="Q40" i="231"/>
  <c r="Q39" i="231"/>
  <c r="T39" i="231" s="1"/>
  <c r="W39" i="231" s="1"/>
  <c r="Q38" i="231"/>
  <c r="Q37" i="231"/>
  <c r="R37" i="231" s="1"/>
  <c r="Q36" i="231"/>
  <c r="Q35" i="231"/>
  <c r="Q34" i="231"/>
  <c r="Q33" i="231"/>
  <c r="Q32" i="231"/>
  <c r="Q31" i="231"/>
  <c r="R31" i="231" s="1"/>
  <c r="Q30" i="231"/>
  <c r="T30" i="231" s="1"/>
  <c r="W30" i="231" s="1"/>
  <c r="Q29" i="231"/>
  <c r="T29" i="231" s="1"/>
  <c r="W29" i="231" s="1"/>
  <c r="Q28" i="231"/>
  <c r="T28" i="231" s="1"/>
  <c r="Q27" i="231"/>
  <c r="R27" i="231" s="1"/>
  <c r="Q26" i="231"/>
  <c r="T26" i="231" s="1"/>
  <c r="W26" i="231" s="1"/>
  <c r="Q25" i="231"/>
  <c r="T25" i="231" s="1"/>
  <c r="Q24" i="231"/>
  <c r="Q23" i="231"/>
  <c r="R23" i="231" s="1"/>
  <c r="Q22" i="231"/>
  <c r="Q21" i="231"/>
  <c r="Q20" i="231"/>
  <c r="Q19" i="231"/>
  <c r="R19" i="231" s="1"/>
  <c r="P18" i="231"/>
  <c r="O18" i="231"/>
  <c r="N18" i="231"/>
  <c r="M18" i="231"/>
  <c r="L18" i="231"/>
  <c r="K18" i="231"/>
  <c r="J18" i="231"/>
  <c r="I18" i="231"/>
  <c r="H18" i="231"/>
  <c r="G18" i="231"/>
  <c r="F18" i="231"/>
  <c r="E18" i="231"/>
  <c r="Q17" i="231"/>
  <c r="R17" i="231" s="1"/>
  <c r="Q16" i="231"/>
  <c r="T16" i="231" s="1"/>
  <c r="W16" i="231" s="1"/>
  <c r="Q15" i="231"/>
  <c r="T15" i="231" s="1"/>
  <c r="Q14" i="231"/>
  <c r="Q13" i="231"/>
  <c r="Q12" i="231"/>
  <c r="P11" i="231"/>
  <c r="O11" i="231"/>
  <c r="N11" i="231"/>
  <c r="M11" i="231"/>
  <c r="L11" i="231"/>
  <c r="K11" i="231"/>
  <c r="J11" i="231"/>
  <c r="I11" i="231"/>
  <c r="H11" i="231"/>
  <c r="G11" i="231"/>
  <c r="F11" i="231"/>
  <c r="E11" i="231"/>
  <c r="Q10" i="231"/>
  <c r="Q9" i="231"/>
  <c r="D9" i="231"/>
  <c r="Q8" i="231"/>
  <c r="P7" i="231"/>
  <c r="O7" i="231"/>
  <c r="N7" i="231"/>
  <c r="M7" i="231"/>
  <c r="L7" i="231"/>
  <c r="K7" i="231"/>
  <c r="J7" i="231"/>
  <c r="I7" i="231"/>
  <c r="H7" i="231"/>
  <c r="G7" i="231"/>
  <c r="F7" i="231"/>
  <c r="E7" i="231"/>
  <c r="P6" i="231"/>
  <c r="O6" i="231"/>
  <c r="N6" i="231"/>
  <c r="N5" i="231" s="1"/>
  <c r="M6" i="231"/>
  <c r="M5" i="231" s="1"/>
  <c r="L6" i="231"/>
  <c r="L5" i="231" s="1"/>
  <c r="K6" i="231"/>
  <c r="J6" i="231"/>
  <c r="I6" i="231"/>
  <c r="H6" i="231"/>
  <c r="G6" i="231"/>
  <c r="F6" i="231"/>
  <c r="E6" i="231"/>
  <c r="P5" i="231"/>
  <c r="K5" i="231"/>
  <c r="J5" i="231"/>
  <c r="I5" i="231"/>
  <c r="H5" i="231"/>
  <c r="G5" i="231"/>
  <c r="F5" i="231"/>
  <c r="F45" i="230"/>
  <c r="G45" i="230"/>
  <c r="H45" i="230"/>
  <c r="I45" i="230"/>
  <c r="J45" i="230"/>
  <c r="K45" i="230"/>
  <c r="L45" i="230"/>
  <c r="M45" i="230"/>
  <c r="N45" i="230"/>
  <c r="O45" i="230"/>
  <c r="P45" i="230"/>
  <c r="F46" i="230"/>
  <c r="G46" i="230"/>
  <c r="H46" i="230"/>
  <c r="I46" i="230"/>
  <c r="J46" i="230"/>
  <c r="K46" i="230"/>
  <c r="L46" i="230"/>
  <c r="M46" i="230"/>
  <c r="N46" i="230"/>
  <c r="O46" i="230"/>
  <c r="P46" i="230"/>
  <c r="F47" i="230"/>
  <c r="G47" i="230"/>
  <c r="H47" i="230"/>
  <c r="I47" i="230"/>
  <c r="J47" i="230"/>
  <c r="K47" i="230"/>
  <c r="L47" i="230"/>
  <c r="M47" i="230"/>
  <c r="N47" i="230"/>
  <c r="O47" i="230"/>
  <c r="P47" i="230"/>
  <c r="F48" i="230"/>
  <c r="G48" i="230"/>
  <c r="H48" i="230"/>
  <c r="I48" i="230"/>
  <c r="J48" i="230"/>
  <c r="K48" i="230"/>
  <c r="L48" i="230"/>
  <c r="M48" i="230"/>
  <c r="N48" i="230"/>
  <c r="O48" i="230"/>
  <c r="P48" i="230"/>
  <c r="F49" i="230"/>
  <c r="G49" i="230"/>
  <c r="H49" i="230"/>
  <c r="I49" i="230"/>
  <c r="J49" i="230"/>
  <c r="K49" i="230"/>
  <c r="L49" i="230"/>
  <c r="M49" i="230"/>
  <c r="N49" i="230"/>
  <c r="O49" i="230"/>
  <c r="P49" i="230"/>
  <c r="F50" i="230"/>
  <c r="G50" i="230"/>
  <c r="H50" i="230"/>
  <c r="I50" i="230"/>
  <c r="J50" i="230"/>
  <c r="K50" i="230"/>
  <c r="L50" i="230"/>
  <c r="M50" i="230"/>
  <c r="N50" i="230"/>
  <c r="O50" i="230"/>
  <c r="P50" i="230"/>
  <c r="F51" i="230"/>
  <c r="G51" i="230"/>
  <c r="H51" i="230"/>
  <c r="I51" i="230"/>
  <c r="J51" i="230"/>
  <c r="K51" i="230"/>
  <c r="L51" i="230"/>
  <c r="M51" i="230"/>
  <c r="N51" i="230"/>
  <c r="O51" i="230"/>
  <c r="P51" i="230"/>
  <c r="F52" i="230"/>
  <c r="G52" i="230"/>
  <c r="H52" i="230"/>
  <c r="I52" i="230"/>
  <c r="J52" i="230"/>
  <c r="K52" i="230"/>
  <c r="L52" i="230"/>
  <c r="M52" i="230"/>
  <c r="N52" i="230"/>
  <c r="O52" i="230"/>
  <c r="P52" i="230"/>
  <c r="F53" i="230"/>
  <c r="G53" i="230"/>
  <c r="H53" i="230"/>
  <c r="I53" i="230"/>
  <c r="J53" i="230"/>
  <c r="K53" i="230"/>
  <c r="L53" i="230"/>
  <c r="M53" i="230"/>
  <c r="N53" i="230"/>
  <c r="O53" i="230"/>
  <c r="P53" i="230"/>
  <c r="E46" i="230"/>
  <c r="E47" i="230"/>
  <c r="E48" i="230"/>
  <c r="E49" i="230"/>
  <c r="E50" i="230"/>
  <c r="E51" i="230"/>
  <c r="E52" i="230"/>
  <c r="E53" i="230"/>
  <c r="E45" i="230"/>
  <c r="F19" i="230"/>
  <c r="G19" i="230"/>
  <c r="H19" i="230"/>
  <c r="I19" i="230"/>
  <c r="J19" i="230"/>
  <c r="K19" i="230"/>
  <c r="L19" i="230"/>
  <c r="M19" i="230"/>
  <c r="N19" i="230"/>
  <c r="O19" i="230"/>
  <c r="P19" i="230"/>
  <c r="F20" i="230"/>
  <c r="G20" i="230"/>
  <c r="H20" i="230"/>
  <c r="I20" i="230"/>
  <c r="J20" i="230"/>
  <c r="K20" i="230"/>
  <c r="L20" i="230"/>
  <c r="M20" i="230"/>
  <c r="N20" i="230"/>
  <c r="O20" i="230"/>
  <c r="P20" i="230"/>
  <c r="F21" i="230"/>
  <c r="G21" i="230"/>
  <c r="H21" i="230"/>
  <c r="I21" i="230"/>
  <c r="J21" i="230"/>
  <c r="K21" i="230"/>
  <c r="L21" i="230"/>
  <c r="M21" i="230"/>
  <c r="N21" i="230"/>
  <c r="O21" i="230"/>
  <c r="P21" i="230"/>
  <c r="F22" i="230"/>
  <c r="G22" i="230"/>
  <c r="H22" i="230"/>
  <c r="I22" i="230"/>
  <c r="J22" i="230"/>
  <c r="K22" i="230"/>
  <c r="L22" i="230"/>
  <c r="M22" i="230"/>
  <c r="N22" i="230"/>
  <c r="O22" i="230"/>
  <c r="P22" i="230"/>
  <c r="F23" i="230"/>
  <c r="G23" i="230"/>
  <c r="H23" i="230"/>
  <c r="I23" i="230"/>
  <c r="J23" i="230"/>
  <c r="K23" i="230"/>
  <c r="L23" i="230"/>
  <c r="M23" i="230"/>
  <c r="N23" i="230"/>
  <c r="O23" i="230"/>
  <c r="P23" i="230"/>
  <c r="F24" i="230"/>
  <c r="G24" i="230"/>
  <c r="H24" i="230"/>
  <c r="I24" i="230"/>
  <c r="J24" i="230"/>
  <c r="K24" i="230"/>
  <c r="L24" i="230"/>
  <c r="M24" i="230"/>
  <c r="N24" i="230"/>
  <c r="O24" i="230"/>
  <c r="P24" i="230"/>
  <c r="F25" i="230"/>
  <c r="G25" i="230"/>
  <c r="H25" i="230"/>
  <c r="I25" i="230"/>
  <c r="J25" i="230"/>
  <c r="K25" i="230"/>
  <c r="L25" i="230"/>
  <c r="M25" i="230"/>
  <c r="N25" i="230"/>
  <c r="O25" i="230"/>
  <c r="P25" i="230"/>
  <c r="F26" i="230"/>
  <c r="G26" i="230"/>
  <c r="H26" i="230"/>
  <c r="I26" i="230"/>
  <c r="J26" i="230"/>
  <c r="K26" i="230"/>
  <c r="L26" i="230"/>
  <c r="M26" i="230"/>
  <c r="N26" i="230"/>
  <c r="O26" i="230"/>
  <c r="P26" i="230"/>
  <c r="F27" i="230"/>
  <c r="G27" i="230"/>
  <c r="H27" i="230"/>
  <c r="I27" i="230"/>
  <c r="J27" i="230"/>
  <c r="K27" i="230"/>
  <c r="L27" i="230"/>
  <c r="M27" i="230"/>
  <c r="N27" i="230"/>
  <c r="O27" i="230"/>
  <c r="P27" i="230"/>
  <c r="F28" i="230"/>
  <c r="G28" i="230"/>
  <c r="H28" i="230"/>
  <c r="I28" i="230"/>
  <c r="J28" i="230"/>
  <c r="K28" i="230"/>
  <c r="L28" i="230"/>
  <c r="M28" i="230"/>
  <c r="N28" i="230"/>
  <c r="O28" i="230"/>
  <c r="P28" i="230"/>
  <c r="F29" i="230"/>
  <c r="G29" i="230"/>
  <c r="H29" i="230"/>
  <c r="I29" i="230"/>
  <c r="J29" i="230"/>
  <c r="K29" i="230"/>
  <c r="L29" i="230"/>
  <c r="M29" i="230"/>
  <c r="N29" i="230"/>
  <c r="O29" i="230"/>
  <c r="P29" i="230"/>
  <c r="F30" i="230"/>
  <c r="G30" i="230"/>
  <c r="H30" i="230"/>
  <c r="I30" i="230"/>
  <c r="J30" i="230"/>
  <c r="K30" i="230"/>
  <c r="L30" i="230"/>
  <c r="M30" i="230"/>
  <c r="N30" i="230"/>
  <c r="O30" i="230"/>
  <c r="P30" i="230"/>
  <c r="F31" i="230"/>
  <c r="G31" i="230"/>
  <c r="H31" i="230"/>
  <c r="I31" i="230"/>
  <c r="J31" i="230"/>
  <c r="K31" i="230"/>
  <c r="L31" i="230"/>
  <c r="M31" i="230"/>
  <c r="N31" i="230"/>
  <c r="O31" i="230"/>
  <c r="P31" i="230"/>
  <c r="F32" i="230"/>
  <c r="G32" i="230"/>
  <c r="H32" i="230"/>
  <c r="I32" i="230"/>
  <c r="J32" i="230"/>
  <c r="K32" i="230"/>
  <c r="L32" i="230"/>
  <c r="M32" i="230"/>
  <c r="N32" i="230"/>
  <c r="O32" i="230"/>
  <c r="P32" i="230"/>
  <c r="F33" i="230"/>
  <c r="G33" i="230"/>
  <c r="H33" i="230"/>
  <c r="I33" i="230"/>
  <c r="J33" i="230"/>
  <c r="K33" i="230"/>
  <c r="L33" i="230"/>
  <c r="M33" i="230"/>
  <c r="N33" i="230"/>
  <c r="O33" i="230"/>
  <c r="P33" i="230"/>
  <c r="F34" i="230"/>
  <c r="G34" i="230"/>
  <c r="H34" i="230"/>
  <c r="I34" i="230"/>
  <c r="J34" i="230"/>
  <c r="K34" i="230"/>
  <c r="L34" i="230"/>
  <c r="M34" i="230"/>
  <c r="N34" i="230"/>
  <c r="O34" i="230"/>
  <c r="P34" i="230"/>
  <c r="F35" i="230"/>
  <c r="G35" i="230"/>
  <c r="H35" i="230"/>
  <c r="I35" i="230"/>
  <c r="J35" i="230"/>
  <c r="K35" i="230"/>
  <c r="L35" i="230"/>
  <c r="M35" i="230"/>
  <c r="N35" i="230"/>
  <c r="O35" i="230"/>
  <c r="P35" i="230"/>
  <c r="F36" i="230"/>
  <c r="G36" i="230"/>
  <c r="H36" i="230"/>
  <c r="I36" i="230"/>
  <c r="J36" i="230"/>
  <c r="K36" i="230"/>
  <c r="L36" i="230"/>
  <c r="M36" i="230"/>
  <c r="N36" i="230"/>
  <c r="O36" i="230"/>
  <c r="P36" i="230"/>
  <c r="F37" i="230"/>
  <c r="G37" i="230"/>
  <c r="H37" i="230"/>
  <c r="I37" i="230"/>
  <c r="J37" i="230"/>
  <c r="K37" i="230"/>
  <c r="L37" i="230"/>
  <c r="M37" i="230"/>
  <c r="N37" i="230"/>
  <c r="O37" i="230"/>
  <c r="P37" i="230"/>
  <c r="F38" i="230"/>
  <c r="G38" i="230"/>
  <c r="H38" i="230"/>
  <c r="I38" i="230"/>
  <c r="J38" i="230"/>
  <c r="K38" i="230"/>
  <c r="L38" i="230"/>
  <c r="M38" i="230"/>
  <c r="N38" i="230"/>
  <c r="O38" i="230"/>
  <c r="P38" i="230"/>
  <c r="F39" i="230"/>
  <c r="G39" i="230"/>
  <c r="H39" i="230"/>
  <c r="I39" i="230"/>
  <c r="J39" i="230"/>
  <c r="K39" i="230"/>
  <c r="L39" i="230"/>
  <c r="M39" i="230"/>
  <c r="N39" i="230"/>
  <c r="O39" i="230"/>
  <c r="P39" i="230"/>
  <c r="F40" i="230"/>
  <c r="G40" i="230"/>
  <c r="H40" i="230"/>
  <c r="I40" i="230"/>
  <c r="J40" i="230"/>
  <c r="K40" i="230"/>
  <c r="L40" i="230"/>
  <c r="M40" i="230"/>
  <c r="N40" i="230"/>
  <c r="O40" i="230"/>
  <c r="P40" i="230"/>
  <c r="F41" i="230"/>
  <c r="G41" i="230"/>
  <c r="H41" i="230"/>
  <c r="I41" i="230"/>
  <c r="J41" i="230"/>
  <c r="K41" i="230"/>
  <c r="L41" i="230"/>
  <c r="M41" i="230"/>
  <c r="N41" i="230"/>
  <c r="O41" i="230"/>
  <c r="P41" i="230"/>
  <c r="F42" i="230"/>
  <c r="G42" i="230"/>
  <c r="H42" i="230"/>
  <c r="I42" i="230"/>
  <c r="J42" i="230"/>
  <c r="K42" i="230"/>
  <c r="L42" i="230"/>
  <c r="M42" i="230"/>
  <c r="N42" i="230"/>
  <c r="O42" i="230"/>
  <c r="P42" i="230"/>
  <c r="F43" i="230"/>
  <c r="G43" i="230"/>
  <c r="H43" i="230"/>
  <c r="I43" i="230"/>
  <c r="J43" i="230"/>
  <c r="K43" i="230"/>
  <c r="L43" i="230"/>
  <c r="M43" i="230"/>
  <c r="N43" i="230"/>
  <c r="O43" i="230"/>
  <c r="P43" i="230"/>
  <c r="E20" i="230"/>
  <c r="E21" i="230"/>
  <c r="E22" i="230"/>
  <c r="E23" i="230"/>
  <c r="E24" i="230"/>
  <c r="Q24" i="230" s="1"/>
  <c r="E25" i="230"/>
  <c r="E26" i="230"/>
  <c r="E27" i="230"/>
  <c r="Q27" i="230" s="1"/>
  <c r="E28" i="230"/>
  <c r="E29" i="230"/>
  <c r="E30" i="230"/>
  <c r="Q30" i="230" s="1"/>
  <c r="E31" i="230"/>
  <c r="E32" i="230"/>
  <c r="Q32" i="230" s="1"/>
  <c r="E33" i="230"/>
  <c r="Q33" i="230" s="1"/>
  <c r="E34" i="230"/>
  <c r="E35" i="230"/>
  <c r="E36" i="230"/>
  <c r="E37" i="230"/>
  <c r="E38" i="230"/>
  <c r="E39" i="230"/>
  <c r="E40" i="230"/>
  <c r="E41" i="230"/>
  <c r="E42" i="230"/>
  <c r="E43" i="230"/>
  <c r="E19" i="230"/>
  <c r="F12" i="230"/>
  <c r="G12" i="230"/>
  <c r="H12" i="230"/>
  <c r="I12" i="230"/>
  <c r="J12" i="230"/>
  <c r="K12" i="230"/>
  <c r="L12" i="230"/>
  <c r="M12" i="230"/>
  <c r="N12" i="230"/>
  <c r="O12" i="230"/>
  <c r="P12" i="230"/>
  <c r="F13" i="230"/>
  <c r="G13" i="230"/>
  <c r="H13" i="230"/>
  <c r="I13" i="230"/>
  <c r="J13" i="230"/>
  <c r="K13" i="230"/>
  <c r="L13" i="230"/>
  <c r="M13" i="230"/>
  <c r="N13" i="230"/>
  <c r="O13" i="230"/>
  <c r="P13" i="230"/>
  <c r="F14" i="230"/>
  <c r="G14" i="230"/>
  <c r="H14" i="230"/>
  <c r="I14" i="230"/>
  <c r="J14" i="230"/>
  <c r="K14" i="230"/>
  <c r="L14" i="230"/>
  <c r="M14" i="230"/>
  <c r="N14" i="230"/>
  <c r="O14" i="230"/>
  <c r="P14" i="230"/>
  <c r="F15" i="230"/>
  <c r="G15" i="230"/>
  <c r="H15" i="230"/>
  <c r="I15" i="230"/>
  <c r="J15" i="230"/>
  <c r="K15" i="230"/>
  <c r="L15" i="230"/>
  <c r="M15" i="230"/>
  <c r="N15" i="230"/>
  <c r="O15" i="230"/>
  <c r="P15" i="230"/>
  <c r="F16" i="230"/>
  <c r="G16" i="230"/>
  <c r="H16" i="230"/>
  <c r="I16" i="230"/>
  <c r="J16" i="230"/>
  <c r="K16" i="230"/>
  <c r="L16" i="230"/>
  <c r="M16" i="230"/>
  <c r="N16" i="230"/>
  <c r="O16" i="230"/>
  <c r="P16" i="230"/>
  <c r="F17" i="230"/>
  <c r="G17" i="230"/>
  <c r="H17" i="230"/>
  <c r="I17" i="230"/>
  <c r="J17" i="230"/>
  <c r="K17" i="230"/>
  <c r="L17" i="230"/>
  <c r="M17" i="230"/>
  <c r="N17" i="230"/>
  <c r="O17" i="230"/>
  <c r="P17" i="230"/>
  <c r="E13" i="230"/>
  <c r="E14" i="230"/>
  <c r="E15" i="230"/>
  <c r="E16" i="230"/>
  <c r="E17" i="230"/>
  <c r="E12" i="230"/>
  <c r="F8" i="230"/>
  <c r="G8" i="230"/>
  <c r="H8" i="230"/>
  <c r="I8" i="230"/>
  <c r="J8" i="230"/>
  <c r="K8" i="230"/>
  <c r="L8" i="230"/>
  <c r="M8" i="230"/>
  <c r="N8" i="230"/>
  <c r="O8" i="230"/>
  <c r="P8" i="230"/>
  <c r="F9" i="230"/>
  <c r="G9" i="230"/>
  <c r="H9" i="230"/>
  <c r="I9" i="230"/>
  <c r="J9" i="230"/>
  <c r="Q9" i="230" s="1"/>
  <c r="K9" i="230"/>
  <c r="L9" i="230"/>
  <c r="M9" i="230"/>
  <c r="N9" i="230"/>
  <c r="O9" i="230"/>
  <c r="P9" i="230"/>
  <c r="F10" i="230"/>
  <c r="G10" i="230"/>
  <c r="H10" i="230"/>
  <c r="I10" i="230"/>
  <c r="I7" i="230" s="1"/>
  <c r="I6" i="230" s="1"/>
  <c r="I5" i="230" s="1"/>
  <c r="J10" i="230"/>
  <c r="K10" i="230"/>
  <c r="K7" i="230" s="1"/>
  <c r="L10" i="230"/>
  <c r="M10" i="230"/>
  <c r="N10" i="230"/>
  <c r="O10" i="230"/>
  <c r="O7" i="230" s="1"/>
  <c r="P10" i="230"/>
  <c r="E9" i="230"/>
  <c r="E10" i="230"/>
  <c r="E8" i="230"/>
  <c r="Q53" i="230"/>
  <c r="Q52" i="230"/>
  <c r="Q51" i="230"/>
  <c r="Q50" i="230"/>
  <c r="Q49" i="230"/>
  <c r="Q48" i="230"/>
  <c r="Q47" i="230"/>
  <c r="Q46" i="230"/>
  <c r="Q45" i="230"/>
  <c r="P44" i="230"/>
  <c r="O44" i="230"/>
  <c r="M44" i="230"/>
  <c r="L44" i="230"/>
  <c r="K44" i="230"/>
  <c r="J44" i="230"/>
  <c r="I44" i="230"/>
  <c r="H44" i="230"/>
  <c r="G44" i="230"/>
  <c r="F44" i="230"/>
  <c r="E44" i="230"/>
  <c r="Q42" i="230"/>
  <c r="Q41" i="230"/>
  <c r="Q40" i="230"/>
  <c r="Q39" i="230"/>
  <c r="Q38" i="230"/>
  <c r="Q37" i="230"/>
  <c r="Q36" i="230"/>
  <c r="Q35" i="230"/>
  <c r="Q34" i="230"/>
  <c r="Q31" i="230"/>
  <c r="Q28" i="230"/>
  <c r="Q26" i="230"/>
  <c r="Q25" i="230"/>
  <c r="Q22" i="230"/>
  <c r="P18" i="230"/>
  <c r="N18" i="230"/>
  <c r="L18" i="230"/>
  <c r="K18" i="230"/>
  <c r="J18" i="230"/>
  <c r="I18" i="230"/>
  <c r="H18" i="230"/>
  <c r="G18" i="230"/>
  <c r="F18" i="230"/>
  <c r="Q17" i="230"/>
  <c r="Q16" i="230"/>
  <c r="Q15" i="230"/>
  <c r="O11" i="230"/>
  <c r="M11" i="230"/>
  <c r="K11" i="230"/>
  <c r="I11" i="230"/>
  <c r="G11" i="230"/>
  <c r="E11" i="230"/>
  <c r="Q13" i="230"/>
  <c r="Q12" i="230"/>
  <c r="P11" i="230"/>
  <c r="N11" i="230"/>
  <c r="L11" i="230"/>
  <c r="J11" i="230"/>
  <c r="H11" i="230"/>
  <c r="F11" i="230"/>
  <c r="P7" i="230"/>
  <c r="P6" i="230" s="1"/>
  <c r="P5" i="230" s="1"/>
  <c r="L7" i="230"/>
  <c r="L6" i="230" s="1"/>
  <c r="L5" i="230" s="1"/>
  <c r="H7" i="230"/>
  <c r="H6" i="230" s="1"/>
  <c r="H5" i="230" s="1"/>
  <c r="F7" i="230"/>
  <c r="F6" i="230" s="1"/>
  <c r="D9" i="230"/>
  <c r="Q8" i="230"/>
  <c r="M7" i="230"/>
  <c r="M6" i="230" s="1"/>
  <c r="E7" i="230"/>
  <c r="E6" i="230" s="1"/>
  <c r="Q53" i="229"/>
  <c r="Q52" i="229"/>
  <c r="Q51" i="229"/>
  <c r="R51" i="229" s="1"/>
  <c r="Q50" i="229"/>
  <c r="Q49" i="229"/>
  <c r="R49" i="229" s="1"/>
  <c r="Q48" i="229"/>
  <c r="Q47" i="229"/>
  <c r="Q46" i="229"/>
  <c r="Q45" i="229"/>
  <c r="R45" i="229" s="1"/>
  <c r="P44" i="229"/>
  <c r="O44" i="229"/>
  <c r="N44" i="229"/>
  <c r="K44" i="229"/>
  <c r="J44" i="229"/>
  <c r="I44" i="229"/>
  <c r="H44" i="229"/>
  <c r="G44" i="229"/>
  <c r="F44" i="229"/>
  <c r="E44" i="229"/>
  <c r="Q43" i="229"/>
  <c r="T43" i="229" s="1"/>
  <c r="Q42" i="229"/>
  <c r="Q41" i="229"/>
  <c r="T41" i="229" s="1"/>
  <c r="W41" i="229" s="1"/>
  <c r="Q40" i="229"/>
  <c r="T40" i="229" s="1"/>
  <c r="Q39" i="229"/>
  <c r="Q38" i="229"/>
  <c r="T38" i="229" s="1"/>
  <c r="W38" i="229" s="1"/>
  <c r="Q37" i="229"/>
  <c r="T37" i="229" s="1"/>
  <c r="Q36" i="229"/>
  <c r="Q35" i="229"/>
  <c r="T35" i="229" s="1"/>
  <c r="W35" i="229" s="1"/>
  <c r="Q34" i="229"/>
  <c r="T34" i="229" s="1"/>
  <c r="Q33" i="229"/>
  <c r="Q32" i="229"/>
  <c r="T32" i="229" s="1"/>
  <c r="W32" i="229" s="1"/>
  <c r="Q31" i="229"/>
  <c r="T31" i="229" s="1"/>
  <c r="Q30" i="229"/>
  <c r="Q29" i="229"/>
  <c r="T29" i="229" s="1"/>
  <c r="W29" i="229" s="1"/>
  <c r="Q28" i="229"/>
  <c r="T28" i="229" s="1"/>
  <c r="Q27" i="229"/>
  <c r="Q26" i="229"/>
  <c r="T26" i="229" s="1"/>
  <c r="W26" i="229" s="1"/>
  <c r="Q25" i="229"/>
  <c r="Q24" i="229"/>
  <c r="Q23" i="229"/>
  <c r="Q22" i="229"/>
  <c r="Q21" i="229"/>
  <c r="Q20" i="229"/>
  <c r="Q19" i="229"/>
  <c r="P18" i="229"/>
  <c r="O18" i="229"/>
  <c r="N18" i="229"/>
  <c r="K18" i="229"/>
  <c r="J18" i="229"/>
  <c r="I18" i="229"/>
  <c r="H18" i="229"/>
  <c r="G18" i="229"/>
  <c r="F18" i="229"/>
  <c r="F5" i="229" s="1"/>
  <c r="E18" i="229"/>
  <c r="Q17" i="229"/>
  <c r="Q16" i="229"/>
  <c r="Q15" i="229"/>
  <c r="R14" i="229"/>
  <c r="Q14" i="229"/>
  <c r="Q13" i="229"/>
  <c r="Q12" i="229"/>
  <c r="Q11" i="229"/>
  <c r="P11" i="229"/>
  <c r="O11" i="229"/>
  <c r="N11" i="229"/>
  <c r="K11" i="229"/>
  <c r="J11" i="229"/>
  <c r="I11" i="229"/>
  <c r="H11" i="229"/>
  <c r="G11" i="229"/>
  <c r="F11" i="229"/>
  <c r="E11" i="229"/>
  <c r="Q10" i="229"/>
  <c r="Q9" i="229"/>
  <c r="R9" i="229" s="1"/>
  <c r="D9" i="229"/>
  <c r="T9" i="229" s="1"/>
  <c r="W9" i="229" s="1"/>
  <c r="Q8" i="229"/>
  <c r="P7" i="229"/>
  <c r="P6" i="229" s="1"/>
  <c r="P5" i="229" s="1"/>
  <c r="O7" i="229"/>
  <c r="N7" i="229"/>
  <c r="N6" i="229" s="1"/>
  <c r="N5" i="229" s="1"/>
  <c r="K7" i="229"/>
  <c r="K6" i="229" s="1"/>
  <c r="K5" i="229" s="1"/>
  <c r="J7" i="229"/>
  <c r="I7" i="229"/>
  <c r="I6" i="229" s="1"/>
  <c r="I5" i="229" s="1"/>
  <c r="H7" i="229"/>
  <c r="G7" i="229"/>
  <c r="G6" i="229" s="1"/>
  <c r="G5" i="229" s="1"/>
  <c r="F7" i="229"/>
  <c r="E7" i="229"/>
  <c r="Q7" i="229" s="1"/>
  <c r="O6" i="229"/>
  <c r="J6" i="229"/>
  <c r="H6" i="229"/>
  <c r="F6" i="229"/>
  <c r="J5" i="229"/>
  <c r="H5" i="229"/>
  <c r="Q53" i="228"/>
  <c r="Q52" i="228"/>
  <c r="Q51" i="228"/>
  <c r="Q50" i="228"/>
  <c r="Q49" i="228"/>
  <c r="Q48" i="228"/>
  <c r="Q47" i="228"/>
  <c r="Q46" i="228"/>
  <c r="Q45" i="228"/>
  <c r="P44" i="228"/>
  <c r="O44" i="228"/>
  <c r="N44" i="228"/>
  <c r="M44" i="228"/>
  <c r="L44" i="228"/>
  <c r="K44" i="228"/>
  <c r="J44" i="228"/>
  <c r="I44" i="228"/>
  <c r="H44" i="228"/>
  <c r="G44" i="228"/>
  <c r="F44" i="228"/>
  <c r="E44" i="228"/>
  <c r="Q43" i="228"/>
  <c r="Q42" i="228"/>
  <c r="Q41" i="228"/>
  <c r="R41" i="228" s="1"/>
  <c r="Q40" i="228"/>
  <c r="R40" i="228" s="1"/>
  <c r="Q39" i="228"/>
  <c r="Q38" i="228"/>
  <c r="Q37" i="228"/>
  <c r="Q36" i="228"/>
  <c r="R36" i="228" s="1"/>
  <c r="Q35" i="228"/>
  <c r="Q34" i="228"/>
  <c r="Q33" i="228"/>
  <c r="Q32" i="228"/>
  <c r="Q31" i="228"/>
  <c r="Q30" i="228"/>
  <c r="Q29" i="228"/>
  <c r="Q28" i="228"/>
  <c r="Q27" i="228"/>
  <c r="Q26" i="228"/>
  <c r="Q25" i="228"/>
  <c r="Q24" i="228"/>
  <c r="Q23" i="228"/>
  <c r="R23" i="228" s="1"/>
  <c r="Q22" i="228"/>
  <c r="R22" i="228" s="1"/>
  <c r="Q21" i="228"/>
  <c r="Q20" i="228"/>
  <c r="R20" i="228" s="1"/>
  <c r="Q19" i="228"/>
  <c r="R19" i="228" s="1"/>
  <c r="P18" i="228"/>
  <c r="O18" i="228"/>
  <c r="N18" i="228"/>
  <c r="M18" i="228"/>
  <c r="L18" i="228"/>
  <c r="K18" i="228"/>
  <c r="J18" i="228"/>
  <c r="I18" i="228"/>
  <c r="H18" i="228"/>
  <c r="H5" i="228" s="1"/>
  <c r="G18" i="228"/>
  <c r="G5" i="228" s="1"/>
  <c r="F18" i="228"/>
  <c r="F5" i="228" s="1"/>
  <c r="E18" i="228"/>
  <c r="T17" i="228"/>
  <c r="W17" i="228" s="1"/>
  <c r="R17" i="228"/>
  <c r="Q17" i="228"/>
  <c r="S17" i="228" s="1"/>
  <c r="Q16" i="228"/>
  <c r="Q15" i="228"/>
  <c r="T14" i="228"/>
  <c r="W14" i="228" s="1"/>
  <c r="R14" i="228"/>
  <c r="Q14" i="228"/>
  <c r="S14" i="228" s="1"/>
  <c r="Q13" i="228"/>
  <c r="Q12" i="228"/>
  <c r="Q11" i="228"/>
  <c r="P11" i="228"/>
  <c r="O11" i="228"/>
  <c r="N11" i="228"/>
  <c r="M11" i="228"/>
  <c r="L11" i="228"/>
  <c r="K11" i="228"/>
  <c r="J11" i="228"/>
  <c r="I11" i="228"/>
  <c r="H11" i="228"/>
  <c r="G11" i="228"/>
  <c r="F11" i="228"/>
  <c r="E11" i="228"/>
  <c r="Q10" i="228"/>
  <c r="T10" i="228" s="1"/>
  <c r="W10" i="228" s="1"/>
  <c r="R9" i="228"/>
  <c r="Q9" i="228"/>
  <c r="S9" i="228" s="1"/>
  <c r="D9" i="228"/>
  <c r="T9" i="228" s="1"/>
  <c r="W9" i="228" s="1"/>
  <c r="Q8" i="228"/>
  <c r="T8" i="228" s="1"/>
  <c r="T7" i="228" s="1"/>
  <c r="P7" i="228"/>
  <c r="O7" i="228"/>
  <c r="N7" i="228"/>
  <c r="M7" i="228"/>
  <c r="L7" i="228"/>
  <c r="K7" i="228"/>
  <c r="J7" i="228"/>
  <c r="I7" i="228"/>
  <c r="H7" i="228"/>
  <c r="G7" i="228"/>
  <c r="F7" i="228"/>
  <c r="E7" i="228"/>
  <c r="Q7" i="228" s="1"/>
  <c r="P6" i="228"/>
  <c r="O6" i="228"/>
  <c r="N6" i="228"/>
  <c r="M6" i="228"/>
  <c r="L6" i="228"/>
  <c r="K6" i="228"/>
  <c r="J6" i="228"/>
  <c r="I6" i="228"/>
  <c r="H6" i="228"/>
  <c r="G6" i="228"/>
  <c r="F6" i="228"/>
  <c r="E6" i="228"/>
  <c r="Q6" i="228" s="1"/>
  <c r="P5" i="228"/>
  <c r="O5" i="228"/>
  <c r="N5" i="228"/>
  <c r="L5" i="228"/>
  <c r="K5" i="228"/>
  <c r="J5" i="228"/>
  <c r="I5" i="228"/>
  <c r="R45" i="228" l="1"/>
  <c r="R49" i="228"/>
  <c r="R51" i="228"/>
  <c r="N44" i="230"/>
  <c r="Q7" i="231"/>
  <c r="O5" i="229"/>
  <c r="T25" i="229"/>
  <c r="M5" i="229"/>
  <c r="R43" i="231"/>
  <c r="E5" i="231"/>
  <c r="F5" i="230"/>
  <c r="T36" i="231"/>
  <c r="R35" i="231"/>
  <c r="T33" i="231"/>
  <c r="N7" i="230"/>
  <c r="J7" i="230"/>
  <c r="Q29" i="230"/>
  <c r="Q23" i="230"/>
  <c r="Q20" i="230"/>
  <c r="Q21" i="230"/>
  <c r="O18" i="230"/>
  <c r="Q19" i="230"/>
  <c r="Q10" i="230"/>
  <c r="Q43" i="230"/>
  <c r="E5" i="228"/>
  <c r="Q44" i="229"/>
  <c r="E18" i="230"/>
  <c r="Q6" i="231"/>
  <c r="M5" i="228"/>
  <c r="Q44" i="228"/>
  <c r="T17" i="229"/>
  <c r="W17" i="229" s="1"/>
  <c r="S14" i="229"/>
  <c r="T14" i="229"/>
  <c r="W14" i="229" s="1"/>
  <c r="R17" i="229"/>
  <c r="S17" i="229" s="1"/>
  <c r="Q5" i="228"/>
  <c r="M18" i="230"/>
  <c r="M5" i="230" s="1"/>
  <c r="T53" i="231"/>
  <c r="W53" i="231" s="1"/>
  <c r="S46" i="231"/>
  <c r="T46" i="231"/>
  <c r="W46" i="231" s="1"/>
  <c r="S50" i="231"/>
  <c r="T50" i="231"/>
  <c r="W50" i="231" s="1"/>
  <c r="R53" i="231"/>
  <c r="S53" i="231" s="1"/>
  <c r="T20" i="231"/>
  <c r="W20" i="231" s="1"/>
  <c r="T32" i="231"/>
  <c r="T34" i="231"/>
  <c r="T38" i="231"/>
  <c r="W38" i="231" s="1"/>
  <c r="T40" i="231"/>
  <c r="S19" i="231"/>
  <c r="T19" i="231"/>
  <c r="R20" i="231"/>
  <c r="S20" i="231" s="1"/>
  <c r="S23" i="231"/>
  <c r="T23" i="231"/>
  <c r="W23" i="231" s="1"/>
  <c r="S27" i="231"/>
  <c r="T27" i="231"/>
  <c r="W27" i="231" s="1"/>
  <c r="S31" i="231"/>
  <c r="T31" i="231"/>
  <c r="R32" i="231"/>
  <c r="R34" i="231"/>
  <c r="S34" i="231" s="1"/>
  <c r="S35" i="231"/>
  <c r="T35" i="231"/>
  <c r="S37" i="231"/>
  <c r="T37" i="231"/>
  <c r="R38" i="231"/>
  <c r="S38" i="231" s="1"/>
  <c r="R40" i="231"/>
  <c r="S40" i="231" s="1"/>
  <c r="S41" i="231"/>
  <c r="T41" i="231"/>
  <c r="W41" i="231" s="1"/>
  <c r="S43" i="231"/>
  <c r="T43" i="231"/>
  <c r="T14" i="231"/>
  <c r="W14" i="231" s="1"/>
  <c r="R14" i="231"/>
  <c r="S14" i="231" s="1"/>
  <c r="S17" i="231"/>
  <c r="T17" i="231"/>
  <c r="W17" i="231" s="1"/>
  <c r="T10" i="231"/>
  <c r="W10" i="231" s="1"/>
  <c r="R10" i="231"/>
  <c r="S10" i="231" s="1"/>
  <c r="T9" i="231"/>
  <c r="W9" i="231" s="1"/>
  <c r="R9" i="231"/>
  <c r="S9" i="231" s="1"/>
  <c r="T12" i="231"/>
  <c r="R12" i="231"/>
  <c r="Q11" i="231"/>
  <c r="R8" i="231"/>
  <c r="T8" i="231"/>
  <c r="T7" i="231" s="1"/>
  <c r="T21" i="231"/>
  <c r="W21" i="231" s="1"/>
  <c r="R21" i="231"/>
  <c r="S21" i="231" s="1"/>
  <c r="Q18" i="231"/>
  <c r="T13" i="231"/>
  <c r="W13" i="231" s="1"/>
  <c r="R13" i="231"/>
  <c r="S13" i="231" s="1"/>
  <c r="T22" i="231"/>
  <c r="R22" i="231"/>
  <c r="T24" i="231"/>
  <c r="W24" i="231" s="1"/>
  <c r="R24" i="231"/>
  <c r="S24" i="231" s="1"/>
  <c r="Q44" i="231"/>
  <c r="T45" i="231"/>
  <c r="R45" i="231"/>
  <c r="R15" i="231"/>
  <c r="S15" i="231" s="1"/>
  <c r="R16" i="231"/>
  <c r="S16" i="231" s="1"/>
  <c r="R25" i="231"/>
  <c r="S25" i="231" s="1"/>
  <c r="R26" i="231"/>
  <c r="S26" i="231" s="1"/>
  <c r="R28" i="231"/>
  <c r="S28" i="231" s="1"/>
  <c r="R29" i="231"/>
  <c r="S29" i="231" s="1"/>
  <c r="R30" i="231"/>
  <c r="S30" i="231" s="1"/>
  <c r="R33" i="231"/>
  <c r="R36" i="231"/>
  <c r="R39" i="231"/>
  <c r="S39" i="231" s="1"/>
  <c r="R42" i="231"/>
  <c r="S42" i="231" s="1"/>
  <c r="O44" i="231"/>
  <c r="O5" i="231" s="1"/>
  <c r="R47" i="231"/>
  <c r="S47" i="231" s="1"/>
  <c r="R48" i="231"/>
  <c r="S48" i="231" s="1"/>
  <c r="R49" i="231"/>
  <c r="S49" i="231" s="1"/>
  <c r="R51" i="231"/>
  <c r="S51" i="231" s="1"/>
  <c r="R52" i="231"/>
  <c r="S52" i="231" s="1"/>
  <c r="R54" i="231"/>
  <c r="S54" i="231" s="1"/>
  <c r="T54" i="231"/>
  <c r="O6" i="230"/>
  <c r="O5" i="230" s="1"/>
  <c r="K6" i="230"/>
  <c r="K5" i="230" s="1"/>
  <c r="N6" i="230"/>
  <c r="N5" i="230" s="1"/>
  <c r="J6" i="230"/>
  <c r="J5" i="230" s="1"/>
  <c r="G7" i="230"/>
  <c r="G6" i="230" s="1"/>
  <c r="G5" i="230" s="1"/>
  <c r="T9" i="230"/>
  <c r="W9" i="230" s="1"/>
  <c r="R9" i="230"/>
  <c r="S9" i="230" s="1"/>
  <c r="T10" i="230"/>
  <c r="W10" i="230" s="1"/>
  <c r="R10" i="230"/>
  <c r="S10" i="230" s="1"/>
  <c r="T12" i="230"/>
  <c r="R12" i="230"/>
  <c r="T13" i="230"/>
  <c r="W13" i="230" s="1"/>
  <c r="R13" i="230"/>
  <c r="S13" i="230" s="1"/>
  <c r="T15" i="230"/>
  <c r="R15" i="230"/>
  <c r="S15" i="230" s="1"/>
  <c r="T16" i="230"/>
  <c r="W16" i="230" s="1"/>
  <c r="R16" i="230"/>
  <c r="S16" i="230" s="1"/>
  <c r="T17" i="230"/>
  <c r="W17" i="230" s="1"/>
  <c r="R17" i="230"/>
  <c r="S17" i="230" s="1"/>
  <c r="E5" i="230"/>
  <c r="T8" i="230"/>
  <c r="R8" i="230"/>
  <c r="R7" i="230" s="1"/>
  <c r="Q7" i="230"/>
  <c r="Q14" i="230"/>
  <c r="Q11" i="230" s="1"/>
  <c r="T19" i="230"/>
  <c r="R19" i="230"/>
  <c r="Q18" i="230"/>
  <c r="T20" i="230"/>
  <c r="W20" i="230" s="1"/>
  <c r="R20" i="230"/>
  <c r="S20" i="230" s="1"/>
  <c r="T21" i="230"/>
  <c r="W21" i="230" s="1"/>
  <c r="R21" i="230"/>
  <c r="S21" i="230" s="1"/>
  <c r="T22" i="230"/>
  <c r="R22" i="230"/>
  <c r="S22" i="230" s="1"/>
  <c r="T23" i="230"/>
  <c r="W23" i="230" s="1"/>
  <c r="R23" i="230"/>
  <c r="S23" i="230" s="1"/>
  <c r="T24" i="230"/>
  <c r="W24" i="230" s="1"/>
  <c r="R24" i="230"/>
  <c r="S24" i="230" s="1"/>
  <c r="T25" i="230"/>
  <c r="R25" i="230"/>
  <c r="S25" i="230" s="1"/>
  <c r="T26" i="230"/>
  <c r="W26" i="230" s="1"/>
  <c r="R26" i="230"/>
  <c r="S26" i="230" s="1"/>
  <c r="T27" i="230"/>
  <c r="W27" i="230" s="1"/>
  <c r="R27" i="230"/>
  <c r="S27" i="230" s="1"/>
  <c r="T28" i="230"/>
  <c r="R28" i="230"/>
  <c r="S28" i="230" s="1"/>
  <c r="T29" i="230"/>
  <c r="W29" i="230" s="1"/>
  <c r="R29" i="230"/>
  <c r="S29" i="230" s="1"/>
  <c r="T30" i="230"/>
  <c r="W30" i="230" s="1"/>
  <c r="R30" i="230"/>
  <c r="S30" i="230" s="1"/>
  <c r="T31" i="230"/>
  <c r="R31" i="230"/>
  <c r="S31" i="230" s="1"/>
  <c r="T32" i="230"/>
  <c r="W32" i="230" s="1"/>
  <c r="R32" i="230"/>
  <c r="S32" i="230" s="1"/>
  <c r="T33" i="230"/>
  <c r="W33" i="230" s="1"/>
  <c r="R33" i="230"/>
  <c r="S33" i="230" s="1"/>
  <c r="T34" i="230"/>
  <c r="R34" i="230"/>
  <c r="S34" i="230" s="1"/>
  <c r="T35" i="230"/>
  <c r="W35" i="230" s="1"/>
  <c r="R35" i="230"/>
  <c r="S35" i="230" s="1"/>
  <c r="T36" i="230"/>
  <c r="W36" i="230" s="1"/>
  <c r="R36" i="230"/>
  <c r="S36" i="230" s="1"/>
  <c r="T37" i="230"/>
  <c r="R37" i="230"/>
  <c r="S37" i="230" s="1"/>
  <c r="T38" i="230"/>
  <c r="W38" i="230" s="1"/>
  <c r="R38" i="230"/>
  <c r="S38" i="230" s="1"/>
  <c r="T39" i="230"/>
  <c r="W39" i="230" s="1"/>
  <c r="R39" i="230"/>
  <c r="S39" i="230" s="1"/>
  <c r="T40" i="230"/>
  <c r="R40" i="230"/>
  <c r="S40" i="230" s="1"/>
  <c r="T41" i="230"/>
  <c r="W41" i="230" s="1"/>
  <c r="R41" i="230"/>
  <c r="S41" i="230" s="1"/>
  <c r="T42" i="230"/>
  <c r="W42" i="230" s="1"/>
  <c r="R42" i="230"/>
  <c r="S42" i="230" s="1"/>
  <c r="T43" i="230"/>
  <c r="R43" i="230"/>
  <c r="S43" i="230" s="1"/>
  <c r="T45" i="230"/>
  <c r="R45" i="230"/>
  <c r="Q44" i="230"/>
  <c r="S45" i="230"/>
  <c r="T46" i="230"/>
  <c r="W46" i="230" s="1"/>
  <c r="R46" i="230"/>
  <c r="S46" i="230" s="1"/>
  <c r="T47" i="230"/>
  <c r="W47" i="230" s="1"/>
  <c r="R47" i="230"/>
  <c r="S47" i="230" s="1"/>
  <c r="T48" i="230"/>
  <c r="R48" i="230"/>
  <c r="S48" i="230" s="1"/>
  <c r="T49" i="230"/>
  <c r="W49" i="230" s="1"/>
  <c r="R49" i="230"/>
  <c r="S49" i="230" s="1"/>
  <c r="T50" i="230"/>
  <c r="W50" i="230" s="1"/>
  <c r="R50" i="230"/>
  <c r="S50" i="230" s="1"/>
  <c r="T51" i="230"/>
  <c r="R51" i="230"/>
  <c r="S51" i="230" s="1"/>
  <c r="T52" i="230"/>
  <c r="W52" i="230" s="1"/>
  <c r="R52" i="230"/>
  <c r="S52" i="230" s="1"/>
  <c r="T53" i="230"/>
  <c r="W53" i="230" s="1"/>
  <c r="R53" i="230"/>
  <c r="S53" i="230" s="1"/>
  <c r="T46" i="229"/>
  <c r="W46" i="229" s="1"/>
  <c r="T48" i="229"/>
  <c r="T52" i="229"/>
  <c r="W52" i="229" s="1"/>
  <c r="S45" i="229"/>
  <c r="T45" i="229"/>
  <c r="R46" i="229"/>
  <c r="S46" i="229" s="1"/>
  <c r="R48" i="229"/>
  <c r="S48" i="229" s="1"/>
  <c r="S49" i="229"/>
  <c r="T49" i="229"/>
  <c r="W49" i="229" s="1"/>
  <c r="S51" i="229"/>
  <c r="T51" i="229"/>
  <c r="R52" i="229"/>
  <c r="S52" i="229" s="1"/>
  <c r="T8" i="229"/>
  <c r="R8" i="229"/>
  <c r="E6" i="229"/>
  <c r="S8" i="229"/>
  <c r="S9" i="229"/>
  <c r="T24" i="229"/>
  <c r="W24" i="229" s="1"/>
  <c r="R24" i="229"/>
  <c r="S24" i="229" s="1"/>
  <c r="R10" i="229"/>
  <c r="S10" i="229" s="1"/>
  <c r="T10" i="229"/>
  <c r="W10" i="229" s="1"/>
  <c r="R12" i="229"/>
  <c r="T12" i="229"/>
  <c r="R13" i="229"/>
  <c r="S13" i="229" s="1"/>
  <c r="T13" i="229"/>
  <c r="W13" i="229" s="1"/>
  <c r="R15" i="229"/>
  <c r="S15" i="229" s="1"/>
  <c r="T15" i="229"/>
  <c r="R16" i="229"/>
  <c r="S16" i="229" s="1"/>
  <c r="T16" i="229"/>
  <c r="W16" i="229" s="1"/>
  <c r="Q18" i="229"/>
  <c r="R19" i="229"/>
  <c r="T19" i="229"/>
  <c r="R20" i="229"/>
  <c r="S20" i="229" s="1"/>
  <c r="T20" i="229"/>
  <c r="W20" i="229" s="1"/>
  <c r="R21" i="229"/>
  <c r="S21" i="229" s="1"/>
  <c r="T21" i="229"/>
  <c r="W21" i="229" s="1"/>
  <c r="R22" i="229"/>
  <c r="S22" i="229" s="1"/>
  <c r="T22" i="229"/>
  <c r="R23" i="229"/>
  <c r="S23" i="229" s="1"/>
  <c r="T23" i="229"/>
  <c r="W23" i="229" s="1"/>
  <c r="R27" i="229"/>
  <c r="S27" i="229" s="1"/>
  <c r="T27" i="229"/>
  <c r="W27" i="229" s="1"/>
  <c r="R30" i="229"/>
  <c r="S30" i="229" s="1"/>
  <c r="T30" i="229"/>
  <c r="W30" i="229" s="1"/>
  <c r="R33" i="229"/>
  <c r="S33" i="229" s="1"/>
  <c r="T33" i="229"/>
  <c r="W33" i="229" s="1"/>
  <c r="R36" i="229"/>
  <c r="S36" i="229" s="1"/>
  <c r="T36" i="229"/>
  <c r="W36" i="229" s="1"/>
  <c r="R39" i="229"/>
  <c r="S39" i="229" s="1"/>
  <c r="T39" i="229"/>
  <c r="W39" i="229" s="1"/>
  <c r="R42" i="229"/>
  <c r="S42" i="229" s="1"/>
  <c r="T42" i="229"/>
  <c r="W42" i="229" s="1"/>
  <c r="R47" i="229"/>
  <c r="T47" i="229"/>
  <c r="W47" i="229" s="1"/>
  <c r="R50" i="229"/>
  <c r="S50" i="229" s="1"/>
  <c r="T50" i="229"/>
  <c r="W50" i="229" s="1"/>
  <c r="R53" i="229"/>
  <c r="S53" i="229" s="1"/>
  <c r="T53" i="229"/>
  <c r="W53" i="229" s="1"/>
  <c r="R25" i="229"/>
  <c r="R26" i="229"/>
  <c r="S26" i="229" s="1"/>
  <c r="R28" i="229"/>
  <c r="S28" i="229" s="1"/>
  <c r="R29" i="229"/>
  <c r="S29" i="229" s="1"/>
  <c r="R31" i="229"/>
  <c r="S31" i="229" s="1"/>
  <c r="R32" i="229"/>
  <c r="S32" i="229" s="1"/>
  <c r="R34" i="229"/>
  <c r="S34" i="229" s="1"/>
  <c r="R35" i="229"/>
  <c r="S35" i="229" s="1"/>
  <c r="R37" i="229"/>
  <c r="S37" i="229" s="1"/>
  <c r="R38" i="229"/>
  <c r="S38" i="229" s="1"/>
  <c r="R40" i="229"/>
  <c r="S40" i="229" s="1"/>
  <c r="R41" i="229"/>
  <c r="S41" i="229" s="1"/>
  <c r="R43" i="229"/>
  <c r="S43" i="229" s="1"/>
  <c r="T46" i="228"/>
  <c r="W46" i="228" s="1"/>
  <c r="T48" i="228"/>
  <c r="T52" i="228"/>
  <c r="W52" i="228" s="1"/>
  <c r="S45" i="228"/>
  <c r="T45" i="228"/>
  <c r="R46" i="228"/>
  <c r="S46" i="228" s="1"/>
  <c r="R48" i="228"/>
  <c r="S48" i="228" s="1"/>
  <c r="S49" i="228"/>
  <c r="T49" i="228"/>
  <c r="W49" i="228" s="1"/>
  <c r="S51" i="228"/>
  <c r="T51" i="228"/>
  <c r="R52" i="228"/>
  <c r="S52" i="228" s="1"/>
  <c r="S20" i="228"/>
  <c r="T20" i="228"/>
  <c r="W20" i="228" s="1"/>
  <c r="S22" i="228"/>
  <c r="T22" i="228"/>
  <c r="S36" i="228"/>
  <c r="T36" i="228"/>
  <c r="W36" i="228" s="1"/>
  <c r="S40" i="228"/>
  <c r="T40" i="228"/>
  <c r="S19" i="228"/>
  <c r="T19" i="228"/>
  <c r="S23" i="228"/>
  <c r="T23" i="228"/>
  <c r="W23" i="228" s="1"/>
  <c r="S41" i="228"/>
  <c r="T41" i="228"/>
  <c r="W41" i="228" s="1"/>
  <c r="T26" i="228"/>
  <c r="W26" i="228" s="1"/>
  <c r="R26" i="228"/>
  <c r="Q18" i="228"/>
  <c r="S26" i="228"/>
  <c r="T28" i="228"/>
  <c r="R28" i="228"/>
  <c r="S28" i="228" s="1"/>
  <c r="T32" i="228"/>
  <c r="W32" i="228" s="1"/>
  <c r="R32" i="228"/>
  <c r="S32" i="228" s="1"/>
  <c r="R8" i="228"/>
  <c r="R7" i="228" s="1"/>
  <c r="R10" i="228"/>
  <c r="S10" i="228" s="1"/>
  <c r="T12" i="228"/>
  <c r="R12" i="228"/>
  <c r="T13" i="228"/>
  <c r="W13" i="228" s="1"/>
  <c r="W7" i="228" s="1"/>
  <c r="R13" i="228"/>
  <c r="S13" i="228" s="1"/>
  <c r="T27" i="228"/>
  <c r="W27" i="228" s="1"/>
  <c r="R27" i="228"/>
  <c r="S27" i="228" s="1"/>
  <c r="T30" i="228"/>
  <c r="W30" i="228" s="1"/>
  <c r="R30" i="228"/>
  <c r="S30" i="228" s="1"/>
  <c r="T33" i="228"/>
  <c r="W33" i="228" s="1"/>
  <c r="R33" i="228"/>
  <c r="S33" i="228" s="1"/>
  <c r="R15" i="228"/>
  <c r="S15" i="228" s="1"/>
  <c r="T15" i="228"/>
  <c r="R16" i="228"/>
  <c r="S16" i="228" s="1"/>
  <c r="T16" i="228"/>
  <c r="W16" i="228" s="1"/>
  <c r="R21" i="228"/>
  <c r="S21" i="228" s="1"/>
  <c r="T21" i="228"/>
  <c r="W21" i="228" s="1"/>
  <c r="R24" i="228"/>
  <c r="S24" i="228" s="1"/>
  <c r="T24" i="228"/>
  <c r="W24" i="228" s="1"/>
  <c r="R25" i="228"/>
  <c r="S25" i="228" s="1"/>
  <c r="T25" i="228"/>
  <c r="R29" i="228"/>
  <c r="S29" i="228" s="1"/>
  <c r="T29" i="228"/>
  <c r="W29" i="228" s="1"/>
  <c r="R31" i="228"/>
  <c r="S31" i="228" s="1"/>
  <c r="T31" i="228"/>
  <c r="R34" i="228"/>
  <c r="S34" i="228" s="1"/>
  <c r="T34" i="228"/>
  <c r="R35" i="228"/>
  <c r="S35" i="228" s="1"/>
  <c r="T35" i="228"/>
  <c r="W35" i="228" s="1"/>
  <c r="R37" i="228"/>
  <c r="S37" i="228" s="1"/>
  <c r="T37" i="228"/>
  <c r="R38" i="228"/>
  <c r="S38" i="228" s="1"/>
  <c r="T38" i="228"/>
  <c r="W38" i="228" s="1"/>
  <c r="R39" i="228"/>
  <c r="S39" i="228" s="1"/>
  <c r="T39" i="228"/>
  <c r="W39" i="228" s="1"/>
  <c r="R42" i="228"/>
  <c r="S42" i="228" s="1"/>
  <c r="T42" i="228"/>
  <c r="W42" i="228" s="1"/>
  <c r="R43" i="228"/>
  <c r="S43" i="228" s="1"/>
  <c r="T43" i="228"/>
  <c r="R47" i="228"/>
  <c r="T47" i="228"/>
  <c r="W47" i="228" s="1"/>
  <c r="R50" i="228"/>
  <c r="S50" i="228" s="1"/>
  <c r="T50" i="228"/>
  <c r="W50" i="228" s="1"/>
  <c r="R53" i="228"/>
  <c r="S53" i="228" s="1"/>
  <c r="T53" i="228"/>
  <c r="W53" i="228" s="1"/>
  <c r="Q54" i="227"/>
  <c r="Q53" i="227"/>
  <c r="R53" i="227" s="1"/>
  <c r="Q52" i="227"/>
  <c r="R52" i="227" s="1"/>
  <c r="Q51" i="227"/>
  <c r="Q50" i="227"/>
  <c r="R50" i="227" s="1"/>
  <c r="Q49" i="227"/>
  <c r="Q48" i="227"/>
  <c r="R48" i="227" s="1"/>
  <c r="Q47" i="227"/>
  <c r="Q46" i="227"/>
  <c r="P45" i="227"/>
  <c r="N45" i="227"/>
  <c r="M45" i="227"/>
  <c r="L45" i="227"/>
  <c r="K45" i="227"/>
  <c r="J45" i="227"/>
  <c r="I45" i="227"/>
  <c r="H45" i="227"/>
  <c r="G45" i="227"/>
  <c r="F45" i="227"/>
  <c r="E45" i="227"/>
  <c r="Q44" i="227"/>
  <c r="R44" i="227" s="1"/>
  <c r="Q43" i="227"/>
  <c r="T43" i="227" s="1"/>
  <c r="W43" i="227" s="1"/>
  <c r="Q42" i="227"/>
  <c r="R42" i="227" s="1"/>
  <c r="Q41" i="227"/>
  <c r="Q40" i="227"/>
  <c r="T40" i="227" s="1"/>
  <c r="W40" i="227" s="1"/>
  <c r="Q39" i="227"/>
  <c r="Q38" i="227"/>
  <c r="R38" i="227" s="1"/>
  <c r="Q37" i="227"/>
  <c r="T37" i="227" s="1"/>
  <c r="W37" i="227" s="1"/>
  <c r="Q36" i="227"/>
  <c r="R36" i="227" s="1"/>
  <c r="Q35" i="227"/>
  <c r="R35" i="227" s="1"/>
  <c r="Q34" i="227"/>
  <c r="T34" i="227" s="1"/>
  <c r="W34" i="227" s="1"/>
  <c r="Q33" i="227"/>
  <c r="R33" i="227" s="1"/>
  <c r="Q32" i="227"/>
  <c r="R32" i="227" s="1"/>
  <c r="Q31" i="227"/>
  <c r="T31" i="227" s="1"/>
  <c r="W31" i="227" s="1"/>
  <c r="Q30" i="227"/>
  <c r="R30" i="227" s="1"/>
  <c r="Q29" i="227"/>
  <c r="R29" i="227" s="1"/>
  <c r="Q28" i="227"/>
  <c r="Q27" i="227"/>
  <c r="R27" i="227" s="1"/>
  <c r="Q26" i="227"/>
  <c r="R26" i="227" s="1"/>
  <c r="Q25" i="227"/>
  <c r="T25" i="227" s="1"/>
  <c r="W25" i="227" s="1"/>
  <c r="Q24" i="227"/>
  <c r="T24" i="227" s="1"/>
  <c r="W24" i="227" s="1"/>
  <c r="Q23" i="227"/>
  <c r="T23" i="227" s="1"/>
  <c r="Q22" i="227"/>
  <c r="Q21" i="227"/>
  <c r="T21" i="227" s="1"/>
  <c r="W21" i="227" s="1"/>
  <c r="Q20" i="227"/>
  <c r="P19" i="227"/>
  <c r="N19" i="227"/>
  <c r="M19" i="227"/>
  <c r="L19" i="227"/>
  <c r="K19" i="227"/>
  <c r="J19" i="227"/>
  <c r="I19" i="227"/>
  <c r="H19" i="227"/>
  <c r="G19" i="227"/>
  <c r="F19" i="227"/>
  <c r="E19" i="227"/>
  <c r="Q18" i="227"/>
  <c r="T18" i="227" s="1"/>
  <c r="W18" i="227" s="1"/>
  <c r="Q17" i="227"/>
  <c r="R17" i="227" s="1"/>
  <c r="Q16" i="227"/>
  <c r="R16" i="227" s="1"/>
  <c r="Q15" i="227"/>
  <c r="T15" i="227" s="1"/>
  <c r="W15" i="227" s="1"/>
  <c r="Q14" i="227"/>
  <c r="R14" i="227" s="1"/>
  <c r="Q13" i="227"/>
  <c r="P12" i="227"/>
  <c r="N12" i="227"/>
  <c r="M12" i="227"/>
  <c r="L12" i="227"/>
  <c r="K12" i="227"/>
  <c r="J12" i="227"/>
  <c r="I12" i="227"/>
  <c r="H12" i="227"/>
  <c r="G12" i="227"/>
  <c r="F12" i="227"/>
  <c r="E12" i="227"/>
  <c r="Q11" i="227"/>
  <c r="T11" i="227" s="1"/>
  <c r="W11" i="227" s="1"/>
  <c r="Q10" i="227"/>
  <c r="T10" i="227" s="1"/>
  <c r="W10" i="227" s="1"/>
  <c r="D10" i="227"/>
  <c r="Q9" i="227"/>
  <c r="T9" i="227" s="1"/>
  <c r="P8" i="227"/>
  <c r="O8" i="227"/>
  <c r="N8" i="227"/>
  <c r="M8" i="227"/>
  <c r="L8" i="227"/>
  <c r="K8" i="227"/>
  <c r="J8" i="227"/>
  <c r="I8" i="227"/>
  <c r="H8" i="227"/>
  <c r="G8" i="227"/>
  <c r="F8" i="227"/>
  <c r="E8" i="227"/>
  <c r="P7" i="227"/>
  <c r="O7" i="227"/>
  <c r="N7" i="227"/>
  <c r="M7" i="227"/>
  <c r="M6" i="227" s="1"/>
  <c r="L7" i="227"/>
  <c r="L6" i="227" s="1"/>
  <c r="K7" i="227"/>
  <c r="K6" i="227" s="1"/>
  <c r="J7" i="227"/>
  <c r="J6" i="227" s="1"/>
  <c r="I7" i="227"/>
  <c r="I6" i="227" s="1"/>
  <c r="H7" i="227"/>
  <c r="G7" i="227"/>
  <c r="G6" i="227" s="1"/>
  <c r="F7" i="227"/>
  <c r="E7" i="227"/>
  <c r="E6" i="227" s="1"/>
  <c r="P6" i="227"/>
  <c r="H6" i="227"/>
  <c r="AI4" i="226"/>
  <c r="AI5" i="226"/>
  <c r="AI6" i="226"/>
  <c r="AI7" i="226"/>
  <c r="AI8" i="226"/>
  <c r="AI9" i="226"/>
  <c r="AG10" i="226"/>
  <c r="AH10" i="226"/>
  <c r="AE10" i="226"/>
  <c r="AD10" i="226"/>
  <c r="AB10" i="226"/>
  <c r="AA10" i="226"/>
  <c r="Y10" i="226"/>
  <c r="X10" i="226"/>
  <c r="V10" i="226"/>
  <c r="U10" i="226"/>
  <c r="S10" i="226"/>
  <c r="R10" i="226"/>
  <c r="P10" i="226"/>
  <c r="O10" i="226"/>
  <c r="M10" i="226"/>
  <c r="L10" i="226"/>
  <c r="J10" i="226"/>
  <c r="I10" i="226"/>
  <c r="G10" i="226"/>
  <c r="F10" i="226"/>
  <c r="D10" i="226"/>
  <c r="C10" i="226"/>
  <c r="AF9" i="226"/>
  <c r="AC9" i="226"/>
  <c r="Z9" i="226"/>
  <c r="W9" i="226"/>
  <c r="T9" i="226"/>
  <c r="Q9" i="226"/>
  <c r="N9" i="226"/>
  <c r="K9" i="226"/>
  <c r="H9" i="226"/>
  <c r="E9" i="226"/>
  <c r="AF8" i="226"/>
  <c r="AC8" i="226"/>
  <c r="Z8" i="226"/>
  <c r="W8" i="226"/>
  <c r="T8" i="226"/>
  <c r="Q8" i="226"/>
  <c r="N8" i="226"/>
  <c r="K8" i="226"/>
  <c r="H8" i="226"/>
  <c r="E8" i="226"/>
  <c r="AF7" i="226"/>
  <c r="AC7" i="226"/>
  <c r="Z7" i="226"/>
  <c r="W7" i="226"/>
  <c r="T7" i="226"/>
  <c r="Q7" i="226"/>
  <c r="N7" i="226"/>
  <c r="K7" i="226"/>
  <c r="H7" i="226"/>
  <c r="E7" i="226"/>
  <c r="AF6" i="226"/>
  <c r="AC6" i="226"/>
  <c r="Z6" i="226"/>
  <c r="W6" i="226"/>
  <c r="T6" i="226"/>
  <c r="Q6" i="226"/>
  <c r="N6" i="226"/>
  <c r="K6" i="226"/>
  <c r="H6" i="226"/>
  <c r="E6" i="226"/>
  <c r="AF5" i="226"/>
  <c r="AC5" i="226"/>
  <c r="Z5" i="226"/>
  <c r="W5" i="226"/>
  <c r="T5" i="226"/>
  <c r="Q5" i="226"/>
  <c r="N5" i="226"/>
  <c r="K5" i="226"/>
  <c r="H5" i="226"/>
  <c r="E5" i="226"/>
  <c r="AF4" i="226"/>
  <c r="AF10" i="226" s="1"/>
  <c r="AC4" i="226"/>
  <c r="AC10" i="226" s="1"/>
  <c r="Z4" i="226"/>
  <c r="W4" i="226"/>
  <c r="W10" i="226" s="1"/>
  <c r="T4" i="226"/>
  <c r="Q4" i="226"/>
  <c r="Q10" i="226" s="1"/>
  <c r="N4" i="226"/>
  <c r="K4" i="226"/>
  <c r="K10" i="226" s="1"/>
  <c r="H4" i="226"/>
  <c r="H10" i="226" s="1"/>
  <c r="E4" i="226"/>
  <c r="E10" i="226" s="1"/>
  <c r="Q8" i="227" l="1"/>
  <c r="T7" i="230"/>
  <c r="AI10" i="226"/>
  <c r="Z10" i="226"/>
  <c r="T10" i="226"/>
  <c r="N10" i="226"/>
  <c r="N6" i="227"/>
  <c r="Q6" i="230"/>
  <c r="S25" i="229"/>
  <c r="S12" i="231"/>
  <c r="S11" i="231" s="1"/>
  <c r="F6" i="227"/>
  <c r="T28" i="227"/>
  <c r="T22" i="227"/>
  <c r="T20" i="227"/>
  <c r="S36" i="231"/>
  <c r="W35" i="231"/>
  <c r="W36" i="231"/>
  <c r="W32" i="231"/>
  <c r="S33" i="231"/>
  <c r="S32" i="231"/>
  <c r="W33" i="231"/>
  <c r="Q5" i="231"/>
  <c r="T44" i="231"/>
  <c r="W18" i="231"/>
  <c r="W7" i="229"/>
  <c r="Q5" i="230"/>
  <c r="W44" i="231"/>
  <c r="R18" i="231"/>
  <c r="R7" i="231"/>
  <c r="R44" i="231"/>
  <c r="T18" i="231"/>
  <c r="R11" i="231"/>
  <c r="S45" i="231"/>
  <c r="S44" i="231" s="1"/>
  <c r="S22" i="231"/>
  <c r="S18" i="231" s="1"/>
  <c r="T11" i="231"/>
  <c r="W7" i="231"/>
  <c r="S8" i="231"/>
  <c r="S7" i="231" s="1"/>
  <c r="W44" i="230"/>
  <c r="T44" i="230"/>
  <c r="R18" i="230"/>
  <c r="S19" i="230"/>
  <c r="S18" i="230" s="1"/>
  <c r="S44" i="230"/>
  <c r="R44" i="230"/>
  <c r="W18" i="230"/>
  <c r="T18" i="230"/>
  <c r="T14" i="230"/>
  <c r="W14" i="230" s="1"/>
  <c r="W6" i="230" s="1"/>
  <c r="W5" i="230" s="1"/>
  <c r="R14" i="230"/>
  <c r="R11" i="230" s="1"/>
  <c r="R6" i="230" s="1"/>
  <c r="S8" i="230"/>
  <c r="S7" i="230" s="1"/>
  <c r="S12" i="230"/>
  <c r="W44" i="229"/>
  <c r="R44" i="229"/>
  <c r="W18" i="229"/>
  <c r="W5" i="229" s="1"/>
  <c r="T18" i="229"/>
  <c r="R11" i="229"/>
  <c r="S47" i="229"/>
  <c r="S44" i="229" s="1"/>
  <c r="E5" i="229"/>
  <c r="Q5" i="229" s="1"/>
  <c r="Q6" i="229"/>
  <c r="T7" i="229"/>
  <c r="R18" i="229"/>
  <c r="T11" i="229"/>
  <c r="T44" i="229"/>
  <c r="S12" i="229"/>
  <c r="S11" i="229" s="1"/>
  <c r="S7" i="229"/>
  <c r="S19" i="229"/>
  <c r="S18" i="229" s="1"/>
  <c r="R7" i="229"/>
  <c r="R6" i="229" s="1"/>
  <c r="R5" i="229" s="1"/>
  <c r="W44" i="228"/>
  <c r="W18" i="228"/>
  <c r="S18" i="228"/>
  <c r="R44" i="228"/>
  <c r="S47" i="228"/>
  <c r="S44" i="228" s="1"/>
  <c r="R18" i="228"/>
  <c r="R11" i="228"/>
  <c r="S12" i="228"/>
  <c r="S11" i="228" s="1"/>
  <c r="T44" i="228"/>
  <c r="T11" i="228"/>
  <c r="T6" i="228" s="1"/>
  <c r="R6" i="228"/>
  <c r="T18" i="228"/>
  <c r="S8" i="228"/>
  <c r="S7" i="228" s="1"/>
  <c r="S53" i="227"/>
  <c r="T53" i="227"/>
  <c r="W53" i="227" s="1"/>
  <c r="S48" i="227"/>
  <c r="T48" i="227"/>
  <c r="W48" i="227" s="1"/>
  <c r="S50" i="227"/>
  <c r="T50" i="227"/>
  <c r="W50" i="227" s="1"/>
  <c r="S52" i="227"/>
  <c r="T52" i="227"/>
  <c r="S27" i="227"/>
  <c r="T27" i="227"/>
  <c r="W27" i="227" s="1"/>
  <c r="S29" i="227"/>
  <c r="T29" i="227"/>
  <c r="S33" i="227"/>
  <c r="T33" i="227"/>
  <c r="W33" i="227" s="1"/>
  <c r="S35" i="227"/>
  <c r="T35" i="227"/>
  <c r="T39" i="227"/>
  <c r="W39" i="227" s="1"/>
  <c r="T41" i="227"/>
  <c r="S26" i="227"/>
  <c r="T26" i="227"/>
  <c r="S30" i="227"/>
  <c r="T30" i="227"/>
  <c r="W30" i="227" s="1"/>
  <c r="S32" i="227"/>
  <c r="T32" i="227"/>
  <c r="S36" i="227"/>
  <c r="T36" i="227"/>
  <c r="W36" i="227" s="1"/>
  <c r="S38" i="227"/>
  <c r="T38" i="227"/>
  <c r="R39" i="227"/>
  <c r="S39" i="227" s="1"/>
  <c r="R41" i="227"/>
  <c r="S41" i="227" s="1"/>
  <c r="S42" i="227"/>
  <c r="T42" i="227"/>
  <c r="W42" i="227" s="1"/>
  <c r="S44" i="227"/>
  <c r="T44" i="227"/>
  <c r="S17" i="227"/>
  <c r="T17" i="227"/>
  <c r="W17" i="227" s="1"/>
  <c r="S14" i="227"/>
  <c r="T14" i="227"/>
  <c r="W14" i="227" s="1"/>
  <c r="W8" i="227" s="1"/>
  <c r="S16" i="227"/>
  <c r="T16" i="227"/>
  <c r="Q7" i="227"/>
  <c r="T49" i="227"/>
  <c r="R49" i="227"/>
  <c r="S49" i="227" s="1"/>
  <c r="T8" i="227"/>
  <c r="Q12" i="227"/>
  <c r="T13" i="227"/>
  <c r="T12" i="227" s="1"/>
  <c r="R13" i="227"/>
  <c r="Q45" i="227"/>
  <c r="T46" i="227"/>
  <c r="R46" i="227"/>
  <c r="R47" i="227"/>
  <c r="S47" i="227" s="1"/>
  <c r="T47" i="227"/>
  <c r="W47" i="227" s="1"/>
  <c r="R51" i="227"/>
  <c r="S51" i="227" s="1"/>
  <c r="T51" i="227"/>
  <c r="W51" i="227" s="1"/>
  <c r="R54" i="227"/>
  <c r="S54" i="227" s="1"/>
  <c r="T54" i="227"/>
  <c r="W54" i="227" s="1"/>
  <c r="R9" i="227"/>
  <c r="S9" i="227" s="1"/>
  <c r="R10" i="227"/>
  <c r="S10" i="227" s="1"/>
  <c r="R11" i="227"/>
  <c r="S11" i="227" s="1"/>
  <c r="R15" i="227"/>
  <c r="S15" i="227" s="1"/>
  <c r="R18" i="227"/>
  <c r="S18" i="227" s="1"/>
  <c r="Q19" i="227"/>
  <c r="R20" i="227"/>
  <c r="R21" i="227"/>
  <c r="S21" i="227" s="1"/>
  <c r="R22" i="227"/>
  <c r="R23" i="227"/>
  <c r="S23" i="227" s="1"/>
  <c r="R24" i="227"/>
  <c r="S24" i="227" s="1"/>
  <c r="R25" i="227"/>
  <c r="S25" i="227" s="1"/>
  <c r="R28" i="227"/>
  <c r="R31" i="227"/>
  <c r="S31" i="227" s="1"/>
  <c r="R34" i="227"/>
  <c r="S34" i="227" s="1"/>
  <c r="R37" i="227"/>
  <c r="S37" i="227" s="1"/>
  <c r="R40" i="227"/>
  <c r="S40" i="227" s="1"/>
  <c r="R43" i="227"/>
  <c r="S43" i="227" s="1"/>
  <c r="O6" i="227"/>
  <c r="Q6" i="227" s="1"/>
  <c r="AJ5" i="226"/>
  <c r="AJ6" i="226"/>
  <c r="AJ7" i="226"/>
  <c r="AJ8" i="226"/>
  <c r="AJ9" i="226"/>
  <c r="AJ4" i="226"/>
  <c r="Q43" i="157"/>
  <c r="Q17" i="157"/>
  <c r="Q10" i="157"/>
  <c r="T6" i="231" l="1"/>
  <c r="R6" i="231"/>
  <c r="S28" i="227"/>
  <c r="W28" i="227"/>
  <c r="S22" i="227"/>
  <c r="W22" i="227"/>
  <c r="T11" i="230"/>
  <c r="T6" i="230" s="1"/>
  <c r="T5" i="230" s="1"/>
  <c r="W5" i="231"/>
  <c r="W19" i="227"/>
  <c r="T5" i="231"/>
  <c r="W5" i="228"/>
  <c r="S6" i="229"/>
  <c r="R5" i="230"/>
  <c r="T19" i="227"/>
  <c r="S6" i="231"/>
  <c r="S14" i="230"/>
  <c r="S11" i="230" s="1"/>
  <c r="S6" i="230" s="1"/>
  <c r="S5" i="230" s="1"/>
  <c r="S5" i="229"/>
  <c r="T6" i="229"/>
  <c r="T5" i="229" s="1"/>
  <c r="T5" i="228"/>
  <c r="S6" i="228"/>
  <c r="S5" i="228" s="1"/>
  <c r="R5" i="228"/>
  <c r="S8" i="227"/>
  <c r="W45" i="227"/>
  <c r="W6" i="227" s="1"/>
  <c r="R45" i="227"/>
  <c r="R12" i="227"/>
  <c r="T7" i="227"/>
  <c r="R19" i="227"/>
  <c r="R8" i="227"/>
  <c r="S20" i="227"/>
  <c r="T45" i="227"/>
  <c r="S46" i="227"/>
  <c r="S45" i="227" s="1"/>
  <c r="S13" i="227"/>
  <c r="S12" i="227" s="1"/>
  <c r="AJ10" i="226"/>
  <c r="S5" i="231" l="1"/>
  <c r="R5" i="231"/>
  <c r="S19" i="227"/>
  <c r="R7" i="227"/>
  <c r="R6" i="227" s="1"/>
  <c r="T6" i="227"/>
  <c r="S7" i="227"/>
  <c r="S6" i="227" s="1"/>
  <c r="O30" i="220" l="1"/>
  <c r="O30" i="223"/>
  <c r="P13" i="219"/>
  <c r="O13" i="219"/>
  <c r="F91" i="150"/>
  <c r="H105" i="150"/>
  <c r="H106" i="150"/>
  <c r="H107" i="150"/>
  <c r="H104" i="150"/>
  <c r="H101" i="150"/>
  <c r="H97" i="150"/>
  <c r="H96" i="150"/>
  <c r="H94" i="150"/>
  <c r="H93" i="150"/>
  <c r="H103" i="150"/>
  <c r="H102" i="150"/>
  <c r="H100" i="150"/>
  <c r="H99" i="150"/>
  <c r="H98" i="150"/>
  <c r="H95" i="150"/>
  <c r="H92" i="150"/>
  <c r="H91" i="150" l="1"/>
  <c r="K5" i="217"/>
  <c r="J5" i="217"/>
  <c r="O24" i="221" l="1"/>
  <c r="O22" i="221"/>
  <c r="O21" i="221"/>
  <c r="O25" i="219"/>
  <c r="O23" i="219"/>
  <c r="O22" i="219"/>
  <c r="O49" i="219"/>
  <c r="O46" i="219"/>
  <c r="P12" i="223"/>
  <c r="O24" i="223"/>
  <c r="O22" i="223"/>
  <c r="O21" i="223"/>
  <c r="O48" i="223"/>
  <c r="O45" i="223"/>
  <c r="H43" i="220" l="1"/>
  <c r="H39" i="220"/>
  <c r="H33" i="220"/>
  <c r="H32" i="220"/>
  <c r="H30" i="220"/>
  <c r="H29" i="220"/>
  <c r="H27" i="220"/>
  <c r="H26" i="220"/>
  <c r="H25" i="220"/>
  <c r="H28" i="220"/>
  <c r="J11" i="219" l="1"/>
  <c r="J10" i="219"/>
  <c r="J9" i="219"/>
  <c r="J10" i="223"/>
  <c r="J9" i="223"/>
  <c r="J8" i="223"/>
  <c r="Q55" i="223" l="1"/>
  <c r="R55" i="223" s="1"/>
  <c r="Q53" i="223"/>
  <c r="Q52" i="223"/>
  <c r="Q51" i="223"/>
  <c r="Q50" i="223"/>
  <c r="Q49" i="223"/>
  <c r="Q48" i="223"/>
  <c r="Q47" i="223"/>
  <c r="Q46" i="223"/>
  <c r="Q45" i="223"/>
  <c r="P44" i="223"/>
  <c r="O44" i="223"/>
  <c r="N44" i="223"/>
  <c r="M44" i="223"/>
  <c r="L44" i="223"/>
  <c r="K44" i="223"/>
  <c r="J44" i="223"/>
  <c r="I44" i="223"/>
  <c r="H44" i="223"/>
  <c r="G44" i="223"/>
  <c r="F44" i="223"/>
  <c r="E44" i="223"/>
  <c r="Q43" i="223"/>
  <c r="Q42" i="223"/>
  <c r="Q41" i="223"/>
  <c r="Q40" i="223"/>
  <c r="Q39" i="223"/>
  <c r="Q38" i="223"/>
  <c r="Q37" i="223"/>
  <c r="Q36" i="223"/>
  <c r="Q35" i="223"/>
  <c r="Q34" i="223"/>
  <c r="Q33" i="223"/>
  <c r="Q32" i="223"/>
  <c r="Q31" i="223"/>
  <c r="Q30" i="223"/>
  <c r="Q29" i="223"/>
  <c r="Q28" i="223"/>
  <c r="Q27" i="223"/>
  <c r="Q26" i="223"/>
  <c r="Q25" i="223"/>
  <c r="Q24" i="223"/>
  <c r="Q23" i="223"/>
  <c r="Q22" i="223"/>
  <c r="Q21" i="223"/>
  <c r="Q20" i="223"/>
  <c r="Q19" i="223"/>
  <c r="P18" i="223"/>
  <c r="O18" i="223"/>
  <c r="N18" i="223"/>
  <c r="M18" i="223"/>
  <c r="L18" i="223"/>
  <c r="K18" i="223"/>
  <c r="J18" i="223"/>
  <c r="I18" i="223"/>
  <c r="H18" i="223"/>
  <c r="G18" i="223"/>
  <c r="F18" i="223"/>
  <c r="E18" i="223"/>
  <c r="Q17" i="223"/>
  <c r="Q16" i="223"/>
  <c r="Q15" i="223"/>
  <c r="Q14" i="223"/>
  <c r="Q13" i="223"/>
  <c r="Q12" i="223"/>
  <c r="P11" i="223"/>
  <c r="O11" i="223"/>
  <c r="N11" i="223"/>
  <c r="M11" i="223"/>
  <c r="L11" i="223"/>
  <c r="K11" i="223"/>
  <c r="J11" i="223"/>
  <c r="I11" i="223"/>
  <c r="H11" i="223"/>
  <c r="G11" i="223"/>
  <c r="F11" i="223"/>
  <c r="E11" i="223"/>
  <c r="Q10" i="223"/>
  <c r="Q9" i="223"/>
  <c r="D9" i="223"/>
  <c r="Q8" i="223"/>
  <c r="P7" i="223"/>
  <c r="O7" i="223"/>
  <c r="N7" i="223"/>
  <c r="M7" i="223"/>
  <c r="L7" i="223"/>
  <c r="K7" i="223"/>
  <c r="J7" i="223"/>
  <c r="I7" i="223"/>
  <c r="H7" i="223"/>
  <c r="G7" i="223"/>
  <c r="F7" i="223"/>
  <c r="E7" i="223"/>
  <c r="P6" i="223"/>
  <c r="O6" i="223"/>
  <c r="N6" i="223"/>
  <c r="M6" i="223"/>
  <c r="L6" i="223"/>
  <c r="K6" i="223"/>
  <c r="J6" i="223"/>
  <c r="I6" i="223"/>
  <c r="H6" i="223"/>
  <c r="G6" i="223"/>
  <c r="F6" i="223"/>
  <c r="E6" i="223"/>
  <c r="F45" i="222"/>
  <c r="G45" i="222"/>
  <c r="H45" i="222"/>
  <c r="I45" i="222"/>
  <c r="J45" i="222"/>
  <c r="K45" i="222"/>
  <c r="L45" i="222"/>
  <c r="M45" i="222"/>
  <c r="N45" i="222"/>
  <c r="O45" i="222"/>
  <c r="P45" i="222"/>
  <c r="F46" i="222"/>
  <c r="G46" i="222"/>
  <c r="H46" i="222"/>
  <c r="I46" i="222"/>
  <c r="J46" i="222"/>
  <c r="K46" i="222"/>
  <c r="L46" i="222"/>
  <c r="M46" i="222"/>
  <c r="N46" i="222"/>
  <c r="O46" i="222"/>
  <c r="P46" i="222"/>
  <c r="F47" i="222"/>
  <c r="G47" i="222"/>
  <c r="H47" i="222"/>
  <c r="I47" i="222"/>
  <c r="J47" i="222"/>
  <c r="K47" i="222"/>
  <c r="L47" i="222"/>
  <c r="M47" i="222"/>
  <c r="N47" i="222"/>
  <c r="O47" i="222"/>
  <c r="P47" i="222"/>
  <c r="F48" i="222"/>
  <c r="G48" i="222"/>
  <c r="H48" i="222"/>
  <c r="I48" i="222"/>
  <c r="J48" i="222"/>
  <c r="K48" i="222"/>
  <c r="L48" i="222"/>
  <c r="M48" i="222"/>
  <c r="N48" i="222"/>
  <c r="O48" i="222"/>
  <c r="P48" i="222"/>
  <c r="F49" i="222"/>
  <c r="G49" i="222"/>
  <c r="H49" i="222"/>
  <c r="I49" i="222"/>
  <c r="J49" i="222"/>
  <c r="K49" i="222"/>
  <c r="L49" i="222"/>
  <c r="M49" i="222"/>
  <c r="N49" i="222"/>
  <c r="O49" i="222"/>
  <c r="P49" i="222"/>
  <c r="F50" i="222"/>
  <c r="G50" i="222"/>
  <c r="H50" i="222"/>
  <c r="I50" i="222"/>
  <c r="J50" i="222"/>
  <c r="K50" i="222"/>
  <c r="L50" i="222"/>
  <c r="M50" i="222"/>
  <c r="N50" i="222"/>
  <c r="O50" i="222"/>
  <c r="P50" i="222"/>
  <c r="F51" i="222"/>
  <c r="G51" i="222"/>
  <c r="H51" i="222"/>
  <c r="I51" i="222"/>
  <c r="J51" i="222"/>
  <c r="K51" i="222"/>
  <c r="L51" i="222"/>
  <c r="M51" i="222"/>
  <c r="N51" i="222"/>
  <c r="O51" i="222"/>
  <c r="P51" i="222"/>
  <c r="F52" i="222"/>
  <c r="G52" i="222"/>
  <c r="H52" i="222"/>
  <c r="I52" i="222"/>
  <c r="J52" i="222"/>
  <c r="K52" i="222"/>
  <c r="L52" i="222"/>
  <c r="M52" i="222"/>
  <c r="N52" i="222"/>
  <c r="O52" i="222"/>
  <c r="P52" i="222"/>
  <c r="F53" i="222"/>
  <c r="G53" i="222"/>
  <c r="H53" i="222"/>
  <c r="I53" i="222"/>
  <c r="J53" i="222"/>
  <c r="K53" i="222"/>
  <c r="L53" i="222"/>
  <c r="M53" i="222"/>
  <c r="N53" i="222"/>
  <c r="O53" i="222"/>
  <c r="P53" i="222"/>
  <c r="E46" i="222"/>
  <c r="Q46" i="222" s="1"/>
  <c r="R46" i="222" s="1"/>
  <c r="S46" i="222" s="1"/>
  <c r="E47" i="222"/>
  <c r="E48" i="222"/>
  <c r="Q48" i="222" s="1"/>
  <c r="R48" i="222" s="1"/>
  <c r="S48" i="222" s="1"/>
  <c r="E49" i="222"/>
  <c r="Q49" i="222" s="1"/>
  <c r="R49" i="222" s="1"/>
  <c r="S49" i="222" s="1"/>
  <c r="E50" i="222"/>
  <c r="E51" i="222"/>
  <c r="Q51" i="222" s="1"/>
  <c r="R51" i="222" s="1"/>
  <c r="S51" i="222" s="1"/>
  <c r="E52" i="222"/>
  <c r="Q52" i="222" s="1"/>
  <c r="R52" i="222" s="1"/>
  <c r="S52" i="222" s="1"/>
  <c r="E53" i="222"/>
  <c r="E45" i="222"/>
  <c r="Q45" i="222" s="1"/>
  <c r="R45" i="222" s="1"/>
  <c r="S45" i="222" s="1"/>
  <c r="F19" i="222"/>
  <c r="G19" i="222"/>
  <c r="H19" i="222"/>
  <c r="I19" i="222"/>
  <c r="J19" i="222"/>
  <c r="K19" i="222"/>
  <c r="L19" i="222"/>
  <c r="M19" i="222"/>
  <c r="N19" i="222"/>
  <c r="O19" i="222"/>
  <c r="P19" i="222"/>
  <c r="F20" i="222"/>
  <c r="G20" i="222"/>
  <c r="H20" i="222"/>
  <c r="I20" i="222"/>
  <c r="J20" i="222"/>
  <c r="K20" i="222"/>
  <c r="L20" i="222"/>
  <c r="M20" i="222"/>
  <c r="N20" i="222"/>
  <c r="O20" i="222"/>
  <c r="P20" i="222"/>
  <c r="F21" i="222"/>
  <c r="G21" i="222"/>
  <c r="H21" i="222"/>
  <c r="I21" i="222"/>
  <c r="J21" i="222"/>
  <c r="K21" i="222"/>
  <c r="L21" i="222"/>
  <c r="M21" i="222"/>
  <c r="N21" i="222"/>
  <c r="O21" i="222"/>
  <c r="P21" i="222"/>
  <c r="F22" i="222"/>
  <c r="G22" i="222"/>
  <c r="H22" i="222"/>
  <c r="I22" i="222"/>
  <c r="J22" i="222"/>
  <c r="K22" i="222"/>
  <c r="L22" i="222"/>
  <c r="M22" i="222"/>
  <c r="N22" i="222"/>
  <c r="O22" i="222"/>
  <c r="P22" i="222"/>
  <c r="F23" i="222"/>
  <c r="G23" i="222"/>
  <c r="H23" i="222"/>
  <c r="I23" i="222"/>
  <c r="J23" i="222"/>
  <c r="K23" i="222"/>
  <c r="L23" i="222"/>
  <c r="M23" i="222"/>
  <c r="N23" i="222"/>
  <c r="O23" i="222"/>
  <c r="P23" i="222"/>
  <c r="F24" i="222"/>
  <c r="G24" i="222"/>
  <c r="H24" i="222"/>
  <c r="I24" i="222"/>
  <c r="J24" i="222"/>
  <c r="K24" i="222"/>
  <c r="L24" i="222"/>
  <c r="M24" i="222"/>
  <c r="N24" i="222"/>
  <c r="O24" i="222"/>
  <c r="P24" i="222"/>
  <c r="F25" i="222"/>
  <c r="G25" i="222"/>
  <c r="H25" i="222"/>
  <c r="I25" i="222"/>
  <c r="J25" i="222"/>
  <c r="K25" i="222"/>
  <c r="L25" i="222"/>
  <c r="M25" i="222"/>
  <c r="N25" i="222"/>
  <c r="O25" i="222"/>
  <c r="P25" i="222"/>
  <c r="F26" i="222"/>
  <c r="G26" i="222"/>
  <c r="H26" i="222"/>
  <c r="I26" i="222"/>
  <c r="J26" i="222"/>
  <c r="K26" i="222"/>
  <c r="L26" i="222"/>
  <c r="M26" i="222"/>
  <c r="N26" i="222"/>
  <c r="O26" i="222"/>
  <c r="P26" i="222"/>
  <c r="F27" i="222"/>
  <c r="G27" i="222"/>
  <c r="H27" i="222"/>
  <c r="I27" i="222"/>
  <c r="J27" i="222"/>
  <c r="K27" i="222"/>
  <c r="L27" i="222"/>
  <c r="M27" i="222"/>
  <c r="N27" i="222"/>
  <c r="O27" i="222"/>
  <c r="P27" i="222"/>
  <c r="F28" i="222"/>
  <c r="G28" i="222"/>
  <c r="H28" i="222"/>
  <c r="I28" i="222"/>
  <c r="J28" i="222"/>
  <c r="K28" i="222"/>
  <c r="L28" i="222"/>
  <c r="M28" i="222"/>
  <c r="N28" i="222"/>
  <c r="O28" i="222"/>
  <c r="P28" i="222"/>
  <c r="F29" i="222"/>
  <c r="G29" i="222"/>
  <c r="H29" i="222"/>
  <c r="I29" i="222"/>
  <c r="J29" i="222"/>
  <c r="K29" i="222"/>
  <c r="L29" i="222"/>
  <c r="M29" i="222"/>
  <c r="N29" i="222"/>
  <c r="O29" i="222"/>
  <c r="P29" i="222"/>
  <c r="F30" i="222"/>
  <c r="G30" i="222"/>
  <c r="H30" i="222"/>
  <c r="I30" i="222"/>
  <c r="J30" i="222"/>
  <c r="K30" i="222"/>
  <c r="L30" i="222"/>
  <c r="M30" i="222"/>
  <c r="N30" i="222"/>
  <c r="O30" i="222"/>
  <c r="P30" i="222"/>
  <c r="F31" i="222"/>
  <c r="G31" i="222"/>
  <c r="H31" i="222"/>
  <c r="I31" i="222"/>
  <c r="J31" i="222"/>
  <c r="K31" i="222"/>
  <c r="L31" i="222"/>
  <c r="M31" i="222"/>
  <c r="N31" i="222"/>
  <c r="O31" i="222"/>
  <c r="P31" i="222"/>
  <c r="F32" i="222"/>
  <c r="G32" i="222"/>
  <c r="H32" i="222"/>
  <c r="I32" i="222"/>
  <c r="J32" i="222"/>
  <c r="K32" i="222"/>
  <c r="L32" i="222"/>
  <c r="M32" i="222"/>
  <c r="N32" i="222"/>
  <c r="O32" i="222"/>
  <c r="P32" i="222"/>
  <c r="F33" i="222"/>
  <c r="G33" i="222"/>
  <c r="H33" i="222"/>
  <c r="I33" i="222"/>
  <c r="J33" i="222"/>
  <c r="K33" i="222"/>
  <c r="L33" i="222"/>
  <c r="M33" i="222"/>
  <c r="N33" i="222"/>
  <c r="O33" i="222"/>
  <c r="P33" i="222"/>
  <c r="F34" i="222"/>
  <c r="G34" i="222"/>
  <c r="H34" i="222"/>
  <c r="I34" i="222"/>
  <c r="J34" i="222"/>
  <c r="K34" i="222"/>
  <c r="L34" i="222"/>
  <c r="M34" i="222"/>
  <c r="N34" i="222"/>
  <c r="O34" i="222"/>
  <c r="P34" i="222"/>
  <c r="F35" i="222"/>
  <c r="G35" i="222"/>
  <c r="H35" i="222"/>
  <c r="I35" i="222"/>
  <c r="J35" i="222"/>
  <c r="K35" i="222"/>
  <c r="L35" i="222"/>
  <c r="M35" i="222"/>
  <c r="N35" i="222"/>
  <c r="O35" i="222"/>
  <c r="P35" i="222"/>
  <c r="F36" i="222"/>
  <c r="G36" i="222"/>
  <c r="H36" i="222"/>
  <c r="I36" i="222"/>
  <c r="J36" i="222"/>
  <c r="K36" i="222"/>
  <c r="L36" i="222"/>
  <c r="M36" i="222"/>
  <c r="N36" i="222"/>
  <c r="O36" i="222"/>
  <c r="P36" i="222"/>
  <c r="F37" i="222"/>
  <c r="G37" i="222"/>
  <c r="H37" i="222"/>
  <c r="I37" i="222"/>
  <c r="J37" i="222"/>
  <c r="K37" i="222"/>
  <c r="L37" i="222"/>
  <c r="M37" i="222"/>
  <c r="N37" i="222"/>
  <c r="O37" i="222"/>
  <c r="P37" i="222"/>
  <c r="F38" i="222"/>
  <c r="G38" i="222"/>
  <c r="H38" i="222"/>
  <c r="I38" i="222"/>
  <c r="J38" i="222"/>
  <c r="K38" i="222"/>
  <c r="L38" i="222"/>
  <c r="M38" i="222"/>
  <c r="N38" i="222"/>
  <c r="O38" i="222"/>
  <c r="P38" i="222"/>
  <c r="F39" i="222"/>
  <c r="G39" i="222"/>
  <c r="H39" i="222"/>
  <c r="I39" i="222"/>
  <c r="J39" i="222"/>
  <c r="K39" i="222"/>
  <c r="L39" i="222"/>
  <c r="M39" i="222"/>
  <c r="N39" i="222"/>
  <c r="O39" i="222"/>
  <c r="P39" i="222"/>
  <c r="F40" i="222"/>
  <c r="G40" i="222"/>
  <c r="H40" i="222"/>
  <c r="I40" i="222"/>
  <c r="J40" i="222"/>
  <c r="K40" i="222"/>
  <c r="L40" i="222"/>
  <c r="M40" i="222"/>
  <c r="N40" i="222"/>
  <c r="O40" i="222"/>
  <c r="P40" i="222"/>
  <c r="F41" i="222"/>
  <c r="G41" i="222"/>
  <c r="H41" i="222"/>
  <c r="I41" i="222"/>
  <c r="J41" i="222"/>
  <c r="K41" i="222"/>
  <c r="L41" i="222"/>
  <c r="M41" i="222"/>
  <c r="N41" i="222"/>
  <c r="O41" i="222"/>
  <c r="P41" i="222"/>
  <c r="F42" i="222"/>
  <c r="G42" i="222"/>
  <c r="H42" i="222"/>
  <c r="I42" i="222"/>
  <c r="J42" i="222"/>
  <c r="K42" i="222"/>
  <c r="L42" i="222"/>
  <c r="M42" i="222"/>
  <c r="N42" i="222"/>
  <c r="O42" i="222"/>
  <c r="P42" i="222"/>
  <c r="F43" i="222"/>
  <c r="G43" i="222"/>
  <c r="H43" i="222"/>
  <c r="I43" i="222"/>
  <c r="J43" i="222"/>
  <c r="K43" i="222"/>
  <c r="L43" i="222"/>
  <c r="M43" i="222"/>
  <c r="N43" i="222"/>
  <c r="O43" i="222"/>
  <c r="P43" i="222"/>
  <c r="E20" i="222"/>
  <c r="Q20" i="222" s="1"/>
  <c r="E21" i="222"/>
  <c r="E22" i="222"/>
  <c r="E23" i="222"/>
  <c r="E24" i="222"/>
  <c r="E25" i="222"/>
  <c r="E26" i="222"/>
  <c r="E27" i="222"/>
  <c r="E28" i="222"/>
  <c r="E29" i="222"/>
  <c r="E30" i="222"/>
  <c r="E31" i="222"/>
  <c r="E32" i="222"/>
  <c r="E33" i="222"/>
  <c r="E34" i="222"/>
  <c r="E35" i="222"/>
  <c r="E36" i="222"/>
  <c r="E37" i="222"/>
  <c r="E38" i="222"/>
  <c r="E39" i="222"/>
  <c r="E40" i="222"/>
  <c r="E41" i="222"/>
  <c r="E42" i="222"/>
  <c r="E43" i="222"/>
  <c r="E19" i="222"/>
  <c r="F12" i="222"/>
  <c r="G12" i="222"/>
  <c r="H12" i="222"/>
  <c r="I12" i="222"/>
  <c r="J12" i="222"/>
  <c r="K12" i="222"/>
  <c r="L12" i="222"/>
  <c r="M12" i="222"/>
  <c r="N12" i="222"/>
  <c r="O12" i="222"/>
  <c r="P12" i="222"/>
  <c r="F13" i="222"/>
  <c r="G13" i="222"/>
  <c r="H13" i="222"/>
  <c r="I13" i="222"/>
  <c r="J13" i="222"/>
  <c r="K13" i="222"/>
  <c r="L13" i="222"/>
  <c r="M13" i="222"/>
  <c r="N13" i="222"/>
  <c r="O13" i="222"/>
  <c r="P13" i="222"/>
  <c r="F14" i="222"/>
  <c r="G14" i="222"/>
  <c r="H14" i="222"/>
  <c r="I14" i="222"/>
  <c r="J14" i="222"/>
  <c r="K14" i="222"/>
  <c r="L14" i="222"/>
  <c r="M14" i="222"/>
  <c r="N14" i="222"/>
  <c r="O14" i="222"/>
  <c r="P14" i="222"/>
  <c r="F15" i="222"/>
  <c r="G15" i="222"/>
  <c r="H15" i="222"/>
  <c r="I15" i="222"/>
  <c r="J15" i="222"/>
  <c r="K15" i="222"/>
  <c r="L15" i="222"/>
  <c r="M15" i="222"/>
  <c r="N15" i="222"/>
  <c r="O15" i="222"/>
  <c r="P15" i="222"/>
  <c r="F16" i="222"/>
  <c r="G16" i="222"/>
  <c r="H16" i="222"/>
  <c r="I16" i="222"/>
  <c r="J16" i="222"/>
  <c r="K16" i="222"/>
  <c r="L16" i="222"/>
  <c r="M16" i="222"/>
  <c r="N16" i="222"/>
  <c r="O16" i="222"/>
  <c r="P16" i="222"/>
  <c r="F17" i="222"/>
  <c r="G17" i="222"/>
  <c r="H17" i="222"/>
  <c r="I17" i="222"/>
  <c r="J17" i="222"/>
  <c r="K17" i="222"/>
  <c r="L17" i="222"/>
  <c r="M17" i="222"/>
  <c r="M11" i="222" s="1"/>
  <c r="N17" i="222"/>
  <c r="O17" i="222"/>
  <c r="P17" i="222"/>
  <c r="E13" i="222"/>
  <c r="E14" i="222"/>
  <c r="E15" i="222"/>
  <c r="E16" i="222"/>
  <c r="E17" i="222"/>
  <c r="E12" i="222"/>
  <c r="F8" i="222"/>
  <c r="G8" i="222"/>
  <c r="H8" i="222"/>
  <c r="I8" i="222"/>
  <c r="J8" i="222"/>
  <c r="K8" i="222"/>
  <c r="L8" i="222"/>
  <c r="M8" i="222"/>
  <c r="N8" i="222"/>
  <c r="O8" i="222"/>
  <c r="P8" i="222"/>
  <c r="F9" i="222"/>
  <c r="G9" i="222"/>
  <c r="H9" i="222"/>
  <c r="I9" i="222"/>
  <c r="J9" i="222"/>
  <c r="K9" i="222"/>
  <c r="L9" i="222"/>
  <c r="M9" i="222"/>
  <c r="N9" i="222"/>
  <c r="O9" i="222"/>
  <c r="P9" i="222"/>
  <c r="F10" i="222"/>
  <c r="G10" i="222"/>
  <c r="H10" i="222"/>
  <c r="I10" i="222"/>
  <c r="J10" i="222"/>
  <c r="K10" i="222"/>
  <c r="L10" i="222"/>
  <c r="M10" i="222"/>
  <c r="N10" i="222"/>
  <c r="O10" i="222"/>
  <c r="P10" i="222"/>
  <c r="E9" i="222"/>
  <c r="E10" i="222"/>
  <c r="E8" i="222"/>
  <c r="P44" i="222"/>
  <c r="O44" i="222"/>
  <c r="M44" i="222"/>
  <c r="L44" i="222"/>
  <c r="K44" i="222"/>
  <c r="J44" i="222"/>
  <c r="I44" i="222"/>
  <c r="H44" i="222"/>
  <c r="G44" i="222"/>
  <c r="F44" i="222"/>
  <c r="Q43" i="222"/>
  <c r="Q42" i="222"/>
  <c r="Q41" i="222"/>
  <c r="Q40" i="222"/>
  <c r="Q38" i="222"/>
  <c r="Q37" i="222"/>
  <c r="Q36" i="222"/>
  <c r="Q35" i="222"/>
  <c r="Q34" i="222"/>
  <c r="Q33" i="222"/>
  <c r="Q32" i="222"/>
  <c r="Q31" i="222"/>
  <c r="Q30" i="222"/>
  <c r="Q29" i="222"/>
  <c r="Q28" i="222"/>
  <c r="Q27" i="222"/>
  <c r="Q26" i="222"/>
  <c r="Q25" i="222"/>
  <c r="Q23" i="222"/>
  <c r="Q21" i="222"/>
  <c r="Q19" i="222"/>
  <c r="P18" i="222"/>
  <c r="O18" i="222"/>
  <c r="N18" i="222"/>
  <c r="M18" i="222"/>
  <c r="L18" i="222"/>
  <c r="K18" i="222"/>
  <c r="J18" i="222"/>
  <c r="I18" i="222"/>
  <c r="F18" i="222"/>
  <c r="E18" i="222"/>
  <c r="H11" i="222"/>
  <c r="F11" i="222"/>
  <c r="Q14" i="222"/>
  <c r="Q12" i="222"/>
  <c r="O11" i="222"/>
  <c r="L11" i="222"/>
  <c r="K11" i="222"/>
  <c r="J11" i="222"/>
  <c r="I11" i="222"/>
  <c r="G11" i="222"/>
  <c r="Q10" i="222"/>
  <c r="O7" i="222"/>
  <c r="M7" i="222"/>
  <c r="K7" i="222"/>
  <c r="I7" i="222"/>
  <c r="I6" i="222" s="1"/>
  <c r="I5" i="222" s="1"/>
  <c r="G7" i="222"/>
  <c r="G6" i="222" s="1"/>
  <c r="E7" i="222"/>
  <c r="D9" i="222"/>
  <c r="Q8" i="222"/>
  <c r="P7" i="222"/>
  <c r="N7" i="222"/>
  <c r="L7" i="222"/>
  <c r="L6" i="222" s="1"/>
  <c r="L5" i="222" s="1"/>
  <c r="J7" i="222"/>
  <c r="H7" i="222"/>
  <c r="H6" i="222" s="1"/>
  <c r="F7" i="222"/>
  <c r="F6" i="222" s="1"/>
  <c r="Q53" i="221"/>
  <c r="Q52" i="221"/>
  <c r="Q51" i="221"/>
  <c r="R51" i="221" s="1"/>
  <c r="Q50" i="221"/>
  <c r="Q49" i="221"/>
  <c r="R49" i="221" s="1"/>
  <c r="Q48" i="221"/>
  <c r="Q47" i="221"/>
  <c r="Q46" i="221"/>
  <c r="Q45" i="221"/>
  <c r="R45" i="221" s="1"/>
  <c r="P44" i="221"/>
  <c r="O44" i="221"/>
  <c r="N44" i="221"/>
  <c r="M44" i="221"/>
  <c r="K44" i="221"/>
  <c r="J44" i="221"/>
  <c r="I44" i="221"/>
  <c r="H44" i="221"/>
  <c r="G44" i="221"/>
  <c r="F44" i="221"/>
  <c r="E44" i="221"/>
  <c r="Q43" i="221"/>
  <c r="T43" i="221" s="1"/>
  <c r="Q42" i="221"/>
  <c r="Q41" i="221"/>
  <c r="T41" i="221" s="1"/>
  <c r="W41" i="221" s="1"/>
  <c r="Q40" i="221"/>
  <c r="T40" i="221" s="1"/>
  <c r="Q39" i="221"/>
  <c r="Q38" i="221"/>
  <c r="T38" i="221" s="1"/>
  <c r="W38" i="221" s="1"/>
  <c r="Q37" i="221"/>
  <c r="T37" i="221" s="1"/>
  <c r="Q36" i="221"/>
  <c r="Q35" i="221"/>
  <c r="T35" i="221" s="1"/>
  <c r="W35" i="221" s="1"/>
  <c r="Q34" i="221"/>
  <c r="T34" i="221" s="1"/>
  <c r="Q33" i="221"/>
  <c r="Q32" i="221"/>
  <c r="T32" i="221" s="1"/>
  <c r="W32" i="221" s="1"/>
  <c r="Q31" i="221"/>
  <c r="T31" i="221" s="1"/>
  <c r="Q30" i="221"/>
  <c r="Q29" i="221"/>
  <c r="T29" i="221" s="1"/>
  <c r="W29" i="221" s="1"/>
  <c r="Q28" i="221"/>
  <c r="T28" i="221" s="1"/>
  <c r="Q27" i="221"/>
  <c r="Q26" i="221"/>
  <c r="T26" i="221" s="1"/>
  <c r="W26" i="221" s="1"/>
  <c r="Q25" i="221"/>
  <c r="T25" i="221" s="1"/>
  <c r="Q24" i="221"/>
  <c r="Q23" i="221"/>
  <c r="T23" i="221" s="1"/>
  <c r="W23" i="221" s="1"/>
  <c r="Q22" i="221"/>
  <c r="T22" i="221" s="1"/>
  <c r="Q21" i="221"/>
  <c r="Q20" i="221"/>
  <c r="T20" i="221" s="1"/>
  <c r="W20" i="221" s="1"/>
  <c r="Q19" i="221"/>
  <c r="T19" i="221" s="1"/>
  <c r="P18" i="221"/>
  <c r="O18" i="221"/>
  <c r="O5" i="221" s="1"/>
  <c r="N18" i="221"/>
  <c r="M18" i="221"/>
  <c r="K18" i="221"/>
  <c r="J18" i="221"/>
  <c r="I18" i="221"/>
  <c r="H18" i="221"/>
  <c r="G18" i="221"/>
  <c r="F18" i="221"/>
  <c r="F5" i="221" s="1"/>
  <c r="E18" i="221"/>
  <c r="E5" i="221" s="1"/>
  <c r="Q17" i="221"/>
  <c r="T16" i="221"/>
  <c r="W16" i="221" s="1"/>
  <c r="R16" i="221"/>
  <c r="Q16" i="221"/>
  <c r="S16" i="221" s="1"/>
  <c r="T15" i="221"/>
  <c r="R15" i="221"/>
  <c r="Q15" i="221"/>
  <c r="S15" i="221" s="1"/>
  <c r="Q14" i="221"/>
  <c r="T13" i="221"/>
  <c r="W13" i="221" s="1"/>
  <c r="R13" i="221"/>
  <c r="Q13" i="221"/>
  <c r="S13" i="221" s="1"/>
  <c r="T12" i="221"/>
  <c r="R12" i="221"/>
  <c r="Q12" i="221"/>
  <c r="S12" i="221" s="1"/>
  <c r="Q11" i="221"/>
  <c r="P11" i="221"/>
  <c r="O11" i="221"/>
  <c r="N11" i="221"/>
  <c r="M11" i="221"/>
  <c r="K11" i="221"/>
  <c r="J11" i="221"/>
  <c r="I11" i="221"/>
  <c r="H11" i="221"/>
  <c r="G11" i="221"/>
  <c r="F11" i="221"/>
  <c r="E11" i="221"/>
  <c r="T10" i="221"/>
  <c r="W10" i="221" s="1"/>
  <c r="R10" i="221"/>
  <c r="Q10" i="221"/>
  <c r="S10" i="221" s="1"/>
  <c r="Q9" i="221"/>
  <c r="D9" i="221"/>
  <c r="T8" i="221"/>
  <c r="R8" i="221"/>
  <c r="Q8" i="221"/>
  <c r="S8" i="221" s="1"/>
  <c r="P7" i="221"/>
  <c r="O7" i="221"/>
  <c r="N7" i="221"/>
  <c r="M7" i="221"/>
  <c r="K7" i="221"/>
  <c r="J7" i="221"/>
  <c r="I7" i="221"/>
  <c r="H7" i="221"/>
  <c r="G7" i="221"/>
  <c r="F7" i="221"/>
  <c r="E7" i="221"/>
  <c r="Q7" i="221" s="1"/>
  <c r="P6" i="221"/>
  <c r="O6" i="221"/>
  <c r="N6" i="221"/>
  <c r="M6" i="221"/>
  <c r="K6" i="221"/>
  <c r="J6" i="221"/>
  <c r="I6" i="221"/>
  <c r="H6" i="221"/>
  <c r="G6" i="221"/>
  <c r="F6" i="221"/>
  <c r="E6" i="221"/>
  <c r="Q6" i="221" s="1"/>
  <c r="P5" i="221"/>
  <c r="N5" i="221"/>
  <c r="M5" i="221"/>
  <c r="K5" i="221"/>
  <c r="J5" i="221"/>
  <c r="I5" i="221"/>
  <c r="G5" i="221"/>
  <c r="Q53" i="220"/>
  <c r="Q52" i="220"/>
  <c r="Q51" i="220"/>
  <c r="Q50" i="220"/>
  <c r="Q49" i="220"/>
  <c r="Q48" i="220"/>
  <c r="T48" i="220" s="1"/>
  <c r="Q47" i="220"/>
  <c r="Q46" i="220"/>
  <c r="Q45" i="220"/>
  <c r="P44" i="220"/>
  <c r="O44" i="220"/>
  <c r="N44" i="220"/>
  <c r="M44" i="220"/>
  <c r="L44" i="220"/>
  <c r="K44" i="220"/>
  <c r="J44" i="220"/>
  <c r="I44" i="220"/>
  <c r="H44" i="220"/>
  <c r="G44" i="220"/>
  <c r="F44" i="220"/>
  <c r="E44" i="220"/>
  <c r="Q43" i="220"/>
  <c r="T43" i="220" s="1"/>
  <c r="Q42" i="220"/>
  <c r="T42" i="220" s="1"/>
  <c r="W42" i="220" s="1"/>
  <c r="Q41" i="220"/>
  <c r="R41" i="220" s="1"/>
  <c r="Q40" i="220"/>
  <c r="Q39" i="220"/>
  <c r="T39" i="220" s="1"/>
  <c r="W39" i="220" s="1"/>
  <c r="Q38" i="220"/>
  <c r="T38" i="220" s="1"/>
  <c r="W38" i="220" s="1"/>
  <c r="Q37" i="220"/>
  <c r="T37" i="220" s="1"/>
  <c r="Q36" i="220"/>
  <c r="R36" i="220" s="1"/>
  <c r="Q35" i="220"/>
  <c r="T35" i="220" s="1"/>
  <c r="W35" i="220" s="1"/>
  <c r="Q34" i="220"/>
  <c r="T34" i="220" s="1"/>
  <c r="Q33" i="220"/>
  <c r="Q32" i="220"/>
  <c r="Q31" i="220"/>
  <c r="T31" i="220" s="1"/>
  <c r="Q30" i="220"/>
  <c r="Q29" i="220"/>
  <c r="T29" i="220" s="1"/>
  <c r="W29" i="220" s="1"/>
  <c r="Q28" i="220"/>
  <c r="Q27" i="220"/>
  <c r="Q26" i="220"/>
  <c r="Q25" i="220"/>
  <c r="T25" i="220" s="1"/>
  <c r="Q24" i="220"/>
  <c r="R24" i="220" s="1"/>
  <c r="Q23" i="220"/>
  <c r="T23" i="220" s="1"/>
  <c r="W23" i="220" s="1"/>
  <c r="Q22" i="220"/>
  <c r="T22" i="220" s="1"/>
  <c r="Q21" i="220"/>
  <c r="R21" i="220" s="1"/>
  <c r="Q20" i="220"/>
  <c r="T20" i="220" s="1"/>
  <c r="W20" i="220" s="1"/>
  <c r="P18" i="220"/>
  <c r="N18" i="220"/>
  <c r="M18" i="220"/>
  <c r="L18" i="220"/>
  <c r="K18" i="220"/>
  <c r="J18" i="220"/>
  <c r="I18" i="220"/>
  <c r="H18" i="220"/>
  <c r="G18" i="220"/>
  <c r="F18" i="220"/>
  <c r="E18" i="220"/>
  <c r="Q17" i="220"/>
  <c r="Q16" i="220"/>
  <c r="T16" i="220" s="1"/>
  <c r="W16" i="220" s="1"/>
  <c r="Q15" i="220"/>
  <c r="T15" i="220" s="1"/>
  <c r="Q14" i="220"/>
  <c r="R14" i="220" s="1"/>
  <c r="Q13" i="220"/>
  <c r="T13" i="220" s="1"/>
  <c r="W13" i="220" s="1"/>
  <c r="Q12" i="220"/>
  <c r="T12" i="220" s="1"/>
  <c r="P11" i="220"/>
  <c r="O11" i="220"/>
  <c r="N11" i="220"/>
  <c r="M11" i="220"/>
  <c r="L11" i="220"/>
  <c r="K11" i="220"/>
  <c r="J11" i="220"/>
  <c r="I11" i="220"/>
  <c r="H11" i="220"/>
  <c r="G11" i="220"/>
  <c r="F11" i="220"/>
  <c r="E11" i="220"/>
  <c r="Q10" i="220"/>
  <c r="R10" i="220" s="1"/>
  <c r="Q9" i="220"/>
  <c r="D9" i="220"/>
  <c r="R8" i="220"/>
  <c r="Q8" i="220"/>
  <c r="P7" i="220"/>
  <c r="O7" i="220"/>
  <c r="N7" i="220"/>
  <c r="M7" i="220"/>
  <c r="L7" i="220"/>
  <c r="K7" i="220"/>
  <c r="J7" i="220"/>
  <c r="I7" i="220"/>
  <c r="H7" i="220"/>
  <c r="G7" i="220"/>
  <c r="F7" i="220"/>
  <c r="E7" i="220"/>
  <c r="P6" i="220"/>
  <c r="O6" i="220"/>
  <c r="N6" i="220"/>
  <c r="M6" i="220"/>
  <c r="L6" i="220"/>
  <c r="K6" i="220"/>
  <c r="J6" i="220"/>
  <c r="I6" i="220"/>
  <c r="H6" i="220"/>
  <c r="G6" i="220"/>
  <c r="F6" i="220"/>
  <c r="E6" i="220"/>
  <c r="P5" i="220"/>
  <c r="L5" i="220"/>
  <c r="K5" i="220"/>
  <c r="J5" i="220"/>
  <c r="I5" i="220"/>
  <c r="G5" i="220"/>
  <c r="F5" i="220"/>
  <c r="E5" i="220"/>
  <c r="Q54" i="219"/>
  <c r="Q53" i="219"/>
  <c r="Q52" i="219"/>
  <c r="R52" i="219" s="1"/>
  <c r="Q51" i="219"/>
  <c r="Q50" i="219"/>
  <c r="R50" i="219" s="1"/>
  <c r="Q49" i="219"/>
  <c r="Q48" i="219"/>
  <c r="Q47" i="219"/>
  <c r="Q46" i="219"/>
  <c r="R46" i="219" s="1"/>
  <c r="P45" i="219"/>
  <c r="O45" i="219"/>
  <c r="N45" i="219"/>
  <c r="M45" i="219"/>
  <c r="L45" i="219"/>
  <c r="K45" i="219"/>
  <c r="J45" i="219"/>
  <c r="I45" i="219"/>
  <c r="H45" i="219"/>
  <c r="G45" i="219"/>
  <c r="F45" i="219"/>
  <c r="E45" i="219"/>
  <c r="Q44" i="219"/>
  <c r="Q43" i="219"/>
  <c r="Q42" i="219"/>
  <c r="Q41" i="219"/>
  <c r="Q40" i="219"/>
  <c r="R40" i="219" s="1"/>
  <c r="Q39" i="219"/>
  <c r="Q38" i="219"/>
  <c r="Q37" i="219"/>
  <c r="Q36" i="219"/>
  <c r="Q35" i="219"/>
  <c r="Q34" i="219"/>
  <c r="R34" i="219" s="1"/>
  <c r="Q33" i="219"/>
  <c r="Q32" i="219"/>
  <c r="Q31" i="219"/>
  <c r="Q30" i="219"/>
  <c r="Q29" i="219"/>
  <c r="Q28" i="219"/>
  <c r="R28" i="219" s="1"/>
  <c r="Q27" i="219"/>
  <c r="Q26" i="219"/>
  <c r="Q25" i="219"/>
  <c r="Q24" i="219"/>
  <c r="Q23" i="219"/>
  <c r="Q22" i="219"/>
  <c r="Q21" i="219"/>
  <c r="Q20" i="219"/>
  <c r="R20" i="219" s="1"/>
  <c r="P19" i="219"/>
  <c r="O19" i="219"/>
  <c r="N19" i="219"/>
  <c r="M19" i="219"/>
  <c r="L19" i="219"/>
  <c r="K19" i="219"/>
  <c r="J19" i="219"/>
  <c r="I19" i="219"/>
  <c r="H19" i="219"/>
  <c r="G19" i="219"/>
  <c r="F19" i="219"/>
  <c r="E19" i="219"/>
  <c r="Q18" i="219"/>
  <c r="Q17" i="219"/>
  <c r="Q16" i="219"/>
  <c r="Q15" i="219"/>
  <c r="Q14" i="219"/>
  <c r="Q13" i="219"/>
  <c r="P12" i="219"/>
  <c r="O12" i="219"/>
  <c r="O7" i="219" s="1"/>
  <c r="O6" i="219" s="1"/>
  <c r="M12" i="219"/>
  <c r="L12" i="219"/>
  <c r="K12" i="219"/>
  <c r="J12" i="219"/>
  <c r="I12" i="219"/>
  <c r="H12" i="219"/>
  <c r="G12" i="219"/>
  <c r="F12" i="219"/>
  <c r="E12" i="219"/>
  <c r="Q11" i="219"/>
  <c r="Q10" i="219"/>
  <c r="D10" i="219"/>
  <c r="Q9" i="219"/>
  <c r="P8" i="219"/>
  <c r="O8" i="219"/>
  <c r="N8" i="219"/>
  <c r="M8" i="219"/>
  <c r="L8" i="219"/>
  <c r="K8" i="219"/>
  <c r="J8" i="219"/>
  <c r="I8" i="219"/>
  <c r="I7" i="219" s="1"/>
  <c r="I6" i="219" s="1"/>
  <c r="H8" i="219"/>
  <c r="G8" i="219"/>
  <c r="F8" i="219"/>
  <c r="E8" i="219"/>
  <c r="Q8" i="219" s="1"/>
  <c r="P7" i="219"/>
  <c r="P6" i="219" s="1"/>
  <c r="M7" i="219"/>
  <c r="L7" i="219"/>
  <c r="L6" i="219" s="1"/>
  <c r="K7" i="219"/>
  <c r="J7" i="219"/>
  <c r="J6" i="219" s="1"/>
  <c r="H7" i="219"/>
  <c r="H6" i="219" s="1"/>
  <c r="G7" i="219"/>
  <c r="F7" i="219"/>
  <c r="E7" i="219"/>
  <c r="M6" i="219"/>
  <c r="K6" i="219"/>
  <c r="G6" i="219"/>
  <c r="E6" i="219"/>
  <c r="Q59" i="223" l="1"/>
  <c r="Q6" i="220"/>
  <c r="Q7" i="220"/>
  <c r="S8" i="220"/>
  <c r="T8" i="220"/>
  <c r="T9" i="220"/>
  <c r="W9" i="220" s="1"/>
  <c r="Q11" i="220"/>
  <c r="H5" i="220"/>
  <c r="Q39" i="222"/>
  <c r="N44" i="222"/>
  <c r="S10" i="220"/>
  <c r="T10" i="220"/>
  <c r="W10" i="220" s="1"/>
  <c r="S14" i="220"/>
  <c r="T14" i="220"/>
  <c r="W14" i="220" s="1"/>
  <c r="M5" i="220"/>
  <c r="G5" i="223"/>
  <c r="G18" i="222"/>
  <c r="G5" i="222" s="1"/>
  <c r="I5" i="223"/>
  <c r="E5" i="223"/>
  <c r="M5" i="223"/>
  <c r="T21" i="223"/>
  <c r="T23" i="223"/>
  <c r="T25" i="223"/>
  <c r="T29" i="223"/>
  <c r="T31" i="223"/>
  <c r="T35" i="223"/>
  <c r="T37" i="223"/>
  <c r="T41" i="223"/>
  <c r="T43" i="223"/>
  <c r="R46" i="223"/>
  <c r="R48" i="223"/>
  <c r="T50" i="223"/>
  <c r="R52" i="223"/>
  <c r="K5" i="223"/>
  <c r="F5" i="223"/>
  <c r="H5" i="223"/>
  <c r="J5" i="223"/>
  <c r="L5" i="223"/>
  <c r="N5" i="223"/>
  <c r="P5" i="223"/>
  <c r="R13" i="223"/>
  <c r="R17" i="223"/>
  <c r="R20" i="223"/>
  <c r="R22" i="223"/>
  <c r="R24" i="223"/>
  <c r="T26" i="223"/>
  <c r="T28" i="223"/>
  <c r="R30" i="223"/>
  <c r="T32" i="223"/>
  <c r="T34" i="223"/>
  <c r="R36" i="223"/>
  <c r="T38" i="223"/>
  <c r="T40" i="223"/>
  <c r="R42" i="223"/>
  <c r="R45" i="223"/>
  <c r="T47" i="223"/>
  <c r="R49" i="223"/>
  <c r="R51" i="223"/>
  <c r="T53" i="223"/>
  <c r="N11" i="222"/>
  <c r="P11" i="222"/>
  <c r="P6" i="222" s="1"/>
  <c r="P5" i="222" s="1"/>
  <c r="O5" i="223"/>
  <c r="Q22" i="222"/>
  <c r="Q53" i="222"/>
  <c r="R53" i="222" s="1"/>
  <c r="S53" i="222" s="1"/>
  <c r="Q50" i="222"/>
  <c r="R50" i="222" s="1"/>
  <c r="S50" i="222" s="1"/>
  <c r="Q47" i="222"/>
  <c r="R47" i="222" s="1"/>
  <c r="S47" i="222" s="1"/>
  <c r="O6" i="222"/>
  <c r="O5" i="222" s="1"/>
  <c r="K6" i="222"/>
  <c r="K5" i="222" s="1"/>
  <c r="H18" i="222"/>
  <c r="H5" i="222" s="1"/>
  <c r="H5" i="221"/>
  <c r="N5" i="220"/>
  <c r="Q44" i="220"/>
  <c r="Q24" i="222"/>
  <c r="N6" i="222"/>
  <c r="N5" i="222" s="1"/>
  <c r="Q17" i="222"/>
  <c r="Q15" i="222"/>
  <c r="Q13" i="222"/>
  <c r="Q16" i="222"/>
  <c r="Q44" i="223"/>
  <c r="F6" i="219"/>
  <c r="F5" i="222"/>
  <c r="Q5" i="221"/>
  <c r="J6" i="222"/>
  <c r="J5" i="222" s="1"/>
  <c r="M6" i="222"/>
  <c r="M5" i="222" s="1"/>
  <c r="Q18" i="221"/>
  <c r="Q44" i="221"/>
  <c r="Q19" i="219"/>
  <c r="Q45" i="219"/>
  <c r="T54" i="223"/>
  <c r="R54" i="223"/>
  <c r="S54" i="223" s="1"/>
  <c r="S45" i="223"/>
  <c r="T45" i="223"/>
  <c r="S49" i="223"/>
  <c r="T49" i="223"/>
  <c r="S51" i="223"/>
  <c r="T51" i="223"/>
  <c r="S46" i="223"/>
  <c r="T46" i="223"/>
  <c r="S48" i="223"/>
  <c r="T48" i="223"/>
  <c r="S52" i="223"/>
  <c r="T52" i="223"/>
  <c r="T19" i="223"/>
  <c r="T27" i="223"/>
  <c r="T33" i="223"/>
  <c r="T39" i="223"/>
  <c r="Q18" i="223"/>
  <c r="R19" i="223"/>
  <c r="S20" i="223"/>
  <c r="T20" i="223"/>
  <c r="S22" i="223"/>
  <c r="T22" i="223"/>
  <c r="S24" i="223"/>
  <c r="T24" i="223"/>
  <c r="R27" i="223"/>
  <c r="S30" i="223"/>
  <c r="T30" i="223"/>
  <c r="R33" i="223"/>
  <c r="S36" i="223"/>
  <c r="T36" i="223"/>
  <c r="R39" i="223"/>
  <c r="S42" i="223"/>
  <c r="T42" i="223"/>
  <c r="S17" i="223"/>
  <c r="T17" i="223"/>
  <c r="Q6" i="223"/>
  <c r="Q7" i="223"/>
  <c r="T8" i="223"/>
  <c r="R8" i="223"/>
  <c r="T9" i="223"/>
  <c r="R9" i="223"/>
  <c r="T12" i="223"/>
  <c r="R12" i="223"/>
  <c r="Q11" i="223"/>
  <c r="S12" i="223"/>
  <c r="T10" i="223"/>
  <c r="R10" i="223"/>
  <c r="S13" i="223"/>
  <c r="T13" i="223"/>
  <c r="Q5" i="223"/>
  <c r="T14" i="223"/>
  <c r="R14" i="223"/>
  <c r="T15" i="223"/>
  <c r="R15" i="223"/>
  <c r="T16" i="223"/>
  <c r="R16" i="223"/>
  <c r="R21" i="223"/>
  <c r="R23" i="223"/>
  <c r="R25" i="223"/>
  <c r="R26" i="223"/>
  <c r="R28" i="223"/>
  <c r="R29" i="223"/>
  <c r="R31" i="223"/>
  <c r="R32" i="223"/>
  <c r="R34" i="223"/>
  <c r="R35" i="223"/>
  <c r="R37" i="223"/>
  <c r="R38" i="223"/>
  <c r="R40" i="223"/>
  <c r="R41" i="223"/>
  <c r="R43" i="223"/>
  <c r="R47" i="223"/>
  <c r="R50" i="223"/>
  <c r="R53" i="223"/>
  <c r="E44" i="222"/>
  <c r="E11" i="222"/>
  <c r="Q7" i="222"/>
  <c r="E6" i="222"/>
  <c r="T10" i="222"/>
  <c r="W10" i="222" s="1"/>
  <c r="R10" i="222"/>
  <c r="S10" i="222" s="1"/>
  <c r="T12" i="222"/>
  <c r="R12" i="222"/>
  <c r="S12" i="222" s="1"/>
  <c r="Q11" i="222"/>
  <c r="T13" i="222"/>
  <c r="W13" i="222" s="1"/>
  <c r="R13" i="222"/>
  <c r="S13" i="222" s="1"/>
  <c r="T14" i="222"/>
  <c r="W14" i="222" s="1"/>
  <c r="R14" i="222"/>
  <c r="S14" i="222" s="1"/>
  <c r="T15" i="222"/>
  <c r="R15" i="222"/>
  <c r="S15" i="222" s="1"/>
  <c r="T16" i="222"/>
  <c r="W16" i="222" s="1"/>
  <c r="R16" i="222"/>
  <c r="S16" i="222" s="1"/>
  <c r="T17" i="222"/>
  <c r="W17" i="222" s="1"/>
  <c r="R17" i="222"/>
  <c r="S17" i="222" s="1"/>
  <c r="T8" i="222"/>
  <c r="R8" i="222"/>
  <c r="Q9" i="222"/>
  <c r="T19" i="222"/>
  <c r="R19" i="222"/>
  <c r="Q18" i="222"/>
  <c r="T20" i="222"/>
  <c r="W20" i="222" s="1"/>
  <c r="R20" i="222"/>
  <c r="S20" i="222" s="1"/>
  <c r="T21" i="222"/>
  <c r="W21" i="222" s="1"/>
  <c r="R21" i="222"/>
  <c r="S21" i="222" s="1"/>
  <c r="T22" i="222"/>
  <c r="R22" i="222"/>
  <c r="S22" i="222" s="1"/>
  <c r="T23" i="222"/>
  <c r="W23" i="222" s="1"/>
  <c r="R23" i="222"/>
  <c r="S23" i="222" s="1"/>
  <c r="T24" i="222"/>
  <c r="W24" i="222" s="1"/>
  <c r="R24" i="222"/>
  <c r="S24" i="222" s="1"/>
  <c r="T25" i="222"/>
  <c r="R25" i="222"/>
  <c r="S25" i="222" s="1"/>
  <c r="T26" i="222"/>
  <c r="W26" i="222" s="1"/>
  <c r="R26" i="222"/>
  <c r="S26" i="222" s="1"/>
  <c r="T27" i="222"/>
  <c r="W27" i="222" s="1"/>
  <c r="R27" i="222"/>
  <c r="S27" i="222" s="1"/>
  <c r="T28" i="222"/>
  <c r="R28" i="222"/>
  <c r="S28" i="222" s="1"/>
  <c r="T29" i="222"/>
  <c r="W29" i="222" s="1"/>
  <c r="R29" i="222"/>
  <c r="S29" i="222" s="1"/>
  <c r="T30" i="222"/>
  <c r="W30" i="222" s="1"/>
  <c r="R30" i="222"/>
  <c r="S30" i="222" s="1"/>
  <c r="T31" i="222"/>
  <c r="R31" i="222"/>
  <c r="S31" i="222" s="1"/>
  <c r="T32" i="222"/>
  <c r="W32" i="222" s="1"/>
  <c r="R32" i="222"/>
  <c r="S32" i="222" s="1"/>
  <c r="T33" i="222"/>
  <c r="W33" i="222" s="1"/>
  <c r="R33" i="222"/>
  <c r="S33" i="222" s="1"/>
  <c r="T34" i="222"/>
  <c r="R34" i="222"/>
  <c r="S34" i="222" s="1"/>
  <c r="T35" i="222"/>
  <c r="W35" i="222" s="1"/>
  <c r="R35" i="222"/>
  <c r="S35" i="222" s="1"/>
  <c r="T36" i="222"/>
  <c r="W36" i="222" s="1"/>
  <c r="R36" i="222"/>
  <c r="S36" i="222" s="1"/>
  <c r="T37" i="222"/>
  <c r="R37" i="222"/>
  <c r="S37" i="222" s="1"/>
  <c r="T38" i="222"/>
  <c r="W38" i="222" s="1"/>
  <c r="R38" i="222"/>
  <c r="S38" i="222" s="1"/>
  <c r="T39" i="222"/>
  <c r="W39" i="222" s="1"/>
  <c r="R39" i="222"/>
  <c r="S39" i="222" s="1"/>
  <c r="T40" i="222"/>
  <c r="R40" i="222"/>
  <c r="S40" i="222" s="1"/>
  <c r="T41" i="222"/>
  <c r="W41" i="222" s="1"/>
  <c r="R41" i="222"/>
  <c r="S41" i="222" s="1"/>
  <c r="T42" i="222"/>
  <c r="W42" i="222" s="1"/>
  <c r="R42" i="222"/>
  <c r="S42" i="222" s="1"/>
  <c r="T43" i="222"/>
  <c r="R43" i="222"/>
  <c r="S43" i="222" s="1"/>
  <c r="T45" i="222"/>
  <c r="Q44" i="222"/>
  <c r="T46" i="222"/>
  <c r="W46" i="222" s="1"/>
  <c r="T47" i="222"/>
  <c r="W47" i="222" s="1"/>
  <c r="T48" i="222"/>
  <c r="T49" i="222"/>
  <c r="W49" i="222" s="1"/>
  <c r="T50" i="222"/>
  <c r="W50" i="222" s="1"/>
  <c r="T51" i="222"/>
  <c r="T52" i="222"/>
  <c r="W52" i="222" s="1"/>
  <c r="T53" i="222"/>
  <c r="W53" i="222" s="1"/>
  <c r="T46" i="221"/>
  <c r="W46" i="221" s="1"/>
  <c r="T48" i="221"/>
  <c r="T52" i="221"/>
  <c r="W52" i="221" s="1"/>
  <c r="S45" i="221"/>
  <c r="T45" i="221"/>
  <c r="R46" i="221"/>
  <c r="S46" i="221" s="1"/>
  <c r="R48" i="221"/>
  <c r="S48" i="221" s="1"/>
  <c r="S49" i="221"/>
  <c r="T49" i="221"/>
  <c r="W49" i="221" s="1"/>
  <c r="S51" i="221"/>
  <c r="T51" i="221"/>
  <c r="R52" i="221"/>
  <c r="S52" i="221" s="1"/>
  <c r="R9" i="221"/>
  <c r="S9" i="221" s="1"/>
  <c r="S7" i="221" s="1"/>
  <c r="T9" i="221"/>
  <c r="W9" i="221" s="1"/>
  <c r="R14" i="221"/>
  <c r="T14" i="221"/>
  <c r="R17" i="221"/>
  <c r="S17" i="221" s="1"/>
  <c r="T17" i="221"/>
  <c r="W17" i="221" s="1"/>
  <c r="R21" i="221"/>
  <c r="S21" i="221" s="1"/>
  <c r="T21" i="221"/>
  <c r="W21" i="221" s="1"/>
  <c r="R24" i="221"/>
  <c r="S24" i="221" s="1"/>
  <c r="T24" i="221"/>
  <c r="W24" i="221" s="1"/>
  <c r="R27" i="221"/>
  <c r="S27" i="221" s="1"/>
  <c r="T27" i="221"/>
  <c r="W27" i="221" s="1"/>
  <c r="R30" i="221"/>
  <c r="S30" i="221" s="1"/>
  <c r="T30" i="221"/>
  <c r="W30" i="221" s="1"/>
  <c r="R33" i="221"/>
  <c r="S33" i="221" s="1"/>
  <c r="T33" i="221"/>
  <c r="W33" i="221" s="1"/>
  <c r="R36" i="221"/>
  <c r="S36" i="221" s="1"/>
  <c r="T36" i="221"/>
  <c r="W36" i="221" s="1"/>
  <c r="R39" i="221"/>
  <c r="S39" i="221" s="1"/>
  <c r="T39" i="221"/>
  <c r="W39" i="221" s="1"/>
  <c r="R42" i="221"/>
  <c r="S42" i="221" s="1"/>
  <c r="T42" i="221"/>
  <c r="W42" i="221" s="1"/>
  <c r="R47" i="221"/>
  <c r="S47" i="221" s="1"/>
  <c r="T47" i="221"/>
  <c r="W47" i="221" s="1"/>
  <c r="R50" i="221"/>
  <c r="S50" i="221" s="1"/>
  <c r="T50" i="221"/>
  <c r="W50" i="221" s="1"/>
  <c r="R53" i="221"/>
  <c r="S53" i="221" s="1"/>
  <c r="T53" i="221"/>
  <c r="W53" i="221" s="1"/>
  <c r="R19" i="221"/>
  <c r="S19" i="221" s="1"/>
  <c r="R20" i="221"/>
  <c r="S20" i="221" s="1"/>
  <c r="R22" i="221"/>
  <c r="S22" i="221" s="1"/>
  <c r="R23" i="221"/>
  <c r="S23" i="221" s="1"/>
  <c r="R25" i="221"/>
  <c r="S25" i="221" s="1"/>
  <c r="R26" i="221"/>
  <c r="S26" i="221" s="1"/>
  <c r="R28" i="221"/>
  <c r="S28" i="221" s="1"/>
  <c r="R29" i="221"/>
  <c r="S29" i="221" s="1"/>
  <c r="R31" i="221"/>
  <c r="S31" i="221" s="1"/>
  <c r="R32" i="221"/>
  <c r="S32" i="221" s="1"/>
  <c r="R34" i="221"/>
  <c r="S34" i="221" s="1"/>
  <c r="R35" i="221"/>
  <c r="S35" i="221" s="1"/>
  <c r="R37" i="221"/>
  <c r="S37" i="221" s="1"/>
  <c r="R38" i="221"/>
  <c r="S38" i="221" s="1"/>
  <c r="R40" i="221"/>
  <c r="S40" i="221" s="1"/>
  <c r="R41" i="221"/>
  <c r="S41" i="221" s="1"/>
  <c r="R43" i="221"/>
  <c r="S43" i="221" s="1"/>
  <c r="R45" i="220"/>
  <c r="R49" i="220"/>
  <c r="R50" i="220"/>
  <c r="S50" i="220" s="1"/>
  <c r="R51" i="220"/>
  <c r="T45" i="220"/>
  <c r="S49" i="220"/>
  <c r="T49" i="220"/>
  <c r="W49" i="220" s="1"/>
  <c r="T50" i="220"/>
  <c r="W50" i="220" s="1"/>
  <c r="T51" i="220"/>
  <c r="S24" i="220"/>
  <c r="T24" i="220"/>
  <c r="W24" i="220" s="1"/>
  <c r="S36" i="220"/>
  <c r="T36" i="220"/>
  <c r="W36" i="220" s="1"/>
  <c r="T40" i="220"/>
  <c r="S21" i="220"/>
  <c r="T21" i="220"/>
  <c r="W21" i="220" s="1"/>
  <c r="R40" i="220"/>
  <c r="S40" i="220" s="1"/>
  <c r="S41" i="220"/>
  <c r="T41" i="220"/>
  <c r="W41" i="220" s="1"/>
  <c r="T17" i="220"/>
  <c r="W17" i="220" s="1"/>
  <c r="W7" i="220" s="1"/>
  <c r="R17" i="220"/>
  <c r="Q19" i="220"/>
  <c r="O18" i="220"/>
  <c r="O5" i="220" s="1"/>
  <c r="Q5" i="220" s="1"/>
  <c r="T26" i="220"/>
  <c r="W26" i="220" s="1"/>
  <c r="R26" i="220"/>
  <c r="S26" i="220" s="1"/>
  <c r="T28" i="220"/>
  <c r="R28" i="220"/>
  <c r="S28" i="220" s="1"/>
  <c r="T32" i="220"/>
  <c r="W32" i="220" s="1"/>
  <c r="R32" i="220"/>
  <c r="S32" i="220" s="1"/>
  <c r="R9" i="220"/>
  <c r="R7" i="220" s="1"/>
  <c r="R12" i="220"/>
  <c r="R13" i="220"/>
  <c r="S13" i="220" s="1"/>
  <c r="R15" i="220"/>
  <c r="S15" i="220" s="1"/>
  <c r="R16" i="220"/>
  <c r="S16" i="220" s="1"/>
  <c r="S17" i="220"/>
  <c r="T27" i="220"/>
  <c r="W27" i="220" s="1"/>
  <c r="R27" i="220"/>
  <c r="S27" i="220" s="1"/>
  <c r="T30" i="220"/>
  <c r="W30" i="220" s="1"/>
  <c r="R30" i="220"/>
  <c r="S30" i="220" s="1"/>
  <c r="T33" i="220"/>
  <c r="W33" i="220" s="1"/>
  <c r="R33" i="220"/>
  <c r="S33" i="220" s="1"/>
  <c r="R20" i="220"/>
  <c r="S20" i="220" s="1"/>
  <c r="R22" i="220"/>
  <c r="S22" i="220" s="1"/>
  <c r="R23" i="220"/>
  <c r="S23" i="220" s="1"/>
  <c r="R25" i="220"/>
  <c r="S25" i="220" s="1"/>
  <c r="R29" i="220"/>
  <c r="S29" i="220" s="1"/>
  <c r="R31" i="220"/>
  <c r="S31" i="220" s="1"/>
  <c r="R34" i="220"/>
  <c r="S34" i="220" s="1"/>
  <c r="R35" i="220"/>
  <c r="S35" i="220" s="1"/>
  <c r="R37" i="220"/>
  <c r="S37" i="220" s="1"/>
  <c r="R38" i="220"/>
  <c r="S38" i="220" s="1"/>
  <c r="R39" i="220"/>
  <c r="S39" i="220" s="1"/>
  <c r="R42" i="220"/>
  <c r="S42" i="220" s="1"/>
  <c r="R43" i="220"/>
  <c r="S43" i="220" s="1"/>
  <c r="S45" i="220"/>
  <c r="R46" i="220"/>
  <c r="T46" i="220"/>
  <c r="W46" i="220" s="1"/>
  <c r="R47" i="220"/>
  <c r="S47" i="220" s="1"/>
  <c r="T47" i="220"/>
  <c r="W47" i="220" s="1"/>
  <c r="R48" i="220"/>
  <c r="S48" i="220" s="1"/>
  <c r="S51" i="220"/>
  <c r="R52" i="220"/>
  <c r="S52" i="220" s="1"/>
  <c r="T52" i="220"/>
  <c r="W52" i="220" s="1"/>
  <c r="R53" i="220"/>
  <c r="S53" i="220" s="1"/>
  <c r="T53" i="220"/>
  <c r="W53" i="220" s="1"/>
  <c r="T47" i="219"/>
  <c r="W47" i="219" s="1"/>
  <c r="T49" i="219"/>
  <c r="T53" i="219"/>
  <c r="W53" i="219" s="1"/>
  <c r="S46" i="219"/>
  <c r="T46" i="219"/>
  <c r="R47" i="219"/>
  <c r="S47" i="219" s="1"/>
  <c r="R49" i="219"/>
  <c r="S49" i="219" s="1"/>
  <c r="S50" i="219"/>
  <c r="T50" i="219"/>
  <c r="W50" i="219" s="1"/>
  <c r="S52" i="219"/>
  <c r="T52" i="219"/>
  <c r="R53" i="219"/>
  <c r="S53" i="219" s="1"/>
  <c r="T21" i="219"/>
  <c r="W21" i="219" s="1"/>
  <c r="T23" i="219"/>
  <c r="T25" i="219"/>
  <c r="W25" i="219" s="1"/>
  <c r="T31" i="219"/>
  <c r="W31" i="219" s="1"/>
  <c r="T37" i="219"/>
  <c r="W37" i="219" s="1"/>
  <c r="T43" i="219"/>
  <c r="W43" i="219" s="1"/>
  <c r="S20" i="219"/>
  <c r="T20" i="219"/>
  <c r="R21" i="219"/>
  <c r="S21" i="219" s="1"/>
  <c r="R23" i="219"/>
  <c r="S23" i="219" s="1"/>
  <c r="R25" i="219"/>
  <c r="S25" i="219" s="1"/>
  <c r="S28" i="219"/>
  <c r="T28" i="219"/>
  <c r="W28" i="219" s="1"/>
  <c r="R31" i="219"/>
  <c r="S31" i="219" s="1"/>
  <c r="S34" i="219"/>
  <c r="T34" i="219"/>
  <c r="W34" i="219" s="1"/>
  <c r="R37" i="219"/>
  <c r="S37" i="219" s="1"/>
  <c r="S40" i="219"/>
  <c r="T40" i="219"/>
  <c r="W40" i="219" s="1"/>
  <c r="R43" i="219"/>
  <c r="S43" i="219" s="1"/>
  <c r="T14" i="219"/>
  <c r="W14" i="219" s="1"/>
  <c r="T18" i="219"/>
  <c r="W18" i="219" s="1"/>
  <c r="R14" i="219"/>
  <c r="S14" i="219" s="1"/>
  <c r="R18" i="219"/>
  <c r="S18" i="219" s="1"/>
  <c r="T9" i="219"/>
  <c r="R9" i="219"/>
  <c r="T10" i="219"/>
  <c r="W10" i="219" s="1"/>
  <c r="R10" i="219"/>
  <c r="S10" i="219" s="1"/>
  <c r="T11" i="219"/>
  <c r="W11" i="219" s="1"/>
  <c r="T13" i="219"/>
  <c r="R13" i="219"/>
  <c r="Q12" i="219"/>
  <c r="S13" i="219"/>
  <c r="R11" i="219"/>
  <c r="S11" i="219" s="1"/>
  <c r="N12" i="219"/>
  <c r="N7" i="219" s="1"/>
  <c r="N6" i="219" s="1"/>
  <c r="Q6" i="219" s="1"/>
  <c r="R15" i="219"/>
  <c r="S15" i="219" s="1"/>
  <c r="T15" i="219"/>
  <c r="W15" i="219" s="1"/>
  <c r="R16" i="219"/>
  <c r="S16" i="219" s="1"/>
  <c r="T16" i="219"/>
  <c r="R17" i="219"/>
  <c r="S17" i="219" s="1"/>
  <c r="T17" i="219"/>
  <c r="W17" i="219" s="1"/>
  <c r="R22" i="219"/>
  <c r="S22" i="219" s="1"/>
  <c r="T22" i="219"/>
  <c r="W22" i="219" s="1"/>
  <c r="R24" i="219"/>
  <c r="S24" i="219" s="1"/>
  <c r="T24" i="219"/>
  <c r="W24" i="219" s="1"/>
  <c r="R26" i="219"/>
  <c r="S26" i="219" s="1"/>
  <c r="T26" i="219"/>
  <c r="R27" i="219"/>
  <c r="S27" i="219" s="1"/>
  <c r="T27" i="219"/>
  <c r="W27" i="219" s="1"/>
  <c r="R29" i="219"/>
  <c r="S29" i="219" s="1"/>
  <c r="T29" i="219"/>
  <c r="R30" i="219"/>
  <c r="S30" i="219" s="1"/>
  <c r="T30" i="219"/>
  <c r="W30" i="219" s="1"/>
  <c r="R32" i="219"/>
  <c r="S32" i="219" s="1"/>
  <c r="T32" i="219"/>
  <c r="R33" i="219"/>
  <c r="S33" i="219" s="1"/>
  <c r="T33" i="219"/>
  <c r="W33" i="219" s="1"/>
  <c r="R35" i="219"/>
  <c r="S35" i="219" s="1"/>
  <c r="T35" i="219"/>
  <c r="R36" i="219"/>
  <c r="S36" i="219" s="1"/>
  <c r="T36" i="219"/>
  <c r="W36" i="219" s="1"/>
  <c r="R38" i="219"/>
  <c r="S38" i="219" s="1"/>
  <c r="T38" i="219"/>
  <c r="R39" i="219"/>
  <c r="S39" i="219" s="1"/>
  <c r="T39" i="219"/>
  <c r="W39" i="219" s="1"/>
  <c r="R41" i="219"/>
  <c r="S41" i="219" s="1"/>
  <c r="T41" i="219"/>
  <c r="R42" i="219"/>
  <c r="S42" i="219" s="1"/>
  <c r="T42" i="219"/>
  <c r="W42" i="219" s="1"/>
  <c r="R44" i="219"/>
  <c r="S44" i="219" s="1"/>
  <c r="T44" i="219"/>
  <c r="R48" i="219"/>
  <c r="S48" i="219" s="1"/>
  <c r="T48" i="219"/>
  <c r="W48" i="219" s="1"/>
  <c r="R51" i="219"/>
  <c r="S51" i="219" s="1"/>
  <c r="T51" i="219"/>
  <c r="W51" i="219" s="1"/>
  <c r="R54" i="219"/>
  <c r="S54" i="219" s="1"/>
  <c r="T54" i="219"/>
  <c r="W54" i="219" s="1"/>
  <c r="T7" i="220" l="1"/>
  <c r="S53" i="223"/>
  <c r="S41" i="223"/>
  <c r="S38" i="223"/>
  <c r="S35" i="223"/>
  <c r="S32" i="223"/>
  <c r="S29" i="223"/>
  <c r="S26" i="223"/>
  <c r="S16" i="223"/>
  <c r="S15" i="223"/>
  <c r="S14" i="223"/>
  <c r="W10" i="223"/>
  <c r="W9" i="223"/>
  <c r="W36" i="223"/>
  <c r="S33" i="223"/>
  <c r="W24" i="223"/>
  <c r="W20" i="223"/>
  <c r="S19" i="223"/>
  <c r="W39" i="223"/>
  <c r="W27" i="223"/>
  <c r="W52" i="223"/>
  <c r="W46" i="223"/>
  <c r="W49" i="223"/>
  <c r="W53" i="223"/>
  <c r="W47" i="223"/>
  <c r="W38" i="223"/>
  <c r="W32" i="223"/>
  <c r="W26" i="223"/>
  <c r="S50" i="223"/>
  <c r="S43" i="223"/>
  <c r="S40" i="223"/>
  <c r="S37" i="223"/>
  <c r="S34" i="223"/>
  <c r="S31" i="223"/>
  <c r="S28" i="223"/>
  <c r="S25" i="223"/>
  <c r="S21" i="223"/>
  <c r="W16" i="223"/>
  <c r="W14" i="223"/>
  <c r="W13" i="223"/>
  <c r="S10" i="223"/>
  <c r="S9" i="223"/>
  <c r="S8" i="223"/>
  <c r="W17" i="223"/>
  <c r="W42" i="223"/>
  <c r="S39" i="223"/>
  <c r="W30" i="223"/>
  <c r="S27" i="223"/>
  <c r="W33" i="223"/>
  <c r="W50" i="223"/>
  <c r="W41" i="223"/>
  <c r="W35" i="223"/>
  <c r="W29" i="223"/>
  <c r="W23" i="223"/>
  <c r="W21" i="223"/>
  <c r="R44" i="223"/>
  <c r="W44" i="223"/>
  <c r="T44" i="223"/>
  <c r="T18" i="223"/>
  <c r="R18" i="223"/>
  <c r="T11" i="223"/>
  <c r="S11" i="223"/>
  <c r="R11" i="223"/>
  <c r="W7" i="223"/>
  <c r="R7" i="223"/>
  <c r="S47" i="223"/>
  <c r="S23" i="223"/>
  <c r="S7" i="223"/>
  <c r="T7" i="223"/>
  <c r="S44" i="222"/>
  <c r="R44" i="222"/>
  <c r="W18" i="222"/>
  <c r="T18" i="222"/>
  <c r="T9" i="222"/>
  <c r="W9" i="222" s="1"/>
  <c r="W6" i="222" s="1"/>
  <c r="R9" i="222"/>
  <c r="S9" i="222" s="1"/>
  <c r="S11" i="222"/>
  <c r="T11" i="222"/>
  <c r="E5" i="222"/>
  <c r="Q5" i="222" s="1"/>
  <c r="Q6" i="222"/>
  <c r="W44" i="222"/>
  <c r="T44" i="222"/>
  <c r="R18" i="222"/>
  <c r="S19" i="222"/>
  <c r="S18" i="222" s="1"/>
  <c r="R7" i="222"/>
  <c r="S8" i="222"/>
  <c r="R11" i="222"/>
  <c r="W44" i="221"/>
  <c r="W18" i="221"/>
  <c r="S18" i="221"/>
  <c r="S44" i="221"/>
  <c r="R11" i="221"/>
  <c r="T18" i="221"/>
  <c r="T7" i="221"/>
  <c r="R18" i="221"/>
  <c r="R44" i="221"/>
  <c r="W14" i="221"/>
  <c r="T11" i="221"/>
  <c r="W7" i="221"/>
  <c r="T44" i="221"/>
  <c r="R7" i="221"/>
  <c r="R6" i="221" s="1"/>
  <c r="S14" i="221"/>
  <c r="S11" i="221" s="1"/>
  <c r="S6" i="221" s="1"/>
  <c r="R44" i="220"/>
  <c r="W18" i="220"/>
  <c r="S46" i="220"/>
  <c r="S44" i="220" s="1"/>
  <c r="T44" i="220"/>
  <c r="R11" i="220"/>
  <c r="R6" i="220" s="1"/>
  <c r="Q18" i="220"/>
  <c r="R19" i="220"/>
  <c r="R18" i="220" s="1"/>
  <c r="T19" i="220"/>
  <c r="T18" i="220" s="1"/>
  <c r="S12" i="220"/>
  <c r="S11" i="220" s="1"/>
  <c r="T11" i="220"/>
  <c r="T6" i="220" s="1"/>
  <c r="T5" i="220" s="1"/>
  <c r="W44" i="220"/>
  <c r="S9" i="220"/>
  <c r="S7" i="220" s="1"/>
  <c r="S6" i="220" s="1"/>
  <c r="W45" i="219"/>
  <c r="S45" i="219"/>
  <c r="W19" i="219"/>
  <c r="S19" i="219"/>
  <c r="T45" i="219"/>
  <c r="R45" i="219"/>
  <c r="T19" i="219"/>
  <c r="S12" i="219"/>
  <c r="R12" i="219"/>
  <c r="T8" i="219"/>
  <c r="Q7" i="219"/>
  <c r="R19" i="219"/>
  <c r="T12" i="219"/>
  <c r="W8" i="219"/>
  <c r="R8" i="219"/>
  <c r="R7" i="219" s="1"/>
  <c r="S9" i="219"/>
  <c r="S8" i="219" s="1"/>
  <c r="S7" i="219" s="1"/>
  <c r="S6" i="219" s="1"/>
  <c r="AE10" i="218"/>
  <c r="AD10" i="218"/>
  <c r="AF9" i="218"/>
  <c r="AF8" i="218"/>
  <c r="AF7" i="218"/>
  <c r="AF6" i="218"/>
  <c r="AF5" i="218"/>
  <c r="AF4" i="218"/>
  <c r="AB10" i="218"/>
  <c r="AA10" i="218"/>
  <c r="Y10" i="218"/>
  <c r="X10" i="218"/>
  <c r="V10" i="218"/>
  <c r="U10" i="218"/>
  <c r="S10" i="218"/>
  <c r="R10" i="218"/>
  <c r="P10" i="218"/>
  <c r="O10" i="218"/>
  <c r="M10" i="218"/>
  <c r="L10" i="218"/>
  <c r="J10" i="218"/>
  <c r="I10" i="218"/>
  <c r="G10" i="218"/>
  <c r="F10" i="218"/>
  <c r="D10" i="218"/>
  <c r="C10" i="218"/>
  <c r="AC9" i="218"/>
  <c r="Z9" i="218"/>
  <c r="W9" i="218"/>
  <c r="T9" i="218"/>
  <c r="Q9" i="218"/>
  <c r="N9" i="218"/>
  <c r="K9" i="218"/>
  <c r="H9" i="218"/>
  <c r="E9" i="218"/>
  <c r="AC8" i="218"/>
  <c r="Z8" i="218"/>
  <c r="W8" i="218"/>
  <c r="T8" i="218"/>
  <c r="Q8" i="218"/>
  <c r="N8" i="218"/>
  <c r="K8" i="218"/>
  <c r="H8" i="218"/>
  <c r="E8" i="218"/>
  <c r="AC7" i="218"/>
  <c r="Z7" i="218"/>
  <c r="W7" i="218"/>
  <c r="T7" i="218"/>
  <c r="Q7" i="218"/>
  <c r="N7" i="218"/>
  <c r="K7" i="218"/>
  <c r="H7" i="218"/>
  <c r="E7" i="218"/>
  <c r="AC6" i="218"/>
  <c r="Z6" i="218"/>
  <c r="W6" i="218"/>
  <c r="T6" i="218"/>
  <c r="Q6" i="218"/>
  <c r="N6" i="218"/>
  <c r="K6" i="218"/>
  <c r="H6" i="218"/>
  <c r="E6" i="218"/>
  <c r="AC5" i="218"/>
  <c r="Z5" i="218"/>
  <c r="W5" i="218"/>
  <c r="T5" i="218"/>
  <c r="Q5" i="218"/>
  <c r="N5" i="218"/>
  <c r="K5" i="218"/>
  <c r="H5" i="218"/>
  <c r="E5" i="218"/>
  <c r="AC4" i="218"/>
  <c r="Z4" i="218"/>
  <c r="W4" i="218"/>
  <c r="T4" i="218"/>
  <c r="Q4" i="218"/>
  <c r="N4" i="218"/>
  <c r="K4" i="218"/>
  <c r="K10" i="218" s="1"/>
  <c r="H4" i="218"/>
  <c r="E4" i="218"/>
  <c r="S7" i="222" l="1"/>
  <c r="W18" i="223"/>
  <c r="S6" i="223"/>
  <c r="W5" i="223"/>
  <c r="T6" i="223"/>
  <c r="S18" i="223"/>
  <c r="R6" i="223"/>
  <c r="R5" i="223" s="1"/>
  <c r="S44" i="223"/>
  <c r="S6" i="222"/>
  <c r="S5" i="222" s="1"/>
  <c r="S5" i="221"/>
  <c r="AG9" i="218"/>
  <c r="AF10" i="218"/>
  <c r="AG7" i="218"/>
  <c r="AG5" i="218"/>
  <c r="AC10" i="218"/>
  <c r="W10" i="218"/>
  <c r="AG4" i="218"/>
  <c r="AG6" i="218"/>
  <c r="AG8" i="218"/>
  <c r="W5" i="221"/>
  <c r="R5" i="221"/>
  <c r="W5" i="220"/>
  <c r="W6" i="219"/>
  <c r="T7" i="222"/>
  <c r="T6" i="222" s="1"/>
  <c r="T5" i="222" s="1"/>
  <c r="R6" i="222"/>
  <c r="R5" i="222" s="1"/>
  <c r="W5" i="222"/>
  <c r="T6" i="221"/>
  <c r="T5" i="221" s="1"/>
  <c r="R5" i="220"/>
  <c r="S19" i="220"/>
  <c r="S18" i="220" s="1"/>
  <c r="S5" i="220" s="1"/>
  <c r="T7" i="219"/>
  <c r="T6" i="219" s="1"/>
  <c r="R6" i="219"/>
  <c r="Q10" i="218"/>
  <c r="Z10" i="218"/>
  <c r="T10" i="218"/>
  <c r="N10" i="218"/>
  <c r="H10" i="218"/>
  <c r="E10" i="218"/>
  <c r="S5" i="223" l="1"/>
  <c r="T5" i="223"/>
  <c r="AG10" i="218"/>
  <c r="W2" i="215"/>
  <c r="W2" i="208"/>
  <c r="O19" i="213" l="1"/>
  <c r="O20" i="213"/>
  <c r="O30" i="213"/>
  <c r="X46" i="213"/>
  <c r="X47" i="213"/>
  <c r="X48" i="213"/>
  <c r="X49" i="213"/>
  <c r="X50" i="213"/>
  <c r="X51" i="213"/>
  <c r="X52" i="213"/>
  <c r="X53" i="213"/>
  <c r="X45" i="213"/>
  <c r="E55" i="216"/>
  <c r="E12" i="216"/>
  <c r="E19" i="215" l="1"/>
  <c r="E20" i="215"/>
  <c r="E21" i="215"/>
  <c r="E22" i="215"/>
  <c r="E23" i="215"/>
  <c r="E24" i="215"/>
  <c r="E25" i="215"/>
  <c r="E26" i="215"/>
  <c r="E27" i="215"/>
  <c r="N16" i="212" l="1"/>
  <c r="N13" i="212"/>
  <c r="N15" i="216"/>
  <c r="N12" i="216"/>
  <c r="O24" i="212" l="1"/>
  <c r="O23" i="216" l="1"/>
  <c r="O12" i="216"/>
  <c r="F70" i="150"/>
  <c r="H89" i="150"/>
  <c r="H90" i="150"/>
  <c r="H74" i="150"/>
  <c r="H75" i="150"/>
  <c r="H77" i="150"/>
  <c r="H78" i="150"/>
  <c r="H79" i="150"/>
  <c r="H80" i="150"/>
  <c r="H81" i="150"/>
  <c r="H82" i="150"/>
  <c r="H83" i="150"/>
  <c r="H84" i="150"/>
  <c r="H85" i="150"/>
  <c r="H86" i="150"/>
  <c r="H71" i="150"/>
  <c r="H72" i="150"/>
  <c r="H88" i="150"/>
  <c r="H70" i="150" l="1"/>
  <c r="M30" i="217"/>
  <c r="L30" i="217"/>
  <c r="K30" i="217"/>
  <c r="J30" i="217"/>
  <c r="I30" i="217"/>
  <c r="H30" i="217"/>
  <c r="G30" i="217"/>
  <c r="G31" i="217" s="1"/>
  <c r="F30" i="217"/>
  <c r="F31" i="217" s="1"/>
  <c r="E30" i="217"/>
  <c r="E31" i="217" s="1"/>
  <c r="D30" i="217"/>
  <c r="D31" i="217" s="1"/>
  <c r="C30" i="217"/>
  <c r="C31" i="217" s="1"/>
  <c r="B30" i="217"/>
  <c r="B31" i="217" s="1"/>
  <c r="N31" i="217" s="1"/>
  <c r="N29" i="217"/>
  <c r="N28" i="217"/>
  <c r="N27" i="217"/>
  <c r="N20" i="217"/>
  <c r="N19" i="217"/>
  <c r="N18" i="217"/>
  <c r="N17" i="217"/>
  <c r="N16" i="217"/>
  <c r="N15" i="217"/>
  <c r="N14" i="217"/>
  <c r="N13" i="217"/>
  <c r="N12" i="217"/>
  <c r="F11" i="217"/>
  <c r="N11" i="217" s="1"/>
  <c r="F10" i="217"/>
  <c r="N10" i="217" s="1"/>
  <c r="N9" i="217"/>
  <c r="N8" i="217"/>
  <c r="M7" i="217"/>
  <c r="M5" i="217" s="1"/>
  <c r="L7" i="217"/>
  <c r="K7" i="217"/>
  <c r="J7" i="217"/>
  <c r="I7" i="217"/>
  <c r="H7" i="217"/>
  <c r="G7" i="217"/>
  <c r="E7" i="217"/>
  <c r="D7" i="217"/>
  <c r="C7" i="217"/>
  <c r="B7" i="217"/>
  <c r="N6" i="217"/>
  <c r="I5" i="217"/>
  <c r="H5" i="217"/>
  <c r="G5" i="217"/>
  <c r="F5" i="217"/>
  <c r="E5" i="217"/>
  <c r="D5" i="217"/>
  <c r="C5" i="217"/>
  <c r="B5" i="217"/>
  <c r="L5" i="217" l="1"/>
  <c r="N5" i="217" s="1"/>
  <c r="N7" i="217"/>
  <c r="N30" i="217"/>
  <c r="O12" i="209"/>
  <c r="J11" i="212" l="1"/>
  <c r="J10" i="212"/>
  <c r="J9" i="212"/>
  <c r="J10" i="216"/>
  <c r="J9" i="216"/>
  <c r="J8" i="216"/>
  <c r="H43" i="213" l="1"/>
  <c r="H39" i="213"/>
  <c r="H32" i="213"/>
  <c r="H28" i="213"/>
  <c r="H33" i="213"/>
  <c r="H30" i="213"/>
  <c r="H29" i="213"/>
  <c r="H27" i="213"/>
  <c r="H26" i="213"/>
  <c r="F45" i="215" l="1"/>
  <c r="G45" i="215"/>
  <c r="H45" i="215"/>
  <c r="I45" i="215"/>
  <c r="J45" i="215"/>
  <c r="K45" i="215"/>
  <c r="L45" i="215"/>
  <c r="M45" i="215"/>
  <c r="N45" i="215"/>
  <c r="O45" i="215"/>
  <c r="P45" i="215"/>
  <c r="F46" i="215"/>
  <c r="G46" i="215"/>
  <c r="H46" i="215"/>
  <c r="I46" i="215"/>
  <c r="J46" i="215"/>
  <c r="K46" i="215"/>
  <c r="L46" i="215"/>
  <c r="M46" i="215"/>
  <c r="N46" i="215"/>
  <c r="O46" i="215"/>
  <c r="P46" i="215"/>
  <c r="F47" i="215"/>
  <c r="G47" i="215"/>
  <c r="H47" i="215"/>
  <c r="I47" i="215"/>
  <c r="J47" i="215"/>
  <c r="K47" i="215"/>
  <c r="L47" i="215"/>
  <c r="M47" i="215"/>
  <c r="N47" i="215"/>
  <c r="O47" i="215"/>
  <c r="P47" i="215"/>
  <c r="F48" i="215"/>
  <c r="G48" i="215"/>
  <c r="H48" i="215"/>
  <c r="I48" i="215"/>
  <c r="J48" i="215"/>
  <c r="K48" i="215"/>
  <c r="L48" i="215"/>
  <c r="M48" i="215"/>
  <c r="N48" i="215"/>
  <c r="O48" i="215"/>
  <c r="P48" i="215"/>
  <c r="F49" i="215"/>
  <c r="G49" i="215"/>
  <c r="H49" i="215"/>
  <c r="I49" i="215"/>
  <c r="J49" i="215"/>
  <c r="K49" i="215"/>
  <c r="L49" i="215"/>
  <c r="M49" i="215"/>
  <c r="N49" i="215"/>
  <c r="O49" i="215"/>
  <c r="P49" i="215"/>
  <c r="F50" i="215"/>
  <c r="G50" i="215"/>
  <c r="H50" i="215"/>
  <c r="I50" i="215"/>
  <c r="J50" i="215"/>
  <c r="K50" i="215"/>
  <c r="L50" i="215"/>
  <c r="M50" i="215"/>
  <c r="N50" i="215"/>
  <c r="O50" i="215"/>
  <c r="P50" i="215"/>
  <c r="F51" i="215"/>
  <c r="G51" i="215"/>
  <c r="H51" i="215"/>
  <c r="I51" i="215"/>
  <c r="J51" i="215"/>
  <c r="K51" i="215"/>
  <c r="L51" i="215"/>
  <c r="M51" i="215"/>
  <c r="N51" i="215"/>
  <c r="O51" i="215"/>
  <c r="P51" i="215"/>
  <c r="F52" i="215"/>
  <c r="G52" i="215"/>
  <c r="H52" i="215"/>
  <c r="I52" i="215"/>
  <c r="J52" i="215"/>
  <c r="K52" i="215"/>
  <c r="L52" i="215"/>
  <c r="M52" i="215"/>
  <c r="N52" i="215"/>
  <c r="O52" i="215"/>
  <c r="P52" i="215"/>
  <c r="F53" i="215"/>
  <c r="G53" i="215"/>
  <c r="H53" i="215"/>
  <c r="I53" i="215"/>
  <c r="J53" i="215"/>
  <c r="K53" i="215"/>
  <c r="L53" i="215"/>
  <c r="M53" i="215"/>
  <c r="N53" i="215"/>
  <c r="O53" i="215"/>
  <c r="P53" i="215"/>
  <c r="E46" i="215"/>
  <c r="E47" i="215"/>
  <c r="E48" i="215"/>
  <c r="E49" i="215"/>
  <c r="E50" i="215"/>
  <c r="Q50" i="215" s="1"/>
  <c r="E51" i="215"/>
  <c r="E52" i="215"/>
  <c r="E53" i="215"/>
  <c r="E45" i="215"/>
  <c r="F19" i="215"/>
  <c r="G19" i="215"/>
  <c r="H19" i="215"/>
  <c r="I19" i="215"/>
  <c r="J19" i="215"/>
  <c r="K19" i="215"/>
  <c r="L19" i="215"/>
  <c r="M19" i="215"/>
  <c r="N19" i="215"/>
  <c r="O19" i="215"/>
  <c r="P19" i="215"/>
  <c r="F20" i="215"/>
  <c r="G20" i="215"/>
  <c r="H20" i="215"/>
  <c r="I20" i="215"/>
  <c r="J20" i="215"/>
  <c r="K20" i="215"/>
  <c r="L20" i="215"/>
  <c r="M20" i="215"/>
  <c r="N20" i="215"/>
  <c r="O20" i="215"/>
  <c r="P20" i="215"/>
  <c r="F21" i="215"/>
  <c r="G21" i="215"/>
  <c r="H21" i="215"/>
  <c r="I21" i="215"/>
  <c r="J21" i="215"/>
  <c r="K21" i="215"/>
  <c r="L21" i="215"/>
  <c r="M21" i="215"/>
  <c r="N21" i="215"/>
  <c r="O21" i="215"/>
  <c r="P21" i="215"/>
  <c r="F22" i="215"/>
  <c r="G22" i="215"/>
  <c r="H22" i="215"/>
  <c r="I22" i="215"/>
  <c r="J22" i="215"/>
  <c r="K22" i="215"/>
  <c r="L22" i="215"/>
  <c r="M22" i="215"/>
  <c r="N22" i="215"/>
  <c r="O22" i="215"/>
  <c r="P22" i="215"/>
  <c r="P18" i="215" s="1"/>
  <c r="F23" i="215"/>
  <c r="G23" i="215"/>
  <c r="H23" i="215"/>
  <c r="I23" i="215"/>
  <c r="J23" i="215"/>
  <c r="K23" i="215"/>
  <c r="L23" i="215"/>
  <c r="M23" i="215"/>
  <c r="N23" i="215"/>
  <c r="O23" i="215"/>
  <c r="P23" i="215"/>
  <c r="F24" i="215"/>
  <c r="G24" i="215"/>
  <c r="H24" i="215"/>
  <c r="I24" i="215"/>
  <c r="J24" i="215"/>
  <c r="K24" i="215"/>
  <c r="L24" i="215"/>
  <c r="M24" i="215"/>
  <c r="N24" i="215"/>
  <c r="O24" i="215"/>
  <c r="P24" i="215"/>
  <c r="F25" i="215"/>
  <c r="G25" i="215"/>
  <c r="H25" i="215"/>
  <c r="I25" i="215"/>
  <c r="J25" i="215"/>
  <c r="K25" i="215"/>
  <c r="L25" i="215"/>
  <c r="M25" i="215"/>
  <c r="N25" i="215"/>
  <c r="O25" i="215"/>
  <c r="P25" i="215"/>
  <c r="F26" i="215"/>
  <c r="G26" i="215"/>
  <c r="H26" i="215"/>
  <c r="I26" i="215"/>
  <c r="J26" i="215"/>
  <c r="K26" i="215"/>
  <c r="L26" i="215"/>
  <c r="M26" i="215"/>
  <c r="N26" i="215"/>
  <c r="O26" i="215"/>
  <c r="P26" i="215"/>
  <c r="F27" i="215"/>
  <c r="G27" i="215"/>
  <c r="H27" i="215"/>
  <c r="I27" i="215"/>
  <c r="J27" i="215"/>
  <c r="K27" i="215"/>
  <c r="L27" i="215"/>
  <c r="M27" i="215"/>
  <c r="N27" i="215"/>
  <c r="O27" i="215"/>
  <c r="P27" i="215"/>
  <c r="F28" i="215"/>
  <c r="G28" i="215"/>
  <c r="H28" i="215"/>
  <c r="I28" i="215"/>
  <c r="J28" i="215"/>
  <c r="K28" i="215"/>
  <c r="L28" i="215"/>
  <c r="M28" i="215"/>
  <c r="N28" i="215"/>
  <c r="O28" i="215"/>
  <c r="P28" i="215"/>
  <c r="F29" i="215"/>
  <c r="G29" i="215"/>
  <c r="H29" i="215"/>
  <c r="I29" i="215"/>
  <c r="J29" i="215"/>
  <c r="K29" i="215"/>
  <c r="L29" i="215"/>
  <c r="M29" i="215"/>
  <c r="N29" i="215"/>
  <c r="O29" i="215"/>
  <c r="P29" i="215"/>
  <c r="F30" i="215"/>
  <c r="G30" i="215"/>
  <c r="H30" i="215"/>
  <c r="I30" i="215"/>
  <c r="J30" i="215"/>
  <c r="K30" i="215"/>
  <c r="L30" i="215"/>
  <c r="M30" i="215"/>
  <c r="N30" i="215"/>
  <c r="O30" i="215"/>
  <c r="P30" i="215"/>
  <c r="F31" i="215"/>
  <c r="G31" i="215"/>
  <c r="H31" i="215"/>
  <c r="I31" i="215"/>
  <c r="J31" i="215"/>
  <c r="K31" i="215"/>
  <c r="L31" i="215"/>
  <c r="M31" i="215"/>
  <c r="N31" i="215"/>
  <c r="O31" i="215"/>
  <c r="P31" i="215"/>
  <c r="F32" i="215"/>
  <c r="G32" i="215"/>
  <c r="H32" i="215"/>
  <c r="I32" i="215"/>
  <c r="J32" i="215"/>
  <c r="K32" i="215"/>
  <c r="L32" i="215"/>
  <c r="M32" i="215"/>
  <c r="N32" i="215"/>
  <c r="O32" i="215"/>
  <c r="P32" i="215"/>
  <c r="F33" i="215"/>
  <c r="G33" i="215"/>
  <c r="H33" i="215"/>
  <c r="I33" i="215"/>
  <c r="J33" i="215"/>
  <c r="K33" i="215"/>
  <c r="L33" i="215"/>
  <c r="M33" i="215"/>
  <c r="N33" i="215"/>
  <c r="O33" i="215"/>
  <c r="P33" i="215"/>
  <c r="F34" i="215"/>
  <c r="G34" i="215"/>
  <c r="H34" i="215"/>
  <c r="I34" i="215"/>
  <c r="J34" i="215"/>
  <c r="K34" i="215"/>
  <c r="L34" i="215"/>
  <c r="M34" i="215"/>
  <c r="N34" i="215"/>
  <c r="O34" i="215"/>
  <c r="P34" i="215"/>
  <c r="F35" i="215"/>
  <c r="G35" i="215"/>
  <c r="H35" i="215"/>
  <c r="I35" i="215"/>
  <c r="J35" i="215"/>
  <c r="K35" i="215"/>
  <c r="L35" i="215"/>
  <c r="M35" i="215"/>
  <c r="N35" i="215"/>
  <c r="O35" i="215"/>
  <c r="P35" i="215"/>
  <c r="F36" i="215"/>
  <c r="G36" i="215"/>
  <c r="H36" i="215"/>
  <c r="I36" i="215"/>
  <c r="J36" i="215"/>
  <c r="K36" i="215"/>
  <c r="L36" i="215"/>
  <c r="M36" i="215"/>
  <c r="N36" i="215"/>
  <c r="O36" i="215"/>
  <c r="P36" i="215"/>
  <c r="F37" i="215"/>
  <c r="G37" i="215"/>
  <c r="H37" i="215"/>
  <c r="I37" i="215"/>
  <c r="J37" i="215"/>
  <c r="K37" i="215"/>
  <c r="L37" i="215"/>
  <c r="M37" i="215"/>
  <c r="N37" i="215"/>
  <c r="O37" i="215"/>
  <c r="P37" i="215"/>
  <c r="F38" i="215"/>
  <c r="G38" i="215"/>
  <c r="H38" i="215"/>
  <c r="I38" i="215"/>
  <c r="J38" i="215"/>
  <c r="K38" i="215"/>
  <c r="L38" i="215"/>
  <c r="M38" i="215"/>
  <c r="N38" i="215"/>
  <c r="O38" i="215"/>
  <c r="P38" i="215"/>
  <c r="F39" i="215"/>
  <c r="G39" i="215"/>
  <c r="H39" i="215"/>
  <c r="I39" i="215"/>
  <c r="J39" i="215"/>
  <c r="K39" i="215"/>
  <c r="L39" i="215"/>
  <c r="M39" i="215"/>
  <c r="N39" i="215"/>
  <c r="O39" i="215"/>
  <c r="P39" i="215"/>
  <c r="F40" i="215"/>
  <c r="G40" i="215"/>
  <c r="H40" i="215"/>
  <c r="I40" i="215"/>
  <c r="J40" i="215"/>
  <c r="K40" i="215"/>
  <c r="L40" i="215"/>
  <c r="M40" i="215"/>
  <c r="N40" i="215"/>
  <c r="O40" i="215"/>
  <c r="P40" i="215"/>
  <c r="F41" i="215"/>
  <c r="G41" i="215"/>
  <c r="H41" i="215"/>
  <c r="I41" i="215"/>
  <c r="J41" i="215"/>
  <c r="K41" i="215"/>
  <c r="L41" i="215"/>
  <c r="M41" i="215"/>
  <c r="N41" i="215"/>
  <c r="O41" i="215"/>
  <c r="P41" i="215"/>
  <c r="F42" i="215"/>
  <c r="G42" i="215"/>
  <c r="H42" i="215"/>
  <c r="I42" i="215"/>
  <c r="J42" i="215"/>
  <c r="K42" i="215"/>
  <c r="L42" i="215"/>
  <c r="M42" i="215"/>
  <c r="N42" i="215"/>
  <c r="O42" i="215"/>
  <c r="P42" i="215"/>
  <c r="F43" i="215"/>
  <c r="G43" i="215"/>
  <c r="H43" i="215"/>
  <c r="I43" i="215"/>
  <c r="J43" i="215"/>
  <c r="K43" i="215"/>
  <c r="L43" i="215"/>
  <c r="M43" i="215"/>
  <c r="N43" i="215"/>
  <c r="O43" i="215"/>
  <c r="P43" i="215"/>
  <c r="E28" i="215"/>
  <c r="Q28" i="215" s="1"/>
  <c r="E29" i="215"/>
  <c r="E30" i="215"/>
  <c r="E31" i="215"/>
  <c r="E32" i="215"/>
  <c r="E33" i="215"/>
  <c r="E34" i="215"/>
  <c r="E35" i="215"/>
  <c r="E36" i="215"/>
  <c r="E37" i="215"/>
  <c r="E38" i="215"/>
  <c r="E39" i="215"/>
  <c r="E40" i="215"/>
  <c r="E41" i="215"/>
  <c r="E42" i="215"/>
  <c r="E43" i="215"/>
  <c r="F12" i="215"/>
  <c r="G12" i="215"/>
  <c r="H12" i="215"/>
  <c r="I12" i="215"/>
  <c r="J12" i="215"/>
  <c r="K12" i="215"/>
  <c r="L12" i="215"/>
  <c r="M12" i="215"/>
  <c r="N12" i="215"/>
  <c r="O12" i="215"/>
  <c r="P12" i="215"/>
  <c r="F13" i="215"/>
  <c r="G13" i="215"/>
  <c r="H13" i="215"/>
  <c r="I13" i="215"/>
  <c r="J13" i="215"/>
  <c r="K13" i="215"/>
  <c r="L13" i="215"/>
  <c r="M13" i="215"/>
  <c r="N13" i="215"/>
  <c r="O13" i="215"/>
  <c r="P13" i="215"/>
  <c r="F14" i="215"/>
  <c r="G14" i="215"/>
  <c r="H14" i="215"/>
  <c r="I14" i="215"/>
  <c r="J14" i="215"/>
  <c r="K14" i="215"/>
  <c r="L14" i="215"/>
  <c r="M14" i="215"/>
  <c r="N14" i="215"/>
  <c r="O14" i="215"/>
  <c r="P14" i="215"/>
  <c r="F15" i="215"/>
  <c r="G15" i="215"/>
  <c r="H15" i="215"/>
  <c r="I15" i="215"/>
  <c r="J15" i="215"/>
  <c r="K15" i="215"/>
  <c r="L15" i="215"/>
  <c r="M15" i="215"/>
  <c r="N15" i="215"/>
  <c r="O15" i="215"/>
  <c r="P15" i="215"/>
  <c r="F16" i="215"/>
  <c r="G16" i="215"/>
  <c r="H16" i="215"/>
  <c r="I16" i="215"/>
  <c r="J16" i="215"/>
  <c r="K16" i="215"/>
  <c r="L16" i="215"/>
  <c r="M16" i="215"/>
  <c r="N16" i="215"/>
  <c r="O16" i="215"/>
  <c r="P16" i="215"/>
  <c r="F17" i="215"/>
  <c r="G17" i="215"/>
  <c r="H17" i="215"/>
  <c r="I17" i="215"/>
  <c r="J17" i="215"/>
  <c r="K17" i="215"/>
  <c r="L17" i="215"/>
  <c r="M17" i="215"/>
  <c r="N17" i="215"/>
  <c r="O17" i="215"/>
  <c r="P17" i="215"/>
  <c r="E13" i="215"/>
  <c r="E14" i="215"/>
  <c r="E15" i="215"/>
  <c r="E16" i="215"/>
  <c r="E17" i="215"/>
  <c r="E12" i="215"/>
  <c r="E11" i="215" s="1"/>
  <c r="F8" i="215"/>
  <c r="G8" i="215"/>
  <c r="H8" i="215"/>
  <c r="I8" i="215"/>
  <c r="J8" i="215"/>
  <c r="K8" i="215"/>
  <c r="L8" i="215"/>
  <c r="M8" i="215"/>
  <c r="N8" i="215"/>
  <c r="O8" i="215"/>
  <c r="P8" i="215"/>
  <c r="F9" i="215"/>
  <c r="G9" i="215"/>
  <c r="H9" i="215"/>
  <c r="H7" i="215" s="1"/>
  <c r="I9" i="215"/>
  <c r="J9" i="215"/>
  <c r="K9" i="215"/>
  <c r="L9" i="215"/>
  <c r="L7" i="215" s="1"/>
  <c r="M9" i="215"/>
  <c r="N9" i="215"/>
  <c r="O9" i="215"/>
  <c r="P9" i="215"/>
  <c r="P7" i="215" s="1"/>
  <c r="F10" i="215"/>
  <c r="G10" i="215"/>
  <c r="H10" i="215"/>
  <c r="I10" i="215"/>
  <c r="J10" i="215"/>
  <c r="K10" i="215"/>
  <c r="L10" i="215"/>
  <c r="M10" i="215"/>
  <c r="N10" i="215"/>
  <c r="O10" i="215"/>
  <c r="Q10" i="215" s="1"/>
  <c r="P10" i="215"/>
  <c r="E9" i="215"/>
  <c r="E10" i="215"/>
  <c r="E8" i="215"/>
  <c r="AB10" i="211"/>
  <c r="AA10" i="211"/>
  <c r="AC9" i="211"/>
  <c r="AC8" i="211"/>
  <c r="AC7" i="211"/>
  <c r="AC6" i="211"/>
  <c r="AC5" i="211"/>
  <c r="AC4" i="211"/>
  <c r="Q55" i="216"/>
  <c r="R55" i="216" s="1"/>
  <c r="Q53" i="216"/>
  <c r="R53" i="216" s="1"/>
  <c r="Q52" i="216"/>
  <c r="Q51" i="216"/>
  <c r="Q50" i="216"/>
  <c r="R50" i="216" s="1"/>
  <c r="Q49" i="216"/>
  <c r="Q48" i="216"/>
  <c r="Q47" i="216"/>
  <c r="R47" i="216" s="1"/>
  <c r="Q46" i="216"/>
  <c r="Q45" i="216"/>
  <c r="P44" i="216"/>
  <c r="O44" i="216"/>
  <c r="N44" i="216"/>
  <c r="M44" i="216"/>
  <c r="L44" i="216"/>
  <c r="K44" i="216"/>
  <c r="J44" i="216"/>
  <c r="I44" i="216"/>
  <c r="H44" i="216"/>
  <c r="G44" i="216"/>
  <c r="F44" i="216"/>
  <c r="E44" i="216"/>
  <c r="Q43" i="216"/>
  <c r="Q42" i="216"/>
  <c r="R42" i="216" s="1"/>
  <c r="Q41" i="216"/>
  <c r="Q40" i="216"/>
  <c r="Q39" i="216"/>
  <c r="Q38" i="216"/>
  <c r="Q37" i="216"/>
  <c r="Q36" i="216"/>
  <c r="R36" i="216" s="1"/>
  <c r="Q35" i="216"/>
  <c r="Q34" i="216"/>
  <c r="Q33" i="216"/>
  <c r="Q32" i="216"/>
  <c r="Q31" i="216"/>
  <c r="Q30" i="216"/>
  <c r="Q29" i="216"/>
  <c r="Q28" i="216"/>
  <c r="R28" i="216" s="1"/>
  <c r="Q27" i="216"/>
  <c r="Q26" i="216"/>
  <c r="R26" i="216" s="1"/>
  <c r="Q25" i="216"/>
  <c r="Q24" i="216"/>
  <c r="Q23" i="216"/>
  <c r="Q22" i="216"/>
  <c r="R22" i="216" s="1"/>
  <c r="Q21" i="216"/>
  <c r="Q20" i="216"/>
  <c r="Q19" i="216"/>
  <c r="P18" i="216"/>
  <c r="O18" i="216"/>
  <c r="N18" i="216"/>
  <c r="M18" i="216"/>
  <c r="L18" i="216"/>
  <c r="K18" i="216"/>
  <c r="J18" i="216"/>
  <c r="I18" i="216"/>
  <c r="H18" i="216"/>
  <c r="G18" i="216"/>
  <c r="F18" i="216"/>
  <c r="E18" i="216"/>
  <c r="Q17" i="216"/>
  <c r="Q16" i="216"/>
  <c r="Q15" i="216"/>
  <c r="Q14" i="216"/>
  <c r="T14" i="216" s="1"/>
  <c r="W14" i="216" s="1"/>
  <c r="Q13" i="216"/>
  <c r="Q12" i="216"/>
  <c r="P11" i="216"/>
  <c r="O11" i="216"/>
  <c r="N11" i="216"/>
  <c r="M11" i="216"/>
  <c r="L11" i="216"/>
  <c r="K11" i="216"/>
  <c r="J11" i="216"/>
  <c r="I11" i="216"/>
  <c r="H11" i="216"/>
  <c r="G11" i="216"/>
  <c r="F11" i="216"/>
  <c r="E11" i="216"/>
  <c r="Q10" i="216"/>
  <c r="Q9" i="216"/>
  <c r="D9" i="216"/>
  <c r="Q8" i="216"/>
  <c r="P7" i="216"/>
  <c r="O7" i="216"/>
  <c r="N7" i="216"/>
  <c r="M7" i="216"/>
  <c r="L7" i="216"/>
  <c r="K7" i="216"/>
  <c r="J7" i="216"/>
  <c r="I7" i="216"/>
  <c r="H7" i="216"/>
  <c r="G7" i="216"/>
  <c r="F7" i="216"/>
  <c r="E7" i="216"/>
  <c r="P6" i="216"/>
  <c r="O6" i="216"/>
  <c r="N6" i="216"/>
  <c r="M6" i="216"/>
  <c r="L6" i="216"/>
  <c r="K6" i="216"/>
  <c r="J6" i="216"/>
  <c r="I6" i="216"/>
  <c r="H6" i="216"/>
  <c r="G6" i="216"/>
  <c r="F6" i="216"/>
  <c r="E6" i="216"/>
  <c r="E5" i="216" s="1"/>
  <c r="P5" i="216"/>
  <c r="O5" i="216"/>
  <c r="N5" i="216"/>
  <c r="M5" i="216"/>
  <c r="L5" i="216"/>
  <c r="K5" i="216"/>
  <c r="J5" i="216"/>
  <c r="I5" i="216"/>
  <c r="H5" i="216"/>
  <c r="G5" i="216"/>
  <c r="M44" i="215"/>
  <c r="K44" i="215"/>
  <c r="Q40" i="215"/>
  <c r="Q31" i="215"/>
  <c r="Q23" i="215"/>
  <c r="H18" i="215"/>
  <c r="E18" i="215"/>
  <c r="P11" i="215"/>
  <c r="L11" i="215"/>
  <c r="H11" i="215"/>
  <c r="Q13" i="215"/>
  <c r="K11" i="215"/>
  <c r="G11" i="215"/>
  <c r="M7" i="215"/>
  <c r="I7" i="215"/>
  <c r="Q9" i="215"/>
  <c r="D9" i="215"/>
  <c r="Q8" i="215"/>
  <c r="N7" i="215"/>
  <c r="J7" i="215"/>
  <c r="F7" i="215"/>
  <c r="Q53" i="214"/>
  <c r="Q52" i="214"/>
  <c r="T52" i="214" s="1"/>
  <c r="W52" i="214" s="1"/>
  <c r="Q51" i="214"/>
  <c r="T51" i="214" s="1"/>
  <c r="Q50" i="214"/>
  <c r="Q49" i="214"/>
  <c r="Q48" i="214"/>
  <c r="Q47" i="214"/>
  <c r="R47" i="214" s="1"/>
  <c r="Q46" i="214"/>
  <c r="T46" i="214" s="1"/>
  <c r="W46" i="214" s="1"/>
  <c r="Q45" i="214"/>
  <c r="T45" i="214" s="1"/>
  <c r="P44" i="214"/>
  <c r="O44" i="214"/>
  <c r="N44" i="214"/>
  <c r="M44" i="214"/>
  <c r="K44" i="214"/>
  <c r="J44" i="214"/>
  <c r="I44" i="214"/>
  <c r="H44" i="214"/>
  <c r="G44" i="214"/>
  <c r="F44" i="214"/>
  <c r="E44" i="214"/>
  <c r="Q43" i="214"/>
  <c r="Q42" i="214"/>
  <c r="Q41" i="214"/>
  <c r="T41" i="214" s="1"/>
  <c r="W41" i="214" s="1"/>
  <c r="Q40" i="214"/>
  <c r="T40" i="214" s="1"/>
  <c r="Q39" i="214"/>
  <c r="Q38" i="214"/>
  <c r="T38" i="214" s="1"/>
  <c r="W38" i="214" s="1"/>
  <c r="Q37" i="214"/>
  <c r="T37" i="214" s="1"/>
  <c r="Q36" i="214"/>
  <c r="Q35" i="214"/>
  <c r="T35" i="214" s="1"/>
  <c r="W35" i="214" s="1"/>
  <c r="Q34" i="214"/>
  <c r="T34" i="214" s="1"/>
  <c r="Q33" i="214"/>
  <c r="Q32" i="214"/>
  <c r="T32" i="214" s="1"/>
  <c r="W32" i="214" s="1"/>
  <c r="Q31" i="214"/>
  <c r="T31" i="214" s="1"/>
  <c r="Q30" i="214"/>
  <c r="Q29" i="214"/>
  <c r="Q28" i="214"/>
  <c r="Q27" i="214"/>
  <c r="Q26" i="214"/>
  <c r="Q25" i="214"/>
  <c r="Q24" i="214"/>
  <c r="T24" i="214" s="1"/>
  <c r="W24" i="214" s="1"/>
  <c r="Q23" i="214"/>
  <c r="Q22" i="214"/>
  <c r="Q21" i="214"/>
  <c r="R21" i="214" s="1"/>
  <c r="Q20" i="214"/>
  <c r="Q19" i="214"/>
  <c r="P18" i="214"/>
  <c r="O18" i="214"/>
  <c r="N18" i="214"/>
  <c r="M18" i="214"/>
  <c r="K18" i="214"/>
  <c r="J18" i="214"/>
  <c r="I18" i="214"/>
  <c r="H18" i="214"/>
  <c r="G18" i="214"/>
  <c r="F18" i="214"/>
  <c r="E18" i="214"/>
  <c r="E5" i="214" s="1"/>
  <c r="Q17" i="214"/>
  <c r="T17" i="214" s="1"/>
  <c r="W17" i="214" s="1"/>
  <c r="Q16" i="214"/>
  <c r="Q15" i="214"/>
  <c r="R14" i="214"/>
  <c r="Q14" i="214"/>
  <c r="T14" i="214" s="1"/>
  <c r="W14" i="214" s="1"/>
  <c r="Q13" i="214"/>
  <c r="Q12" i="214"/>
  <c r="Q11" i="214"/>
  <c r="P11" i="214"/>
  <c r="O11" i="214"/>
  <c r="N11" i="214"/>
  <c r="M11" i="214"/>
  <c r="K11" i="214"/>
  <c r="J11" i="214"/>
  <c r="I11" i="214"/>
  <c r="H11" i="214"/>
  <c r="G11" i="214"/>
  <c r="F11" i="214"/>
  <c r="E11" i="214"/>
  <c r="Q10" i="214"/>
  <c r="R9" i="214"/>
  <c r="Q9" i="214"/>
  <c r="S9" i="214" s="1"/>
  <c r="D9" i="214"/>
  <c r="T9" i="214" s="1"/>
  <c r="W9" i="214" s="1"/>
  <c r="Q8" i="214"/>
  <c r="P7" i="214"/>
  <c r="O7" i="214"/>
  <c r="O6" i="214" s="1"/>
  <c r="N7" i="214"/>
  <c r="M7" i="214"/>
  <c r="M6" i="214" s="1"/>
  <c r="K7" i="214"/>
  <c r="J7" i="214"/>
  <c r="J6" i="214" s="1"/>
  <c r="J5" i="214" s="1"/>
  <c r="I7" i="214"/>
  <c r="H7" i="214"/>
  <c r="H6" i="214" s="1"/>
  <c r="G7" i="214"/>
  <c r="F7" i="214"/>
  <c r="Q7" i="214" s="1"/>
  <c r="E7" i="214"/>
  <c r="P6" i="214"/>
  <c r="N6" i="214"/>
  <c r="K6" i="214"/>
  <c r="I6" i="214"/>
  <c r="G6" i="214"/>
  <c r="E6" i="214"/>
  <c r="P5" i="214"/>
  <c r="N5" i="214"/>
  <c r="K5" i="214"/>
  <c r="I5" i="214"/>
  <c r="G5" i="214"/>
  <c r="Q53" i="213"/>
  <c r="Q52" i="213"/>
  <c r="Q51" i="213"/>
  <c r="R51" i="213" s="1"/>
  <c r="Q50" i="213"/>
  <c r="Q49" i="213"/>
  <c r="R49" i="213" s="1"/>
  <c r="Q48" i="213"/>
  <c r="Q47" i="213"/>
  <c r="Q46" i="213"/>
  <c r="Q45" i="213"/>
  <c r="R45" i="213" s="1"/>
  <c r="P44" i="213"/>
  <c r="O44" i="213"/>
  <c r="N44" i="213"/>
  <c r="M44" i="213"/>
  <c r="L44" i="213"/>
  <c r="K44" i="213"/>
  <c r="J44" i="213"/>
  <c r="I44" i="213"/>
  <c r="H44" i="213"/>
  <c r="G44" i="213"/>
  <c r="F44" i="213"/>
  <c r="E44" i="213"/>
  <c r="Q43" i="213"/>
  <c r="Q42" i="213"/>
  <c r="Q41" i="213"/>
  <c r="R41" i="213" s="1"/>
  <c r="Q40" i="213"/>
  <c r="Q39" i="213"/>
  <c r="Q38" i="213"/>
  <c r="Q37" i="213"/>
  <c r="Q36" i="213"/>
  <c r="Q35" i="213"/>
  <c r="Q34" i="213"/>
  <c r="Q33" i="213"/>
  <c r="R33" i="213" s="1"/>
  <c r="Q32" i="213"/>
  <c r="Q31" i="213"/>
  <c r="R31" i="213" s="1"/>
  <c r="Q30" i="213"/>
  <c r="Q29" i="213"/>
  <c r="R29" i="213" s="1"/>
  <c r="Q28" i="213"/>
  <c r="Q27" i="213"/>
  <c r="Q26" i="213"/>
  <c r="Q25" i="213"/>
  <c r="Q24" i="213"/>
  <c r="T24" i="213" s="1"/>
  <c r="W24" i="213" s="1"/>
  <c r="Q23" i="213"/>
  <c r="Q22" i="213"/>
  <c r="Q21" i="213"/>
  <c r="Q20" i="213"/>
  <c r="Q19" i="213"/>
  <c r="P18" i="213"/>
  <c r="P5" i="213" s="1"/>
  <c r="O18" i="213"/>
  <c r="N18" i="213"/>
  <c r="M18" i="213"/>
  <c r="L18" i="213"/>
  <c r="K18" i="213"/>
  <c r="K5" i="213" s="1"/>
  <c r="J18" i="213"/>
  <c r="I18" i="213"/>
  <c r="I5" i="213" s="1"/>
  <c r="H18" i="213"/>
  <c r="H5" i="213" s="1"/>
  <c r="G18" i="213"/>
  <c r="G5" i="213" s="1"/>
  <c r="F18" i="213"/>
  <c r="F5" i="213" s="1"/>
  <c r="E18" i="213"/>
  <c r="Q17" i="213"/>
  <c r="Q16" i="213"/>
  <c r="T16" i="213" s="1"/>
  <c r="W16" i="213" s="1"/>
  <c r="Q15" i="213"/>
  <c r="T15" i="213" s="1"/>
  <c r="Q14" i="213"/>
  <c r="Q13" i="213"/>
  <c r="T13" i="213" s="1"/>
  <c r="W13" i="213" s="1"/>
  <c r="Q12" i="213"/>
  <c r="T12" i="213" s="1"/>
  <c r="Q11" i="213"/>
  <c r="P11" i="213"/>
  <c r="O11" i="213"/>
  <c r="N11" i="213"/>
  <c r="M11" i="213"/>
  <c r="L11" i="213"/>
  <c r="K11" i="213"/>
  <c r="J11" i="213"/>
  <c r="I11" i="213"/>
  <c r="H11" i="213"/>
  <c r="G11" i="213"/>
  <c r="F11" i="213"/>
  <c r="E11" i="213"/>
  <c r="Q10" i="213"/>
  <c r="Q9" i="213"/>
  <c r="D9" i="213"/>
  <c r="Q8" i="213"/>
  <c r="T8" i="213" s="1"/>
  <c r="P7" i="213"/>
  <c r="O7" i="213"/>
  <c r="N7" i="213"/>
  <c r="M7" i="213"/>
  <c r="L7" i="213"/>
  <c r="K7" i="213"/>
  <c r="J7" i="213"/>
  <c r="I7" i="213"/>
  <c r="H7" i="213"/>
  <c r="G7" i="213"/>
  <c r="F7" i="213"/>
  <c r="E7" i="213"/>
  <c r="Q7" i="213" s="1"/>
  <c r="P6" i="213"/>
  <c r="O6" i="213"/>
  <c r="N6" i="213"/>
  <c r="M6" i="213"/>
  <c r="L6" i="213"/>
  <c r="K6" i="213"/>
  <c r="J6" i="213"/>
  <c r="I6" i="213"/>
  <c r="H6" i="213"/>
  <c r="G6" i="213"/>
  <c r="F6" i="213"/>
  <c r="E6" i="213"/>
  <c r="Q6" i="213" s="1"/>
  <c r="N5" i="213"/>
  <c r="L5" i="213"/>
  <c r="J5" i="213"/>
  <c r="Q54" i="212"/>
  <c r="Q53" i="212"/>
  <c r="Q52" i="212"/>
  <c r="Q51" i="212"/>
  <c r="T51" i="212" s="1"/>
  <c r="W51" i="212" s="1"/>
  <c r="Q50" i="212"/>
  <c r="Q49" i="212"/>
  <c r="Q48" i="212"/>
  <c r="R48" i="212" s="1"/>
  <c r="Q47" i="212"/>
  <c r="Q46" i="212"/>
  <c r="P45" i="212"/>
  <c r="O45" i="212"/>
  <c r="N45" i="212"/>
  <c r="M45" i="212"/>
  <c r="L45" i="212"/>
  <c r="K45" i="212"/>
  <c r="J45" i="212"/>
  <c r="I45" i="212"/>
  <c r="H45" i="212"/>
  <c r="G45" i="212"/>
  <c r="F45" i="212"/>
  <c r="E45" i="212"/>
  <c r="Q44" i="212"/>
  <c r="Q43" i="212"/>
  <c r="R43" i="212" s="1"/>
  <c r="Q42" i="212"/>
  <c r="Q41" i="212"/>
  <c r="Q40" i="212"/>
  <c r="T40" i="212" s="1"/>
  <c r="W40" i="212" s="1"/>
  <c r="Q39" i="212"/>
  <c r="Q38" i="212"/>
  <c r="Q37" i="212"/>
  <c r="R37" i="212" s="1"/>
  <c r="Q36" i="212"/>
  <c r="Q35" i="212"/>
  <c r="Q34" i="212"/>
  <c r="T34" i="212" s="1"/>
  <c r="W34" i="212" s="1"/>
  <c r="Q33" i="212"/>
  <c r="Q32" i="212"/>
  <c r="Q31" i="212"/>
  <c r="R31" i="212" s="1"/>
  <c r="Q30" i="212"/>
  <c r="Q29" i="212"/>
  <c r="T29" i="212" s="1"/>
  <c r="Q28" i="212"/>
  <c r="Q27" i="212"/>
  <c r="T27" i="212" s="1"/>
  <c r="W27" i="212" s="1"/>
  <c r="Q26" i="212"/>
  <c r="Q25" i="212"/>
  <c r="Q24" i="212"/>
  <c r="Q23" i="212"/>
  <c r="T23" i="212" s="1"/>
  <c r="Q22" i="212"/>
  <c r="Q21" i="212"/>
  <c r="R21" i="212" s="1"/>
  <c r="Q20" i="212"/>
  <c r="P19" i="212"/>
  <c r="O19" i="212"/>
  <c r="N19" i="212"/>
  <c r="M19" i="212"/>
  <c r="L19" i="212"/>
  <c r="K19" i="212"/>
  <c r="J19" i="212"/>
  <c r="I19" i="212"/>
  <c r="H19" i="212"/>
  <c r="G19" i="212"/>
  <c r="F19" i="212"/>
  <c r="E19" i="212"/>
  <c r="Q18" i="212"/>
  <c r="R18" i="212" s="1"/>
  <c r="Q17" i="212"/>
  <c r="Q16" i="212"/>
  <c r="Q15" i="212"/>
  <c r="Q14" i="212"/>
  <c r="Q13" i="212"/>
  <c r="P12" i="212"/>
  <c r="O12" i="212"/>
  <c r="N12" i="212"/>
  <c r="M12" i="212"/>
  <c r="L12" i="212"/>
  <c r="K12" i="212"/>
  <c r="J12" i="212"/>
  <c r="I12" i="212"/>
  <c r="H12" i="212"/>
  <c r="G12" i="212"/>
  <c r="F12" i="212"/>
  <c r="E12" i="212"/>
  <c r="Q11" i="212"/>
  <c r="Q10" i="212"/>
  <c r="D10" i="212"/>
  <c r="Q9" i="212"/>
  <c r="P8" i="212"/>
  <c r="O8" i="212"/>
  <c r="N8" i="212"/>
  <c r="M8" i="212"/>
  <c r="L8" i="212"/>
  <c r="K8" i="212"/>
  <c r="J8" i="212"/>
  <c r="I8" i="212"/>
  <c r="H8" i="212"/>
  <c r="G8" i="212"/>
  <c r="F8" i="212"/>
  <c r="E8" i="212"/>
  <c r="Q8" i="212" s="1"/>
  <c r="P7" i="212"/>
  <c r="O7" i="212"/>
  <c r="N7" i="212"/>
  <c r="N6" i="212" s="1"/>
  <c r="M7" i="212"/>
  <c r="L7" i="212"/>
  <c r="K7" i="212"/>
  <c r="J7" i="212"/>
  <c r="I7" i="212"/>
  <c r="H7" i="212"/>
  <c r="G7" i="212"/>
  <c r="F7" i="212"/>
  <c r="E7" i="212"/>
  <c r="P6" i="212"/>
  <c r="M6" i="212"/>
  <c r="L6" i="212"/>
  <c r="K6" i="212"/>
  <c r="J6" i="212"/>
  <c r="I6" i="212"/>
  <c r="H6" i="212"/>
  <c r="G6" i="212"/>
  <c r="Y10" i="211"/>
  <c r="X10" i="211"/>
  <c r="V10" i="211"/>
  <c r="U10" i="211"/>
  <c r="S10" i="211"/>
  <c r="R10" i="211"/>
  <c r="P10" i="211"/>
  <c r="O10" i="211"/>
  <c r="M10" i="211"/>
  <c r="L10" i="211"/>
  <c r="J10" i="211"/>
  <c r="I10" i="211"/>
  <c r="G10" i="211"/>
  <c r="F10" i="211"/>
  <c r="D10" i="211"/>
  <c r="C10" i="211"/>
  <c r="Z9" i="211"/>
  <c r="W9" i="211"/>
  <c r="T9" i="211"/>
  <c r="Q9" i="211"/>
  <c r="N9" i="211"/>
  <c r="K9" i="211"/>
  <c r="H9" i="211"/>
  <c r="E9" i="211"/>
  <c r="Z8" i="211"/>
  <c r="W8" i="211"/>
  <c r="T8" i="211"/>
  <c r="Q8" i="211"/>
  <c r="N8" i="211"/>
  <c r="K8" i="211"/>
  <c r="H8" i="211"/>
  <c r="E8" i="211"/>
  <c r="Z7" i="211"/>
  <c r="W7" i="211"/>
  <c r="T7" i="211"/>
  <c r="Q7" i="211"/>
  <c r="N7" i="211"/>
  <c r="K7" i="211"/>
  <c r="H7" i="211"/>
  <c r="E7" i="211"/>
  <c r="Z6" i="211"/>
  <c r="W6" i="211"/>
  <c r="T6" i="211"/>
  <c r="Q6" i="211"/>
  <c r="N6" i="211"/>
  <c r="K6" i="211"/>
  <c r="H6" i="211"/>
  <c r="E6" i="211"/>
  <c r="Z5" i="211"/>
  <c r="W5" i="211"/>
  <c r="T5" i="211"/>
  <c r="Q5" i="211"/>
  <c r="N5" i="211"/>
  <c r="K5" i="211"/>
  <c r="H5" i="211"/>
  <c r="E5" i="211"/>
  <c r="Z4" i="211"/>
  <c r="W4" i="211"/>
  <c r="W10" i="211" s="1"/>
  <c r="T4" i="211"/>
  <c r="T10" i="211" s="1"/>
  <c r="Q4" i="211"/>
  <c r="Q10" i="211" s="1"/>
  <c r="N4" i="211"/>
  <c r="N10" i="211" s="1"/>
  <c r="K4" i="211"/>
  <c r="K10" i="211" s="1"/>
  <c r="H4" i="211"/>
  <c r="E4" i="211"/>
  <c r="E10" i="211" s="1"/>
  <c r="T20" i="213" l="1"/>
  <c r="W20" i="213" s="1"/>
  <c r="T43" i="214"/>
  <c r="T27" i="214"/>
  <c r="T49" i="214"/>
  <c r="T48" i="214"/>
  <c r="P6" i="215"/>
  <c r="L6" i="215"/>
  <c r="H6" i="215"/>
  <c r="O7" i="215"/>
  <c r="K7" i="215"/>
  <c r="G7" i="215"/>
  <c r="G6" i="215" s="1"/>
  <c r="Q17" i="215"/>
  <c r="N11" i="215"/>
  <c r="J11" i="215"/>
  <c r="F11" i="215"/>
  <c r="M11" i="215"/>
  <c r="I11" i="215"/>
  <c r="Q35" i="215"/>
  <c r="Q21" i="215"/>
  <c r="T21" i="215" s="1"/>
  <c r="W21" i="215" s="1"/>
  <c r="L18" i="215"/>
  <c r="I18" i="215"/>
  <c r="I44" i="215"/>
  <c r="G44" i="215"/>
  <c r="F6" i="215"/>
  <c r="J6" i="215"/>
  <c r="I6" i="215"/>
  <c r="M6" i="215"/>
  <c r="J18" i="215"/>
  <c r="K18" i="215"/>
  <c r="Q38" i="215"/>
  <c r="Q26" i="215"/>
  <c r="R26" i="215" s="1"/>
  <c r="S26" i="215" s="1"/>
  <c r="E5" i="213"/>
  <c r="Q52" i="215"/>
  <c r="T52" i="215" s="1"/>
  <c r="W52" i="215" s="1"/>
  <c r="E6" i="212"/>
  <c r="Q46" i="215"/>
  <c r="T46" i="215" s="1"/>
  <c r="W46" i="215" s="1"/>
  <c r="Q15" i="215"/>
  <c r="N6" i="215"/>
  <c r="H5" i="214"/>
  <c r="Q7" i="212"/>
  <c r="O11" i="215"/>
  <c r="K6" i="215"/>
  <c r="K5" i="215" s="1"/>
  <c r="Q16" i="215"/>
  <c r="Q14" i="215"/>
  <c r="T14" i="215" s="1"/>
  <c r="W14" i="215" s="1"/>
  <c r="Q12" i="215"/>
  <c r="Q11" i="216"/>
  <c r="Z10" i="211"/>
  <c r="H10" i="211"/>
  <c r="AD5" i="211"/>
  <c r="AD6" i="211"/>
  <c r="AD7" i="211"/>
  <c r="AD8" i="211"/>
  <c r="AD9" i="211"/>
  <c r="AD4" i="211"/>
  <c r="O5" i="214"/>
  <c r="O5" i="213"/>
  <c r="Q5" i="213" s="1"/>
  <c r="O18" i="215"/>
  <c r="O6" i="212"/>
  <c r="O44" i="215"/>
  <c r="O6" i="215"/>
  <c r="Q7" i="216"/>
  <c r="F5" i="216"/>
  <c r="Q6" i="216"/>
  <c r="Q43" i="215"/>
  <c r="T43" i="215" s="1"/>
  <c r="F6" i="212"/>
  <c r="Q19" i="215"/>
  <c r="T19" i="215" s="1"/>
  <c r="Q45" i="212"/>
  <c r="Q45" i="215"/>
  <c r="T45" i="215" s="1"/>
  <c r="M18" i="215"/>
  <c r="M5" i="214"/>
  <c r="M5" i="213"/>
  <c r="Q47" i="215"/>
  <c r="T47" i="215" s="1"/>
  <c r="W47" i="215" s="1"/>
  <c r="Q33" i="215"/>
  <c r="T33" i="215" s="1"/>
  <c r="W33" i="215" s="1"/>
  <c r="Q51" i="215"/>
  <c r="T51" i="215" s="1"/>
  <c r="Q44" i="214"/>
  <c r="R27" i="212"/>
  <c r="G18" i="215"/>
  <c r="Q53" i="215"/>
  <c r="T53" i="215" s="1"/>
  <c r="W53" i="215" s="1"/>
  <c r="Q44" i="213"/>
  <c r="R20" i="213"/>
  <c r="R29" i="212"/>
  <c r="Q41" i="215"/>
  <c r="R41" i="215" s="1"/>
  <c r="S41" i="215" s="1"/>
  <c r="Q39" i="215"/>
  <c r="T39" i="215" s="1"/>
  <c r="W39" i="215" s="1"/>
  <c r="Q37" i="215"/>
  <c r="R37" i="215" s="1"/>
  <c r="S37" i="215" s="1"/>
  <c r="Q34" i="215"/>
  <c r="R34" i="215" s="1"/>
  <c r="S34" i="215" s="1"/>
  <c r="Q32" i="215"/>
  <c r="R32" i="215" s="1"/>
  <c r="S32" i="215" s="1"/>
  <c r="Q29" i="215"/>
  <c r="Q27" i="215"/>
  <c r="T27" i="215" s="1"/>
  <c r="W27" i="215" s="1"/>
  <c r="Q25" i="215"/>
  <c r="R23" i="212"/>
  <c r="Q22" i="215"/>
  <c r="R22" i="215" s="1"/>
  <c r="S22" i="215" s="1"/>
  <c r="N18" i="215"/>
  <c r="Q20" i="215"/>
  <c r="R51" i="212"/>
  <c r="Q44" i="216"/>
  <c r="S50" i="216"/>
  <c r="T50" i="216"/>
  <c r="W50" i="216" s="1"/>
  <c r="S47" i="216"/>
  <c r="T47" i="216"/>
  <c r="W47" i="216" s="1"/>
  <c r="S53" i="216"/>
  <c r="T53" i="216"/>
  <c r="W53" i="216" s="1"/>
  <c r="T23" i="216"/>
  <c r="W23" i="216" s="1"/>
  <c r="T25" i="216"/>
  <c r="T29" i="216"/>
  <c r="W29" i="216" s="1"/>
  <c r="T33" i="216"/>
  <c r="W33" i="216" s="1"/>
  <c r="T39" i="216"/>
  <c r="W39" i="216" s="1"/>
  <c r="S22" i="216"/>
  <c r="T22" i="216"/>
  <c r="R23" i="216"/>
  <c r="S23" i="216" s="1"/>
  <c r="R25" i="216"/>
  <c r="S25" i="216" s="1"/>
  <c r="S26" i="216"/>
  <c r="T26" i="216"/>
  <c r="W26" i="216" s="1"/>
  <c r="S28" i="216"/>
  <c r="T28" i="216"/>
  <c r="R29" i="216"/>
  <c r="S29" i="216" s="1"/>
  <c r="R33" i="216"/>
  <c r="S33" i="216" s="1"/>
  <c r="S36" i="216"/>
  <c r="T36" i="216"/>
  <c r="W36" i="216" s="1"/>
  <c r="R39" i="216"/>
  <c r="S39" i="216" s="1"/>
  <c r="S42" i="216"/>
  <c r="T42" i="216"/>
  <c r="W42" i="216" s="1"/>
  <c r="T17" i="216"/>
  <c r="W17" i="216" s="1"/>
  <c r="R17" i="216"/>
  <c r="S17" i="216" s="1"/>
  <c r="G5" i="215"/>
  <c r="I5" i="215"/>
  <c r="F18" i="215"/>
  <c r="S47" i="214"/>
  <c r="S21" i="214"/>
  <c r="T21" i="214"/>
  <c r="W21" i="214" s="1"/>
  <c r="R24" i="214"/>
  <c r="T46" i="213"/>
  <c r="W46" i="213" s="1"/>
  <c r="T48" i="213"/>
  <c r="T52" i="213"/>
  <c r="W52" i="213" s="1"/>
  <c r="S45" i="213"/>
  <c r="T45" i="213"/>
  <c r="R46" i="213"/>
  <c r="S46" i="213" s="1"/>
  <c r="R48" i="213"/>
  <c r="S48" i="213" s="1"/>
  <c r="S49" i="213"/>
  <c r="T49" i="213"/>
  <c r="W49" i="213" s="1"/>
  <c r="S51" i="213"/>
  <c r="T51" i="213"/>
  <c r="R52" i="213"/>
  <c r="S52" i="213" s="1"/>
  <c r="T36" i="213"/>
  <c r="W36" i="213" s="1"/>
  <c r="T40" i="213"/>
  <c r="S29" i="213"/>
  <c r="T29" i="213"/>
  <c r="W29" i="213" s="1"/>
  <c r="S31" i="213"/>
  <c r="T31" i="213"/>
  <c r="S33" i="213"/>
  <c r="T33" i="213"/>
  <c r="W33" i="213" s="1"/>
  <c r="R36" i="213"/>
  <c r="S36" i="213" s="1"/>
  <c r="R40" i="213"/>
  <c r="S40" i="213" s="1"/>
  <c r="S41" i="213"/>
  <c r="T41" i="213"/>
  <c r="W41" i="213" s="1"/>
  <c r="T48" i="212"/>
  <c r="W48" i="212" s="1"/>
  <c r="T54" i="212"/>
  <c r="W54" i="212" s="1"/>
  <c r="R54" i="212"/>
  <c r="S54" i="212" s="1"/>
  <c r="T24" i="212"/>
  <c r="W24" i="212" s="1"/>
  <c r="T26" i="212"/>
  <c r="T30" i="212"/>
  <c r="W30" i="212" s="1"/>
  <c r="R34" i="212"/>
  <c r="S34" i="212" s="1"/>
  <c r="T37" i="212"/>
  <c r="W37" i="212" s="1"/>
  <c r="R40" i="212"/>
  <c r="T43" i="212"/>
  <c r="W43" i="212" s="1"/>
  <c r="R24" i="212"/>
  <c r="S24" i="212" s="1"/>
  <c r="R26" i="212"/>
  <c r="S26" i="212" s="1"/>
  <c r="R30" i="212"/>
  <c r="S30" i="212" s="1"/>
  <c r="T15" i="212"/>
  <c r="W15" i="212" s="1"/>
  <c r="R15" i="212"/>
  <c r="S15" i="212" s="1"/>
  <c r="S18" i="212"/>
  <c r="T18" i="212"/>
  <c r="W18" i="212" s="1"/>
  <c r="AC10" i="211"/>
  <c r="T10" i="216"/>
  <c r="W10" i="216" s="1"/>
  <c r="R10" i="216"/>
  <c r="S10" i="216" s="1"/>
  <c r="Q5" i="216"/>
  <c r="R8" i="216"/>
  <c r="T8" i="216"/>
  <c r="R9" i="216"/>
  <c r="S9" i="216" s="1"/>
  <c r="T9" i="216"/>
  <c r="W9" i="216" s="1"/>
  <c r="R12" i="216"/>
  <c r="S12" i="216" s="1"/>
  <c r="T12" i="216"/>
  <c r="R13" i="216"/>
  <c r="S13" i="216" s="1"/>
  <c r="T13" i="216"/>
  <c r="W13" i="216" s="1"/>
  <c r="R14" i="216"/>
  <c r="S14" i="216" s="1"/>
  <c r="T15" i="216"/>
  <c r="R15" i="216"/>
  <c r="S15" i="216" s="1"/>
  <c r="T16" i="216"/>
  <c r="W16" i="216" s="1"/>
  <c r="R16" i="216"/>
  <c r="S16" i="216" s="1"/>
  <c r="T20" i="216"/>
  <c r="W20" i="216" s="1"/>
  <c r="R20" i="216"/>
  <c r="Q18" i="216"/>
  <c r="S20" i="216"/>
  <c r="T30" i="216"/>
  <c r="W30" i="216" s="1"/>
  <c r="R30" i="216"/>
  <c r="S30" i="216" s="1"/>
  <c r="R19" i="216"/>
  <c r="T19" i="216"/>
  <c r="R21" i="216"/>
  <c r="S21" i="216" s="1"/>
  <c r="T21" i="216"/>
  <c r="W21" i="216" s="1"/>
  <c r="R24" i="216"/>
  <c r="S24" i="216" s="1"/>
  <c r="T24" i="216"/>
  <c r="W24" i="216" s="1"/>
  <c r="R27" i="216"/>
  <c r="S27" i="216" s="1"/>
  <c r="T27" i="216"/>
  <c r="W27" i="216" s="1"/>
  <c r="R31" i="216"/>
  <c r="S31" i="216" s="1"/>
  <c r="T31" i="216"/>
  <c r="R32" i="216"/>
  <c r="S32" i="216" s="1"/>
  <c r="T32" i="216"/>
  <c r="W32" i="216" s="1"/>
  <c r="R34" i="216"/>
  <c r="S34" i="216" s="1"/>
  <c r="T34" i="216"/>
  <c r="R35" i="216"/>
  <c r="S35" i="216" s="1"/>
  <c r="T35" i="216"/>
  <c r="W35" i="216" s="1"/>
  <c r="R37" i="216"/>
  <c r="S37" i="216" s="1"/>
  <c r="T37" i="216"/>
  <c r="R38" i="216"/>
  <c r="S38" i="216" s="1"/>
  <c r="T38" i="216"/>
  <c r="W38" i="216" s="1"/>
  <c r="R40" i="216"/>
  <c r="S40" i="216" s="1"/>
  <c r="T40" i="216"/>
  <c r="R41" i="216"/>
  <c r="S41" i="216" s="1"/>
  <c r="T41" i="216"/>
  <c r="W41" i="216" s="1"/>
  <c r="R43" i="216"/>
  <c r="S43" i="216" s="1"/>
  <c r="T43" i="216"/>
  <c r="R45" i="216"/>
  <c r="T45" i="216"/>
  <c r="R46" i="216"/>
  <c r="S46" i="216" s="1"/>
  <c r="T46" i="216"/>
  <c r="W46" i="216" s="1"/>
  <c r="R48" i="216"/>
  <c r="S48" i="216" s="1"/>
  <c r="T48" i="216"/>
  <c r="R49" i="216"/>
  <c r="S49" i="216" s="1"/>
  <c r="T49" i="216"/>
  <c r="W49" i="216" s="1"/>
  <c r="R51" i="216"/>
  <c r="S51" i="216" s="1"/>
  <c r="T51" i="216"/>
  <c r="R52" i="216"/>
  <c r="S52" i="216" s="1"/>
  <c r="T52" i="216"/>
  <c r="W52" i="216" s="1"/>
  <c r="R54" i="216"/>
  <c r="S54" i="216" s="1"/>
  <c r="T54" i="216"/>
  <c r="T8" i="215"/>
  <c r="R8" i="215"/>
  <c r="S8" i="215" s="1"/>
  <c r="R47" i="215"/>
  <c r="S47" i="215" s="1"/>
  <c r="T50" i="215"/>
  <c r="W50" i="215" s="1"/>
  <c r="R50" i="215"/>
  <c r="S50" i="215" s="1"/>
  <c r="R53" i="215"/>
  <c r="S53" i="215" s="1"/>
  <c r="T9" i="215"/>
  <c r="W9" i="215" s="1"/>
  <c r="R9" i="215"/>
  <c r="S9" i="215" s="1"/>
  <c r="T10" i="215"/>
  <c r="W10" i="215" s="1"/>
  <c r="R10" i="215"/>
  <c r="S10" i="215" s="1"/>
  <c r="T12" i="215"/>
  <c r="R12" i="215"/>
  <c r="T13" i="215"/>
  <c r="W13" i="215" s="1"/>
  <c r="R13" i="215"/>
  <c r="S13" i="215" s="1"/>
  <c r="T15" i="215"/>
  <c r="R15" i="215"/>
  <c r="S15" i="215" s="1"/>
  <c r="T16" i="215"/>
  <c r="W16" i="215" s="1"/>
  <c r="R16" i="215"/>
  <c r="S16" i="215" s="1"/>
  <c r="T17" i="215"/>
  <c r="W17" i="215" s="1"/>
  <c r="R17" i="215"/>
  <c r="S17" i="215" s="1"/>
  <c r="R19" i="215"/>
  <c r="S19" i="215" s="1"/>
  <c r="T20" i="215"/>
  <c r="W20" i="215" s="1"/>
  <c r="R20" i="215"/>
  <c r="S20" i="215" s="1"/>
  <c r="T22" i="215"/>
  <c r="T23" i="215"/>
  <c r="W23" i="215" s="1"/>
  <c r="R23" i="215"/>
  <c r="S23" i="215" s="1"/>
  <c r="T25" i="215"/>
  <c r="R25" i="215"/>
  <c r="S25" i="215" s="1"/>
  <c r="T26" i="215"/>
  <c r="W26" i="215" s="1"/>
  <c r="T28" i="215"/>
  <c r="R28" i="215"/>
  <c r="S28" i="215" s="1"/>
  <c r="T29" i="215"/>
  <c r="W29" i="215" s="1"/>
  <c r="R29" i="215"/>
  <c r="S29" i="215" s="1"/>
  <c r="T31" i="215"/>
  <c r="R31" i="215"/>
  <c r="S31" i="215" s="1"/>
  <c r="T32" i="215"/>
  <c r="W32" i="215" s="1"/>
  <c r="T34" i="215"/>
  <c r="T35" i="215"/>
  <c r="W35" i="215" s="1"/>
  <c r="R35" i="215"/>
  <c r="S35" i="215" s="1"/>
  <c r="T37" i="215"/>
  <c r="T38" i="215"/>
  <c r="W38" i="215" s="1"/>
  <c r="R38" i="215"/>
  <c r="S38" i="215" s="1"/>
  <c r="T40" i="215"/>
  <c r="R40" i="215"/>
  <c r="S40" i="215" s="1"/>
  <c r="T41" i="215"/>
  <c r="W41" i="215" s="1"/>
  <c r="R43" i="215"/>
  <c r="S43" i="215" s="1"/>
  <c r="E7" i="215"/>
  <c r="Q24" i="215"/>
  <c r="Q30" i="215"/>
  <c r="Q36" i="215"/>
  <c r="Q42" i="215"/>
  <c r="E44" i="215"/>
  <c r="F44" i="215"/>
  <c r="H44" i="215"/>
  <c r="H5" i="215" s="1"/>
  <c r="J44" i="215"/>
  <c r="L44" i="215"/>
  <c r="L5" i="215" s="1"/>
  <c r="N44" i="215"/>
  <c r="P44" i="215"/>
  <c r="P5" i="215" s="1"/>
  <c r="Q48" i="215"/>
  <c r="Q49" i="215"/>
  <c r="R21" i="215"/>
  <c r="S21" i="215" s="1"/>
  <c r="R27" i="215"/>
  <c r="S27" i="215" s="1"/>
  <c r="R46" i="215"/>
  <c r="S46" i="215" s="1"/>
  <c r="F6" i="214"/>
  <c r="F5" i="214" s="1"/>
  <c r="T30" i="214"/>
  <c r="W30" i="214" s="1"/>
  <c r="R30" i="214"/>
  <c r="S30" i="214" s="1"/>
  <c r="T8" i="214"/>
  <c r="R8" i="214"/>
  <c r="T19" i="214"/>
  <c r="R19" i="214"/>
  <c r="Q18" i="214"/>
  <c r="R10" i="214"/>
  <c r="S10" i="214" s="1"/>
  <c r="T10" i="214"/>
  <c r="W10" i="214" s="1"/>
  <c r="W7" i="214" s="1"/>
  <c r="R12" i="214"/>
  <c r="T12" i="214"/>
  <c r="R13" i="214"/>
  <c r="S13" i="214" s="1"/>
  <c r="T13" i="214"/>
  <c r="W13" i="214" s="1"/>
  <c r="S14" i="214"/>
  <c r="R15" i="214"/>
  <c r="S15" i="214" s="1"/>
  <c r="T15" i="214"/>
  <c r="R16" i="214"/>
  <c r="S16" i="214" s="1"/>
  <c r="T16" i="214"/>
  <c r="W16" i="214" s="1"/>
  <c r="R20" i="214"/>
  <c r="T20" i="214"/>
  <c r="R22" i="214"/>
  <c r="S22" i="214" s="1"/>
  <c r="T22" i="214"/>
  <c r="R23" i="214"/>
  <c r="S23" i="214" s="1"/>
  <c r="T23" i="214"/>
  <c r="W23" i="214" s="1"/>
  <c r="S24" i="214"/>
  <c r="R25" i="214"/>
  <c r="T25" i="214"/>
  <c r="R26" i="214"/>
  <c r="T26" i="214"/>
  <c r="R28" i="214"/>
  <c r="S28" i="214" s="1"/>
  <c r="T28" i="214"/>
  <c r="R29" i="214"/>
  <c r="S29" i="214" s="1"/>
  <c r="T29" i="214"/>
  <c r="W29" i="214" s="1"/>
  <c r="R33" i="214"/>
  <c r="T33" i="214"/>
  <c r="R36" i="214"/>
  <c r="S36" i="214" s="1"/>
  <c r="T36" i="214"/>
  <c r="W36" i="214" s="1"/>
  <c r="R39" i="214"/>
  <c r="T39" i="214"/>
  <c r="R42" i="214"/>
  <c r="S42" i="214" s="1"/>
  <c r="T42" i="214"/>
  <c r="W42" i="214" s="1"/>
  <c r="T47" i="214"/>
  <c r="W47" i="214" s="1"/>
  <c r="R50" i="214"/>
  <c r="S50" i="214" s="1"/>
  <c r="T50" i="214"/>
  <c r="W50" i="214" s="1"/>
  <c r="R53" i="214"/>
  <c r="S53" i="214" s="1"/>
  <c r="T53" i="214"/>
  <c r="W53" i="214" s="1"/>
  <c r="R17" i="214"/>
  <c r="S17" i="214" s="1"/>
  <c r="R27" i="214"/>
  <c r="R31" i="214"/>
  <c r="S31" i="214" s="1"/>
  <c r="R32" i="214"/>
  <c r="S32" i="214" s="1"/>
  <c r="R34" i="214"/>
  <c r="S34" i="214" s="1"/>
  <c r="R35" i="214"/>
  <c r="S35" i="214" s="1"/>
  <c r="R37" i="214"/>
  <c r="S37" i="214" s="1"/>
  <c r="R38" i="214"/>
  <c r="S38" i="214" s="1"/>
  <c r="R40" i="214"/>
  <c r="S40" i="214" s="1"/>
  <c r="R41" i="214"/>
  <c r="S41" i="214" s="1"/>
  <c r="R43" i="214"/>
  <c r="R45" i="214"/>
  <c r="R46" i="214"/>
  <c r="S46" i="214" s="1"/>
  <c r="R48" i="214"/>
  <c r="R49" i="214"/>
  <c r="R51" i="214"/>
  <c r="S51" i="214" s="1"/>
  <c r="R52" i="214"/>
  <c r="S52" i="214" s="1"/>
  <c r="T19" i="213"/>
  <c r="R19" i="213"/>
  <c r="Q18" i="213"/>
  <c r="T27" i="213"/>
  <c r="W27" i="213" s="1"/>
  <c r="R27" i="213"/>
  <c r="S27" i="213" s="1"/>
  <c r="R8" i="213"/>
  <c r="T9" i="213"/>
  <c r="W9" i="213" s="1"/>
  <c r="R9" i="213"/>
  <c r="S9" i="213"/>
  <c r="T26" i="213"/>
  <c r="W26" i="213" s="1"/>
  <c r="R26" i="213"/>
  <c r="S26" i="213" s="1"/>
  <c r="T28" i="213"/>
  <c r="R28" i="213"/>
  <c r="S28" i="213" s="1"/>
  <c r="R10" i="213"/>
  <c r="S10" i="213" s="1"/>
  <c r="T10" i="213"/>
  <c r="W10" i="213" s="1"/>
  <c r="R14" i="213"/>
  <c r="S14" i="213" s="1"/>
  <c r="T14" i="213"/>
  <c r="W14" i="213" s="1"/>
  <c r="R17" i="213"/>
  <c r="S17" i="213" s="1"/>
  <c r="T17" i="213"/>
  <c r="W17" i="213" s="1"/>
  <c r="R21" i="213"/>
  <c r="T21" i="213"/>
  <c r="W21" i="213" s="1"/>
  <c r="R22" i="213"/>
  <c r="T22" i="213"/>
  <c r="R23" i="213"/>
  <c r="S23" i="213" s="1"/>
  <c r="T23" i="213"/>
  <c r="W23" i="213" s="1"/>
  <c r="R25" i="213"/>
  <c r="S25" i="213" s="1"/>
  <c r="T25" i="213"/>
  <c r="R30" i="213"/>
  <c r="S30" i="213" s="1"/>
  <c r="T30" i="213"/>
  <c r="W30" i="213" s="1"/>
  <c r="R32" i="213"/>
  <c r="S32" i="213" s="1"/>
  <c r="T32" i="213"/>
  <c r="W32" i="213" s="1"/>
  <c r="R34" i="213"/>
  <c r="S34" i="213" s="1"/>
  <c r="T34" i="213"/>
  <c r="R35" i="213"/>
  <c r="S35" i="213" s="1"/>
  <c r="T35" i="213"/>
  <c r="W35" i="213" s="1"/>
  <c r="R37" i="213"/>
  <c r="S37" i="213" s="1"/>
  <c r="T37" i="213"/>
  <c r="R38" i="213"/>
  <c r="S38" i="213" s="1"/>
  <c r="T38" i="213"/>
  <c r="W38" i="213" s="1"/>
  <c r="R39" i="213"/>
  <c r="S39" i="213" s="1"/>
  <c r="T39" i="213"/>
  <c r="W39" i="213" s="1"/>
  <c r="R42" i="213"/>
  <c r="S42" i="213" s="1"/>
  <c r="T42" i="213"/>
  <c r="W42" i="213" s="1"/>
  <c r="R43" i="213"/>
  <c r="S43" i="213" s="1"/>
  <c r="T43" i="213"/>
  <c r="R47" i="213"/>
  <c r="T47" i="213"/>
  <c r="W47" i="213" s="1"/>
  <c r="R50" i="213"/>
  <c r="S50" i="213" s="1"/>
  <c r="T50" i="213"/>
  <c r="W50" i="213" s="1"/>
  <c r="R53" i="213"/>
  <c r="S53" i="213" s="1"/>
  <c r="T53" i="213"/>
  <c r="W53" i="213" s="1"/>
  <c r="R12" i="213"/>
  <c r="R13" i="213"/>
  <c r="S13" i="213" s="1"/>
  <c r="R15" i="213"/>
  <c r="S15" i="213" s="1"/>
  <c r="R16" i="213"/>
  <c r="S16" i="213" s="1"/>
  <c r="R24" i="213"/>
  <c r="S24" i="213" s="1"/>
  <c r="T10" i="212"/>
  <c r="W10" i="212" s="1"/>
  <c r="R10" i="212"/>
  <c r="S10" i="212" s="1"/>
  <c r="T9" i="212"/>
  <c r="R9" i="212"/>
  <c r="T11" i="212"/>
  <c r="W11" i="212" s="1"/>
  <c r="R11" i="212"/>
  <c r="S11" i="212" s="1"/>
  <c r="T22" i="212"/>
  <c r="W22" i="212" s="1"/>
  <c r="R22" i="212"/>
  <c r="S22" i="212" s="1"/>
  <c r="T28" i="212"/>
  <c r="W28" i="212" s="1"/>
  <c r="R28" i="212"/>
  <c r="S28" i="212" s="1"/>
  <c r="T32" i="212"/>
  <c r="R32" i="212"/>
  <c r="S32" i="212" s="1"/>
  <c r="T33" i="212"/>
  <c r="W33" i="212" s="1"/>
  <c r="R33" i="212"/>
  <c r="T35" i="212"/>
  <c r="R35" i="212"/>
  <c r="S35" i="212" s="1"/>
  <c r="T36" i="212"/>
  <c r="W36" i="212" s="1"/>
  <c r="R36" i="212"/>
  <c r="T38" i="212"/>
  <c r="R38" i="212"/>
  <c r="S38" i="212" s="1"/>
  <c r="T39" i="212"/>
  <c r="W39" i="212" s="1"/>
  <c r="R39" i="212"/>
  <c r="T41" i="212"/>
  <c r="R41" i="212"/>
  <c r="S41" i="212" s="1"/>
  <c r="T42" i="212"/>
  <c r="W42" i="212" s="1"/>
  <c r="R42" i="212"/>
  <c r="T44" i="212"/>
  <c r="R44" i="212"/>
  <c r="S44" i="212" s="1"/>
  <c r="T46" i="212"/>
  <c r="R46" i="212"/>
  <c r="S46" i="212" s="1"/>
  <c r="T47" i="212"/>
  <c r="W47" i="212" s="1"/>
  <c r="R47" i="212"/>
  <c r="S47" i="212" s="1"/>
  <c r="T49" i="212"/>
  <c r="R49" i="212"/>
  <c r="S49" i="212" s="1"/>
  <c r="T50" i="212"/>
  <c r="W50" i="212" s="1"/>
  <c r="R50" i="212"/>
  <c r="T52" i="212"/>
  <c r="R52" i="212"/>
  <c r="T53" i="212"/>
  <c r="W53" i="212" s="1"/>
  <c r="R53" i="212"/>
  <c r="S53" i="212" s="1"/>
  <c r="T13" i="212"/>
  <c r="R13" i="212"/>
  <c r="Q12" i="212"/>
  <c r="T14" i="212"/>
  <c r="W14" i="212" s="1"/>
  <c r="R14" i="212"/>
  <c r="S14" i="212" s="1"/>
  <c r="T16" i="212"/>
  <c r="R16" i="212"/>
  <c r="S16" i="212" s="1"/>
  <c r="T17" i="212"/>
  <c r="W17" i="212" s="1"/>
  <c r="R17" i="212"/>
  <c r="S17" i="212" s="1"/>
  <c r="Q19" i="212"/>
  <c r="T20" i="212"/>
  <c r="R20" i="212"/>
  <c r="S21" i="212"/>
  <c r="T21" i="212"/>
  <c r="W21" i="212" s="1"/>
  <c r="S23" i="212"/>
  <c r="T25" i="212"/>
  <c r="W25" i="212" s="1"/>
  <c r="R25" i="212"/>
  <c r="S25" i="212" s="1"/>
  <c r="S27" i="212"/>
  <c r="S29" i="212"/>
  <c r="S31" i="212"/>
  <c r="T31" i="212"/>
  <c r="W31" i="212" s="1"/>
  <c r="S33" i="212"/>
  <c r="S36" i="212"/>
  <c r="S37" i="212"/>
  <c r="S39" i="212"/>
  <c r="S40" i="212"/>
  <c r="S42" i="212"/>
  <c r="S43" i="212"/>
  <c r="S48" i="212"/>
  <c r="S50" i="212"/>
  <c r="S51" i="212"/>
  <c r="S52" i="212"/>
  <c r="S21" i="213" l="1"/>
  <c r="S22" i="213"/>
  <c r="S19" i="213"/>
  <c r="S20" i="213"/>
  <c r="S43" i="214"/>
  <c r="S39" i="214"/>
  <c r="W39" i="214"/>
  <c r="S33" i="214"/>
  <c r="W33" i="214"/>
  <c r="S27" i="214"/>
  <c r="W27" i="214"/>
  <c r="S26" i="214"/>
  <c r="W26" i="214"/>
  <c r="S25" i="214"/>
  <c r="W20" i="214"/>
  <c r="S20" i="214"/>
  <c r="S49" i="214"/>
  <c r="W49" i="214"/>
  <c r="S48" i="214"/>
  <c r="M5" i="215"/>
  <c r="R52" i="215"/>
  <c r="S52" i="215" s="1"/>
  <c r="R45" i="215"/>
  <c r="N5" i="215"/>
  <c r="J5" i="215"/>
  <c r="Q11" i="215"/>
  <c r="R14" i="215"/>
  <c r="S14" i="215" s="1"/>
  <c r="O5" i="215"/>
  <c r="Q6" i="212"/>
  <c r="R51" i="215"/>
  <c r="S51" i="215" s="1"/>
  <c r="R39" i="215"/>
  <c r="S39" i="215" s="1"/>
  <c r="R33" i="215"/>
  <c r="S33" i="215" s="1"/>
  <c r="Q5" i="214"/>
  <c r="F5" i="215"/>
  <c r="Q18" i="215"/>
  <c r="R44" i="214"/>
  <c r="W44" i="214"/>
  <c r="W44" i="213"/>
  <c r="R44" i="213"/>
  <c r="W18" i="213"/>
  <c r="T12" i="212"/>
  <c r="R8" i="212"/>
  <c r="AD10" i="211"/>
  <c r="S11" i="216"/>
  <c r="R44" i="216"/>
  <c r="R18" i="216"/>
  <c r="S19" i="216"/>
  <c r="S18" i="216" s="1"/>
  <c r="T11" i="216"/>
  <c r="W7" i="216"/>
  <c r="T7" i="216"/>
  <c r="T6" i="216" s="1"/>
  <c r="W44" i="216"/>
  <c r="T44" i="216"/>
  <c r="T18" i="216"/>
  <c r="S45" i="216"/>
  <c r="S44" i="216" s="1"/>
  <c r="W18" i="216"/>
  <c r="R11" i="216"/>
  <c r="R7" i="216"/>
  <c r="S8" i="216"/>
  <c r="S7" i="216" s="1"/>
  <c r="S6" i="216" s="1"/>
  <c r="T49" i="215"/>
  <c r="W49" i="215" s="1"/>
  <c r="W44" i="215" s="1"/>
  <c r="R49" i="215"/>
  <c r="S49" i="215" s="1"/>
  <c r="Q44" i="215"/>
  <c r="T42" i="215"/>
  <c r="W42" i="215" s="1"/>
  <c r="R42" i="215"/>
  <c r="S42" i="215" s="1"/>
  <c r="T30" i="215"/>
  <c r="W30" i="215" s="1"/>
  <c r="R30" i="215"/>
  <c r="S30" i="215" s="1"/>
  <c r="Q7" i="215"/>
  <c r="E6" i="215"/>
  <c r="W6" i="215"/>
  <c r="R7" i="215"/>
  <c r="S45" i="215"/>
  <c r="T48" i="215"/>
  <c r="R48" i="215"/>
  <c r="T36" i="215"/>
  <c r="W36" i="215" s="1"/>
  <c r="R36" i="215"/>
  <c r="T24" i="215"/>
  <c r="W24" i="215" s="1"/>
  <c r="R24" i="215"/>
  <c r="S24" i="215" s="1"/>
  <c r="T11" i="215"/>
  <c r="S12" i="215"/>
  <c r="S11" i="215" s="1"/>
  <c r="S7" i="215"/>
  <c r="T7" i="215"/>
  <c r="S45" i="214"/>
  <c r="S44" i="214" s="1"/>
  <c r="W18" i="214"/>
  <c r="T11" i="214"/>
  <c r="R18" i="214"/>
  <c r="T7" i="214"/>
  <c r="T6" i="214" s="1"/>
  <c r="T44" i="214"/>
  <c r="R11" i="214"/>
  <c r="S19" i="214"/>
  <c r="S18" i="214" s="1"/>
  <c r="T18" i="214"/>
  <c r="S12" i="214"/>
  <c r="S11" i="214" s="1"/>
  <c r="R7" i="214"/>
  <c r="R6" i="214" s="1"/>
  <c r="Q6" i="214"/>
  <c r="S8" i="214"/>
  <c r="S7" i="214" s="1"/>
  <c r="S6" i="214" s="1"/>
  <c r="T44" i="213"/>
  <c r="R7" i="213"/>
  <c r="S18" i="213"/>
  <c r="T18" i="213"/>
  <c r="T11" i="213"/>
  <c r="S8" i="213"/>
  <c r="S7" i="213" s="1"/>
  <c r="R11" i="213"/>
  <c r="S12" i="213"/>
  <c r="S11" i="213" s="1"/>
  <c r="S47" i="213"/>
  <c r="S44" i="213" s="1"/>
  <c r="W7" i="213"/>
  <c r="W5" i="213" s="1"/>
  <c r="R18" i="213"/>
  <c r="T7" i="213"/>
  <c r="T6" i="213" s="1"/>
  <c r="T19" i="212"/>
  <c r="W45" i="212"/>
  <c r="T45" i="212"/>
  <c r="S9" i="212"/>
  <c r="S8" i="212" s="1"/>
  <c r="W8" i="212"/>
  <c r="S45" i="212"/>
  <c r="W19" i="212"/>
  <c r="R19" i="212"/>
  <c r="S20" i="212"/>
  <c r="S13" i="212"/>
  <c r="S12" i="212" s="1"/>
  <c r="R12" i="212"/>
  <c r="R7" i="212" s="1"/>
  <c r="R45" i="212"/>
  <c r="T8" i="212"/>
  <c r="T7" i="212" s="1"/>
  <c r="T6" i="212" s="1"/>
  <c r="Q19" i="209"/>
  <c r="Q20" i="209"/>
  <c r="Q21" i="209"/>
  <c r="Q22" i="209"/>
  <c r="Q23" i="209"/>
  <c r="Q24" i="209"/>
  <c r="Q1" i="192"/>
  <c r="S19" i="212" l="1"/>
  <c r="W5" i="214"/>
  <c r="R11" i="215"/>
  <c r="W18" i="215"/>
  <c r="W5" i="215" s="1"/>
  <c r="T5" i="213"/>
  <c r="T44" i="215"/>
  <c r="S5" i="216"/>
  <c r="R6" i="216"/>
  <c r="R5" i="216" s="1"/>
  <c r="R44" i="215"/>
  <c r="R18" i="215"/>
  <c r="S6" i="215"/>
  <c r="S5" i="214"/>
  <c r="R5" i="214"/>
  <c r="R6" i="212"/>
  <c r="W5" i="216"/>
  <c r="T5" i="216"/>
  <c r="S36" i="215"/>
  <c r="S18" i="215" s="1"/>
  <c r="T6" i="215"/>
  <c r="S48" i="215"/>
  <c r="S44" i="215" s="1"/>
  <c r="R6" i="215"/>
  <c r="T18" i="215"/>
  <c r="Q6" i="215"/>
  <c r="E5" i="215"/>
  <c r="Q5" i="215" s="1"/>
  <c r="T5" i="214"/>
  <c r="S6" i="213"/>
  <c r="S5" i="213" s="1"/>
  <c r="R6" i="213"/>
  <c r="R5" i="213" s="1"/>
  <c r="W6" i="212"/>
  <c r="S7" i="212"/>
  <c r="S6" i="212" s="1"/>
  <c r="Q6" i="205"/>
  <c r="R5" i="215" l="1"/>
  <c r="S5" i="215"/>
  <c r="T5" i="215"/>
  <c r="P45" i="208"/>
  <c r="P46" i="208"/>
  <c r="P47" i="208"/>
  <c r="P48" i="208"/>
  <c r="P49" i="208"/>
  <c r="P50" i="208"/>
  <c r="P51" i="208"/>
  <c r="P52" i="208"/>
  <c r="P53" i="208"/>
  <c r="P19" i="208"/>
  <c r="P20" i="208"/>
  <c r="P21" i="208"/>
  <c r="P22" i="208"/>
  <c r="P23" i="208"/>
  <c r="P24" i="208"/>
  <c r="P25" i="208"/>
  <c r="P26" i="208"/>
  <c r="P27" i="208"/>
  <c r="P28" i="208"/>
  <c r="P29" i="208"/>
  <c r="P30" i="208"/>
  <c r="P31" i="208"/>
  <c r="P32" i="208"/>
  <c r="P33" i="208"/>
  <c r="P34" i="208"/>
  <c r="P35" i="208"/>
  <c r="P36" i="208"/>
  <c r="P37" i="208"/>
  <c r="P38" i="208"/>
  <c r="P39" i="208"/>
  <c r="P40" i="208"/>
  <c r="P41" i="208"/>
  <c r="P42" i="208"/>
  <c r="P43" i="208"/>
  <c r="P12" i="208"/>
  <c r="P13" i="208"/>
  <c r="P14" i="208"/>
  <c r="P15" i="208"/>
  <c r="P16" i="208"/>
  <c r="P17" i="208"/>
  <c r="P8" i="208"/>
  <c r="P9" i="208"/>
  <c r="P10" i="208"/>
  <c r="O19" i="206"/>
  <c r="O22" i="206"/>
  <c r="I23" i="210"/>
  <c r="H23" i="210"/>
  <c r="I22" i="210"/>
  <c r="H22" i="210"/>
  <c r="I19" i="210"/>
  <c r="H19" i="210"/>
  <c r="G11" i="210"/>
  <c r="G20" i="210"/>
  <c r="G21" i="210"/>
  <c r="G22" i="210"/>
  <c r="G23" i="210"/>
  <c r="G24" i="210"/>
  <c r="G25" i="210"/>
  <c r="G26" i="210"/>
  <c r="G27" i="210"/>
  <c r="G28" i="210"/>
  <c r="G30" i="210"/>
  <c r="G31" i="210"/>
  <c r="G32" i="210"/>
  <c r="G33" i="210"/>
  <c r="G36" i="210"/>
  <c r="G39" i="210"/>
  <c r="G42" i="210"/>
  <c r="G45" i="210"/>
  <c r="G46" i="210"/>
  <c r="G47" i="210"/>
  <c r="G48" i="210"/>
  <c r="G49" i="210"/>
  <c r="G50" i="210"/>
  <c r="G51" i="210"/>
  <c r="G52" i="210"/>
  <c r="G53" i="210"/>
  <c r="G13" i="210"/>
  <c r="G14" i="210"/>
  <c r="G15" i="210"/>
  <c r="G16" i="210"/>
  <c r="G17" i="210"/>
  <c r="G19" i="210"/>
  <c r="G12" i="210"/>
  <c r="O30" i="207" l="1"/>
  <c r="O20" i="207"/>
  <c r="O19" i="207"/>
  <c r="O31" i="205"/>
  <c r="O21" i="205"/>
  <c r="O20" i="205"/>
  <c r="O30" i="209"/>
  <c r="O20" i="209"/>
  <c r="O19" i="209"/>
  <c r="O46" i="205"/>
  <c r="O13" i="205"/>
  <c r="O45" i="209"/>
  <c r="H53" i="150" l="1"/>
  <c r="J11" i="205"/>
  <c r="J10" i="205"/>
  <c r="J9" i="205"/>
  <c r="H43" i="206" l="1"/>
  <c r="H39" i="206"/>
  <c r="H28" i="206"/>
  <c r="H27" i="206"/>
  <c r="H26" i="206"/>
  <c r="H32" i="206"/>
  <c r="J10" i="209" l="1"/>
  <c r="J9" i="209"/>
  <c r="J8" i="209"/>
  <c r="Q55" i="209" l="1"/>
  <c r="R55" i="209" s="1"/>
  <c r="Q53" i="209"/>
  <c r="R53" i="209" s="1"/>
  <c r="Q52" i="209"/>
  <c r="Q51" i="209"/>
  <c r="Q50" i="209"/>
  <c r="R50" i="209" s="1"/>
  <c r="Q49" i="209"/>
  <c r="Q48" i="209"/>
  <c r="Q47" i="209"/>
  <c r="R47" i="209" s="1"/>
  <c r="Q46" i="209"/>
  <c r="Q45" i="209"/>
  <c r="P44" i="209"/>
  <c r="O44" i="209"/>
  <c r="N44" i="209"/>
  <c r="M44" i="209"/>
  <c r="L44" i="209"/>
  <c r="K44" i="209"/>
  <c r="J44" i="209"/>
  <c r="I44" i="209"/>
  <c r="H44" i="209"/>
  <c r="G44" i="209"/>
  <c r="F44" i="209"/>
  <c r="E44" i="209"/>
  <c r="Q43" i="209"/>
  <c r="Q42" i="209"/>
  <c r="Q41" i="209"/>
  <c r="Q40" i="209"/>
  <c r="R40" i="209" s="1"/>
  <c r="Q39" i="209"/>
  <c r="Q38" i="209"/>
  <c r="R38" i="209" s="1"/>
  <c r="Q37" i="209"/>
  <c r="Q36" i="209"/>
  <c r="Q35" i="209"/>
  <c r="Q34" i="209"/>
  <c r="R34" i="209" s="1"/>
  <c r="Q33" i="209"/>
  <c r="Q32" i="209"/>
  <c r="R32" i="209" s="1"/>
  <c r="Q31" i="209"/>
  <c r="Q30" i="209"/>
  <c r="Q29" i="209"/>
  <c r="Q28" i="209"/>
  <c r="R28" i="209" s="1"/>
  <c r="Q27" i="209"/>
  <c r="Q26" i="209"/>
  <c r="R26" i="209" s="1"/>
  <c r="Q25" i="209"/>
  <c r="R22" i="209"/>
  <c r="R20" i="209"/>
  <c r="T19" i="209"/>
  <c r="P18" i="209"/>
  <c r="O18" i="209"/>
  <c r="N18" i="209"/>
  <c r="M18" i="209"/>
  <c r="L18" i="209"/>
  <c r="K18" i="209"/>
  <c r="J18" i="209"/>
  <c r="I18" i="209"/>
  <c r="H18" i="209"/>
  <c r="G18" i="209"/>
  <c r="F18" i="209"/>
  <c r="E18" i="209"/>
  <c r="Q17" i="209"/>
  <c r="R17" i="209" s="1"/>
  <c r="Q16" i="209"/>
  <c r="Q15" i="209"/>
  <c r="Q14" i="209"/>
  <c r="Q13" i="209"/>
  <c r="R13" i="209" s="1"/>
  <c r="Q12" i="209"/>
  <c r="R12" i="209" s="1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Q10" i="209"/>
  <c r="T10" i="209" s="1"/>
  <c r="W10" i="209" s="1"/>
  <c r="Q9" i="209"/>
  <c r="D9" i="209"/>
  <c r="Q8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P6" i="209"/>
  <c r="O6" i="209"/>
  <c r="N6" i="209"/>
  <c r="N5" i="209" s="1"/>
  <c r="M6" i="209"/>
  <c r="M5" i="209" s="1"/>
  <c r="L6" i="209"/>
  <c r="K6" i="209"/>
  <c r="K5" i="209" s="1"/>
  <c r="J6" i="209"/>
  <c r="I6" i="209"/>
  <c r="I5" i="209" s="1"/>
  <c r="H6" i="209"/>
  <c r="G6" i="209"/>
  <c r="G5" i="209" s="1"/>
  <c r="F6" i="209"/>
  <c r="F5" i="209" s="1"/>
  <c r="E6" i="209"/>
  <c r="P5" i="209"/>
  <c r="L5" i="209"/>
  <c r="J5" i="209"/>
  <c r="F45" i="208"/>
  <c r="G45" i="208"/>
  <c r="H45" i="208"/>
  <c r="I45" i="208"/>
  <c r="J45" i="208"/>
  <c r="K45" i="208"/>
  <c r="L45" i="208"/>
  <c r="M45" i="208"/>
  <c r="N45" i="208"/>
  <c r="O45" i="208"/>
  <c r="Q45" i="208" s="1"/>
  <c r="F46" i="208"/>
  <c r="G46" i="208"/>
  <c r="H46" i="208"/>
  <c r="I46" i="208"/>
  <c r="J46" i="208"/>
  <c r="K46" i="208"/>
  <c r="L46" i="208"/>
  <c r="M46" i="208"/>
  <c r="N46" i="208"/>
  <c r="O46" i="208"/>
  <c r="F47" i="208"/>
  <c r="G47" i="208"/>
  <c r="H47" i="208"/>
  <c r="I47" i="208"/>
  <c r="J47" i="208"/>
  <c r="K47" i="208"/>
  <c r="L47" i="208"/>
  <c r="M47" i="208"/>
  <c r="N47" i="208"/>
  <c r="O47" i="208"/>
  <c r="Q47" i="208" s="1"/>
  <c r="F48" i="208"/>
  <c r="G48" i="208"/>
  <c r="H48" i="208"/>
  <c r="I48" i="208"/>
  <c r="J48" i="208"/>
  <c r="K48" i="208"/>
  <c r="L48" i="208"/>
  <c r="M48" i="208"/>
  <c r="N48" i="208"/>
  <c r="O48" i="208"/>
  <c r="F49" i="208"/>
  <c r="G49" i="208"/>
  <c r="H49" i="208"/>
  <c r="I49" i="208"/>
  <c r="J49" i="208"/>
  <c r="K49" i="208"/>
  <c r="L49" i="208"/>
  <c r="M49" i="208"/>
  <c r="N49" i="208"/>
  <c r="O49" i="208"/>
  <c r="F50" i="208"/>
  <c r="G50" i="208"/>
  <c r="H50" i="208"/>
  <c r="I50" i="208"/>
  <c r="J50" i="208"/>
  <c r="K50" i="208"/>
  <c r="L50" i="208"/>
  <c r="M50" i="208"/>
  <c r="N50" i="208"/>
  <c r="O50" i="208"/>
  <c r="F51" i="208"/>
  <c r="G51" i="208"/>
  <c r="H51" i="208"/>
  <c r="I51" i="208"/>
  <c r="J51" i="208"/>
  <c r="K51" i="208"/>
  <c r="L51" i="208"/>
  <c r="M51" i="208"/>
  <c r="N51" i="208"/>
  <c r="O51" i="208"/>
  <c r="F52" i="208"/>
  <c r="G52" i="208"/>
  <c r="H52" i="208"/>
  <c r="I52" i="208"/>
  <c r="J52" i="208"/>
  <c r="K52" i="208"/>
  <c r="L52" i="208"/>
  <c r="M52" i="208"/>
  <c r="M44" i="208" s="1"/>
  <c r="N52" i="208"/>
  <c r="O52" i="208"/>
  <c r="F53" i="208"/>
  <c r="G53" i="208"/>
  <c r="H53" i="208"/>
  <c r="I53" i="208"/>
  <c r="J53" i="208"/>
  <c r="K53" i="208"/>
  <c r="L53" i="208"/>
  <c r="M53" i="208"/>
  <c r="N53" i="208"/>
  <c r="O53" i="208"/>
  <c r="Q53" i="208" s="1"/>
  <c r="E46" i="208"/>
  <c r="E47" i="208"/>
  <c r="E48" i="208"/>
  <c r="E49" i="208"/>
  <c r="E50" i="208"/>
  <c r="E51" i="208"/>
  <c r="E52" i="208"/>
  <c r="E53" i="208"/>
  <c r="E45" i="208"/>
  <c r="F19" i="208"/>
  <c r="G19" i="208"/>
  <c r="H19" i="208"/>
  <c r="I19" i="208"/>
  <c r="J19" i="208"/>
  <c r="K19" i="208"/>
  <c r="L19" i="208"/>
  <c r="M19" i="208"/>
  <c r="N19" i="208"/>
  <c r="O19" i="208"/>
  <c r="F20" i="208"/>
  <c r="G20" i="208"/>
  <c r="H20" i="208"/>
  <c r="I20" i="208"/>
  <c r="J20" i="208"/>
  <c r="K20" i="208"/>
  <c r="L20" i="208"/>
  <c r="M20" i="208"/>
  <c r="N20" i="208"/>
  <c r="O20" i="208"/>
  <c r="F21" i="208"/>
  <c r="G21" i="208"/>
  <c r="H21" i="208"/>
  <c r="I21" i="208"/>
  <c r="J21" i="208"/>
  <c r="K21" i="208"/>
  <c r="L21" i="208"/>
  <c r="M21" i="208"/>
  <c r="N21" i="208"/>
  <c r="O21" i="208"/>
  <c r="F22" i="208"/>
  <c r="G22" i="208"/>
  <c r="H22" i="208"/>
  <c r="I22" i="208"/>
  <c r="J22" i="208"/>
  <c r="K22" i="208"/>
  <c r="L22" i="208"/>
  <c r="M22" i="208"/>
  <c r="N22" i="208"/>
  <c r="O22" i="208"/>
  <c r="F23" i="208"/>
  <c r="G23" i="208"/>
  <c r="H23" i="208"/>
  <c r="I23" i="208"/>
  <c r="J23" i="208"/>
  <c r="K23" i="208"/>
  <c r="L23" i="208"/>
  <c r="M23" i="208"/>
  <c r="N23" i="208"/>
  <c r="O23" i="208"/>
  <c r="F24" i="208"/>
  <c r="G24" i="208"/>
  <c r="H24" i="208"/>
  <c r="I24" i="208"/>
  <c r="J24" i="208"/>
  <c r="K24" i="208"/>
  <c r="L24" i="208"/>
  <c r="M24" i="208"/>
  <c r="N24" i="208"/>
  <c r="O24" i="208"/>
  <c r="F25" i="208"/>
  <c r="G25" i="208"/>
  <c r="H25" i="208"/>
  <c r="I25" i="208"/>
  <c r="J25" i="208"/>
  <c r="K25" i="208"/>
  <c r="L25" i="208"/>
  <c r="M25" i="208"/>
  <c r="N25" i="208"/>
  <c r="O25" i="208"/>
  <c r="F26" i="208"/>
  <c r="G26" i="208"/>
  <c r="H26" i="208"/>
  <c r="I26" i="208"/>
  <c r="J26" i="208"/>
  <c r="K26" i="208"/>
  <c r="L26" i="208"/>
  <c r="M26" i="208"/>
  <c r="N26" i="208"/>
  <c r="O26" i="208"/>
  <c r="F27" i="208"/>
  <c r="G27" i="208"/>
  <c r="H27" i="208"/>
  <c r="I27" i="208"/>
  <c r="J27" i="208"/>
  <c r="K27" i="208"/>
  <c r="L27" i="208"/>
  <c r="M27" i="208"/>
  <c r="N27" i="208"/>
  <c r="O27" i="208"/>
  <c r="F28" i="208"/>
  <c r="G28" i="208"/>
  <c r="H28" i="208"/>
  <c r="I28" i="208"/>
  <c r="J28" i="208"/>
  <c r="K28" i="208"/>
  <c r="L28" i="208"/>
  <c r="M28" i="208"/>
  <c r="N28" i="208"/>
  <c r="O28" i="208"/>
  <c r="F29" i="208"/>
  <c r="G29" i="208"/>
  <c r="H29" i="208"/>
  <c r="I29" i="208"/>
  <c r="J29" i="208"/>
  <c r="K29" i="208"/>
  <c r="L29" i="208"/>
  <c r="M29" i="208"/>
  <c r="N29" i="208"/>
  <c r="O29" i="208"/>
  <c r="F30" i="208"/>
  <c r="G30" i="208"/>
  <c r="H30" i="208"/>
  <c r="I30" i="208"/>
  <c r="J30" i="208"/>
  <c r="K30" i="208"/>
  <c r="L30" i="208"/>
  <c r="M30" i="208"/>
  <c r="N30" i="208"/>
  <c r="O30" i="208"/>
  <c r="F31" i="208"/>
  <c r="G31" i="208"/>
  <c r="H31" i="208"/>
  <c r="I31" i="208"/>
  <c r="J31" i="208"/>
  <c r="K31" i="208"/>
  <c r="L31" i="208"/>
  <c r="M31" i="208"/>
  <c r="N31" i="208"/>
  <c r="O31" i="208"/>
  <c r="F32" i="208"/>
  <c r="G32" i="208"/>
  <c r="H32" i="208"/>
  <c r="I32" i="208"/>
  <c r="J32" i="208"/>
  <c r="K32" i="208"/>
  <c r="L32" i="208"/>
  <c r="M32" i="208"/>
  <c r="N32" i="208"/>
  <c r="O32" i="208"/>
  <c r="F33" i="208"/>
  <c r="G33" i="208"/>
  <c r="H33" i="208"/>
  <c r="I33" i="208"/>
  <c r="J33" i="208"/>
  <c r="K33" i="208"/>
  <c r="L33" i="208"/>
  <c r="M33" i="208"/>
  <c r="N33" i="208"/>
  <c r="O33" i="208"/>
  <c r="F34" i="208"/>
  <c r="G34" i="208"/>
  <c r="H34" i="208"/>
  <c r="I34" i="208"/>
  <c r="J34" i="208"/>
  <c r="K34" i="208"/>
  <c r="L34" i="208"/>
  <c r="M34" i="208"/>
  <c r="N34" i="208"/>
  <c r="O34" i="208"/>
  <c r="Q34" i="208" s="1"/>
  <c r="F35" i="208"/>
  <c r="G35" i="208"/>
  <c r="H35" i="208"/>
  <c r="I35" i="208"/>
  <c r="J35" i="208"/>
  <c r="K35" i="208"/>
  <c r="L35" i="208"/>
  <c r="M35" i="208"/>
  <c r="N35" i="208"/>
  <c r="O35" i="208"/>
  <c r="Q35" i="208" s="1"/>
  <c r="F36" i="208"/>
  <c r="G36" i="208"/>
  <c r="H36" i="208"/>
  <c r="I36" i="208"/>
  <c r="J36" i="208"/>
  <c r="K36" i="208"/>
  <c r="L36" i="208"/>
  <c r="M36" i="208"/>
  <c r="N36" i="208"/>
  <c r="O36" i="208"/>
  <c r="F37" i="208"/>
  <c r="G37" i="208"/>
  <c r="H37" i="208"/>
  <c r="I37" i="208"/>
  <c r="J37" i="208"/>
  <c r="K37" i="208"/>
  <c r="L37" i="208"/>
  <c r="M37" i="208"/>
  <c r="N37" i="208"/>
  <c r="O37" i="208"/>
  <c r="F38" i="208"/>
  <c r="G38" i="208"/>
  <c r="H38" i="208"/>
  <c r="I38" i="208"/>
  <c r="J38" i="208"/>
  <c r="K38" i="208"/>
  <c r="L38" i="208"/>
  <c r="M38" i="208"/>
  <c r="N38" i="208"/>
  <c r="O38" i="208"/>
  <c r="F39" i="208"/>
  <c r="G39" i="208"/>
  <c r="H39" i="208"/>
  <c r="I39" i="208"/>
  <c r="J39" i="208"/>
  <c r="K39" i="208"/>
  <c r="L39" i="208"/>
  <c r="M39" i="208"/>
  <c r="N39" i="208"/>
  <c r="O39" i="208"/>
  <c r="F40" i="208"/>
  <c r="G40" i="208"/>
  <c r="H40" i="208"/>
  <c r="I40" i="208"/>
  <c r="J40" i="208"/>
  <c r="K40" i="208"/>
  <c r="L40" i="208"/>
  <c r="M40" i="208"/>
  <c r="N40" i="208"/>
  <c r="O40" i="208"/>
  <c r="F41" i="208"/>
  <c r="G41" i="208"/>
  <c r="H41" i="208"/>
  <c r="I41" i="208"/>
  <c r="J41" i="208"/>
  <c r="K41" i="208"/>
  <c r="L41" i="208"/>
  <c r="M41" i="208"/>
  <c r="N41" i="208"/>
  <c r="O41" i="208"/>
  <c r="F42" i="208"/>
  <c r="G42" i="208"/>
  <c r="H42" i="208"/>
  <c r="I42" i="208"/>
  <c r="J42" i="208"/>
  <c r="K42" i="208"/>
  <c r="L42" i="208"/>
  <c r="M42" i="208"/>
  <c r="N42" i="208"/>
  <c r="O42" i="208"/>
  <c r="F43" i="208"/>
  <c r="G43" i="208"/>
  <c r="H43" i="208"/>
  <c r="I43" i="208"/>
  <c r="J43" i="208"/>
  <c r="K43" i="208"/>
  <c r="L43" i="208"/>
  <c r="M43" i="208"/>
  <c r="N43" i="208"/>
  <c r="O43" i="208"/>
  <c r="E20" i="208"/>
  <c r="E21" i="208"/>
  <c r="E22" i="208"/>
  <c r="E23" i="208"/>
  <c r="Q23" i="208" s="1"/>
  <c r="E24" i="208"/>
  <c r="E25" i="208"/>
  <c r="E26" i="208"/>
  <c r="E27" i="208"/>
  <c r="E28" i="208"/>
  <c r="E29" i="208"/>
  <c r="E30" i="208"/>
  <c r="E31" i="208"/>
  <c r="E32" i="208"/>
  <c r="E33" i="208"/>
  <c r="E34" i="208"/>
  <c r="E35" i="208"/>
  <c r="E36" i="208"/>
  <c r="E37" i="208"/>
  <c r="E38" i="208"/>
  <c r="E39" i="208"/>
  <c r="E40" i="208"/>
  <c r="E41" i="208"/>
  <c r="E42" i="208"/>
  <c r="E43" i="208"/>
  <c r="E19" i="208"/>
  <c r="Q19" i="208" s="1"/>
  <c r="F12" i="208"/>
  <c r="G12" i="208"/>
  <c r="H12" i="208"/>
  <c r="I12" i="208"/>
  <c r="J12" i="208"/>
  <c r="K12" i="208"/>
  <c r="L12" i="208"/>
  <c r="M12" i="208"/>
  <c r="N12" i="208"/>
  <c r="O12" i="208"/>
  <c r="F13" i="208"/>
  <c r="F11" i="208" s="1"/>
  <c r="G13" i="208"/>
  <c r="H13" i="208"/>
  <c r="I13" i="208"/>
  <c r="J13" i="208"/>
  <c r="K13" i="208"/>
  <c r="L13" i="208"/>
  <c r="M13" i="208"/>
  <c r="N13" i="208"/>
  <c r="O13" i="208"/>
  <c r="F14" i="208"/>
  <c r="G14" i="208"/>
  <c r="H14" i="208"/>
  <c r="I14" i="208"/>
  <c r="J14" i="208"/>
  <c r="K14" i="208"/>
  <c r="L14" i="208"/>
  <c r="M14" i="208"/>
  <c r="N14" i="208"/>
  <c r="O14" i="208"/>
  <c r="F15" i="208"/>
  <c r="G15" i="208"/>
  <c r="H15" i="208"/>
  <c r="I15" i="208"/>
  <c r="J15" i="208"/>
  <c r="K15" i="208"/>
  <c r="L15" i="208"/>
  <c r="M15" i="208"/>
  <c r="N15" i="208"/>
  <c r="O15" i="208"/>
  <c r="F16" i="208"/>
  <c r="G16" i="208"/>
  <c r="H16" i="208"/>
  <c r="I16" i="208"/>
  <c r="J16" i="208"/>
  <c r="K16" i="208"/>
  <c r="L16" i="208"/>
  <c r="M16" i="208"/>
  <c r="N16" i="208"/>
  <c r="O16" i="208"/>
  <c r="F17" i="208"/>
  <c r="G17" i="208"/>
  <c r="H17" i="208"/>
  <c r="I17" i="208"/>
  <c r="J17" i="208"/>
  <c r="K17" i="208"/>
  <c r="L17" i="208"/>
  <c r="M17" i="208"/>
  <c r="N17" i="208"/>
  <c r="O17" i="208"/>
  <c r="E13" i="208"/>
  <c r="E14" i="208"/>
  <c r="E15" i="208"/>
  <c r="E16" i="208"/>
  <c r="E17" i="208"/>
  <c r="E12" i="208"/>
  <c r="F8" i="208"/>
  <c r="G8" i="208"/>
  <c r="H8" i="208"/>
  <c r="I8" i="208"/>
  <c r="J8" i="208"/>
  <c r="K8" i="208"/>
  <c r="L8" i="208"/>
  <c r="M8" i="208"/>
  <c r="N8" i="208"/>
  <c r="O8" i="208"/>
  <c r="F9" i="208"/>
  <c r="G9" i="208"/>
  <c r="H9" i="208"/>
  <c r="I9" i="208"/>
  <c r="J9" i="208"/>
  <c r="K9" i="208"/>
  <c r="L9" i="208"/>
  <c r="M9" i="208"/>
  <c r="N9" i="208"/>
  <c r="O9" i="208"/>
  <c r="F10" i="208"/>
  <c r="G10" i="208"/>
  <c r="H10" i="208"/>
  <c r="I10" i="208"/>
  <c r="J10" i="208"/>
  <c r="K10" i="208"/>
  <c r="L10" i="208"/>
  <c r="M10" i="208"/>
  <c r="N10" i="208"/>
  <c r="O10" i="208"/>
  <c r="E9" i="208"/>
  <c r="E10" i="208"/>
  <c r="E8" i="208"/>
  <c r="Q51" i="208"/>
  <c r="Q46" i="208"/>
  <c r="P44" i="208"/>
  <c r="L44" i="208"/>
  <c r="K44" i="208"/>
  <c r="J44" i="208"/>
  <c r="I44" i="208"/>
  <c r="H44" i="208"/>
  <c r="G44" i="208"/>
  <c r="F44" i="208"/>
  <c r="E44" i="208"/>
  <c r="Q27" i="208"/>
  <c r="Q25" i="208"/>
  <c r="Q24" i="208"/>
  <c r="Q20" i="208"/>
  <c r="P18" i="208"/>
  <c r="O18" i="208"/>
  <c r="N18" i="208"/>
  <c r="L18" i="208"/>
  <c r="K18" i="208"/>
  <c r="J18" i="208"/>
  <c r="I18" i="208"/>
  <c r="H18" i="208"/>
  <c r="P11" i="208"/>
  <c r="N11" i="208"/>
  <c r="L11" i="208"/>
  <c r="J11" i="208"/>
  <c r="O11" i="208"/>
  <c r="M11" i="208"/>
  <c r="K11" i="208"/>
  <c r="I11" i="208"/>
  <c r="G11" i="208"/>
  <c r="E11" i="208"/>
  <c r="Q10" i="208"/>
  <c r="O7" i="208"/>
  <c r="M7" i="208"/>
  <c r="K7" i="208"/>
  <c r="K6" i="208" s="1"/>
  <c r="I7" i="208"/>
  <c r="I6" i="208" s="1"/>
  <c r="G7" i="208"/>
  <c r="E7" i="208"/>
  <c r="D9" i="208"/>
  <c r="Q8" i="208"/>
  <c r="P7" i="208"/>
  <c r="N7" i="208"/>
  <c r="N6" i="208" s="1"/>
  <c r="L7" i="208"/>
  <c r="L6" i="208" s="1"/>
  <c r="L5" i="208" s="1"/>
  <c r="J7" i="208"/>
  <c r="J6" i="208" s="1"/>
  <c r="J5" i="208" s="1"/>
  <c r="H7" i="208"/>
  <c r="F7" i="208"/>
  <c r="Q53" i="207"/>
  <c r="Q52" i="207"/>
  <c r="Q51" i="207"/>
  <c r="R51" i="207" s="1"/>
  <c r="Q50" i="207"/>
  <c r="Q49" i="207"/>
  <c r="R49" i="207" s="1"/>
  <c r="Q48" i="207"/>
  <c r="Q47" i="207"/>
  <c r="Q46" i="207"/>
  <c r="T46" i="207" s="1"/>
  <c r="W46" i="207" s="1"/>
  <c r="Q45" i="207"/>
  <c r="T45" i="207" s="1"/>
  <c r="P44" i="207"/>
  <c r="O44" i="207"/>
  <c r="N44" i="207"/>
  <c r="M44" i="207"/>
  <c r="K44" i="207"/>
  <c r="J44" i="207"/>
  <c r="I44" i="207"/>
  <c r="H44" i="207"/>
  <c r="G44" i="207"/>
  <c r="F44" i="207"/>
  <c r="E44" i="207"/>
  <c r="Q43" i="207"/>
  <c r="T43" i="207" s="1"/>
  <c r="Q42" i="207"/>
  <c r="Q41" i="207"/>
  <c r="T41" i="207" s="1"/>
  <c r="W41" i="207" s="1"/>
  <c r="Q40" i="207"/>
  <c r="T40" i="207" s="1"/>
  <c r="Q39" i="207"/>
  <c r="Q38" i="207"/>
  <c r="T38" i="207" s="1"/>
  <c r="W38" i="207" s="1"/>
  <c r="Q37" i="207"/>
  <c r="T37" i="207" s="1"/>
  <c r="Q36" i="207"/>
  <c r="Q35" i="207"/>
  <c r="T35" i="207" s="1"/>
  <c r="W35" i="207" s="1"/>
  <c r="Q34" i="207"/>
  <c r="T34" i="207" s="1"/>
  <c r="Q33" i="207"/>
  <c r="Q32" i="207"/>
  <c r="T32" i="207" s="1"/>
  <c r="W32" i="207" s="1"/>
  <c r="Q31" i="207"/>
  <c r="T31" i="207" s="1"/>
  <c r="Q30" i="207"/>
  <c r="Q29" i="207"/>
  <c r="T29" i="207" s="1"/>
  <c r="W29" i="207" s="1"/>
  <c r="Q28" i="207"/>
  <c r="T28" i="207" s="1"/>
  <c r="Q27" i="207"/>
  <c r="Q26" i="207"/>
  <c r="T26" i="207" s="1"/>
  <c r="W26" i="207" s="1"/>
  <c r="Q25" i="207"/>
  <c r="T25" i="207" s="1"/>
  <c r="Q24" i="207"/>
  <c r="Q23" i="207"/>
  <c r="T23" i="207" s="1"/>
  <c r="W23" i="207" s="1"/>
  <c r="Q22" i="207"/>
  <c r="T22" i="207" s="1"/>
  <c r="Q21" i="207"/>
  <c r="Q20" i="207"/>
  <c r="T20" i="207" s="1"/>
  <c r="W20" i="207" s="1"/>
  <c r="Q19" i="207"/>
  <c r="T19" i="207" s="1"/>
  <c r="P18" i="207"/>
  <c r="O18" i="207"/>
  <c r="O5" i="207" s="1"/>
  <c r="N18" i="207"/>
  <c r="M18" i="207"/>
  <c r="K18" i="207"/>
  <c r="J18" i="207"/>
  <c r="I18" i="207"/>
  <c r="H18" i="207"/>
  <c r="G18" i="207"/>
  <c r="G5" i="207" s="1"/>
  <c r="F18" i="207"/>
  <c r="E18" i="207"/>
  <c r="Q17" i="207"/>
  <c r="R16" i="207"/>
  <c r="Q16" i="207"/>
  <c r="T16" i="207" s="1"/>
  <c r="W16" i="207" s="1"/>
  <c r="Q15" i="207"/>
  <c r="T15" i="207" s="1"/>
  <c r="Q14" i="207"/>
  <c r="Q13" i="207"/>
  <c r="T13" i="207" s="1"/>
  <c r="W13" i="207" s="1"/>
  <c r="Q12" i="207"/>
  <c r="T12" i="207" s="1"/>
  <c r="Q11" i="207"/>
  <c r="P11" i="207"/>
  <c r="O11" i="207"/>
  <c r="N11" i="207"/>
  <c r="M11" i="207"/>
  <c r="K11" i="207"/>
  <c r="J11" i="207"/>
  <c r="I11" i="207"/>
  <c r="H11" i="207"/>
  <c r="G11" i="207"/>
  <c r="F11" i="207"/>
  <c r="E11" i="207"/>
  <c r="Q10" i="207"/>
  <c r="T10" i="207" s="1"/>
  <c r="W10" i="207" s="1"/>
  <c r="R9" i="207"/>
  <c r="Q9" i="207"/>
  <c r="S9" i="207" s="1"/>
  <c r="D9" i="207"/>
  <c r="Q8" i="207"/>
  <c r="T8" i="207" s="1"/>
  <c r="P7" i="207"/>
  <c r="O7" i="207"/>
  <c r="N7" i="207"/>
  <c r="M7" i="207"/>
  <c r="K7" i="207"/>
  <c r="J7" i="207"/>
  <c r="I7" i="207"/>
  <c r="H7" i="207"/>
  <c r="G7" i="207"/>
  <c r="F7" i="207"/>
  <c r="E7" i="207"/>
  <c r="Q7" i="207" s="1"/>
  <c r="P6" i="207"/>
  <c r="O6" i="207"/>
  <c r="N6" i="207"/>
  <c r="M6" i="207"/>
  <c r="K6" i="207"/>
  <c r="J6" i="207"/>
  <c r="I6" i="207"/>
  <c r="H6" i="207"/>
  <c r="G6" i="207"/>
  <c r="F6" i="207"/>
  <c r="E6" i="207"/>
  <c r="Q6" i="207" s="1"/>
  <c r="P5" i="207"/>
  <c r="N5" i="207"/>
  <c r="M5" i="207"/>
  <c r="K5" i="207"/>
  <c r="J5" i="207"/>
  <c r="I5" i="207"/>
  <c r="F5" i="207"/>
  <c r="Q53" i="206"/>
  <c r="Q52" i="206"/>
  <c r="Q51" i="206"/>
  <c r="R51" i="206" s="1"/>
  <c r="Q50" i="206"/>
  <c r="Q49" i="206"/>
  <c r="R49" i="206" s="1"/>
  <c r="Q48" i="206"/>
  <c r="Q47" i="206"/>
  <c r="Q46" i="206"/>
  <c r="Q45" i="206"/>
  <c r="R45" i="206" s="1"/>
  <c r="P44" i="206"/>
  <c r="O44" i="206"/>
  <c r="N44" i="206"/>
  <c r="M44" i="206"/>
  <c r="L44" i="206"/>
  <c r="K44" i="206"/>
  <c r="J44" i="206"/>
  <c r="I44" i="206"/>
  <c r="H44" i="206"/>
  <c r="G44" i="206"/>
  <c r="F44" i="206"/>
  <c r="E44" i="206"/>
  <c r="Q43" i="206"/>
  <c r="Q42" i="206"/>
  <c r="Q41" i="206"/>
  <c r="R41" i="206" s="1"/>
  <c r="Q40" i="206"/>
  <c r="R40" i="206" s="1"/>
  <c r="Q39" i="206"/>
  <c r="Q38" i="206"/>
  <c r="Q37" i="206"/>
  <c r="Q36" i="206"/>
  <c r="R36" i="206" s="1"/>
  <c r="Q35" i="206"/>
  <c r="Q34" i="206"/>
  <c r="Q33" i="206"/>
  <c r="R33" i="206" s="1"/>
  <c r="Q32" i="206"/>
  <c r="Q31" i="206"/>
  <c r="R31" i="206" s="1"/>
  <c r="Q30" i="206"/>
  <c r="Q29" i="206"/>
  <c r="R29" i="206" s="1"/>
  <c r="Q28" i="206"/>
  <c r="Q27" i="206"/>
  <c r="Q26" i="206"/>
  <c r="R26" i="206" s="1"/>
  <c r="Q25" i="206"/>
  <c r="R25" i="206" s="1"/>
  <c r="Q24" i="206"/>
  <c r="Q23" i="206"/>
  <c r="R23" i="206" s="1"/>
  <c r="Q22" i="206"/>
  <c r="R22" i="206" s="1"/>
  <c r="Q21" i="206"/>
  <c r="Q20" i="206"/>
  <c r="R20" i="206" s="1"/>
  <c r="Q19" i="206"/>
  <c r="R19" i="206" s="1"/>
  <c r="P18" i="206"/>
  <c r="O18" i="206"/>
  <c r="N18" i="206"/>
  <c r="M18" i="206"/>
  <c r="M5" i="206" s="1"/>
  <c r="L18" i="206"/>
  <c r="K18" i="206"/>
  <c r="J18" i="206"/>
  <c r="I18" i="206"/>
  <c r="H18" i="206"/>
  <c r="G18" i="206"/>
  <c r="F18" i="206"/>
  <c r="F5" i="206" s="1"/>
  <c r="E18" i="206"/>
  <c r="Q17" i="206"/>
  <c r="Q16" i="206"/>
  <c r="Q15" i="206"/>
  <c r="Q14" i="206"/>
  <c r="R14" i="206" s="1"/>
  <c r="Q13" i="206"/>
  <c r="Q12" i="206"/>
  <c r="Q11" i="206" s="1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T10" i="206"/>
  <c r="W10" i="206" s="1"/>
  <c r="R10" i="206"/>
  <c r="Q10" i="206"/>
  <c r="S10" i="206" s="1"/>
  <c r="Q9" i="206"/>
  <c r="D9" i="206"/>
  <c r="T8" i="206"/>
  <c r="R8" i="206"/>
  <c r="Q8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Q7" i="206" s="1"/>
  <c r="P6" i="206"/>
  <c r="O6" i="206"/>
  <c r="N6" i="206"/>
  <c r="M6" i="206"/>
  <c r="L6" i="206"/>
  <c r="K6" i="206"/>
  <c r="J6" i="206"/>
  <c r="I6" i="206"/>
  <c r="H6" i="206"/>
  <c r="G6" i="206"/>
  <c r="F6" i="206"/>
  <c r="E6" i="206"/>
  <c r="Q6" i="206" s="1"/>
  <c r="P5" i="206"/>
  <c r="L5" i="206"/>
  <c r="K5" i="206"/>
  <c r="J5" i="206"/>
  <c r="I5" i="206"/>
  <c r="H5" i="206"/>
  <c r="G5" i="206"/>
  <c r="Q54" i="205"/>
  <c r="Q53" i="205"/>
  <c r="Q52" i="205"/>
  <c r="R52" i="205" s="1"/>
  <c r="Q51" i="205"/>
  <c r="Q50" i="205"/>
  <c r="R50" i="205" s="1"/>
  <c r="Q49" i="205"/>
  <c r="Q48" i="205"/>
  <c r="Q47" i="205"/>
  <c r="Q46" i="205"/>
  <c r="R46" i="205" s="1"/>
  <c r="P45" i="205"/>
  <c r="O45" i="205"/>
  <c r="N45" i="205"/>
  <c r="M45" i="205"/>
  <c r="L45" i="205"/>
  <c r="K45" i="205"/>
  <c r="J45" i="205"/>
  <c r="I45" i="205"/>
  <c r="H45" i="205"/>
  <c r="G45" i="205"/>
  <c r="F45" i="205"/>
  <c r="E45" i="205"/>
  <c r="Q44" i="205"/>
  <c r="Q43" i="205"/>
  <c r="T43" i="205" s="1"/>
  <c r="W43" i="205" s="1"/>
  <c r="Q42" i="205"/>
  <c r="Q41" i="205"/>
  <c r="Q40" i="205"/>
  <c r="T40" i="205" s="1"/>
  <c r="W40" i="205" s="1"/>
  <c r="Q39" i="205"/>
  <c r="Q38" i="205"/>
  <c r="Q37" i="205"/>
  <c r="T37" i="205" s="1"/>
  <c r="W37" i="205" s="1"/>
  <c r="Q36" i="205"/>
  <c r="Q35" i="205"/>
  <c r="Q34" i="205"/>
  <c r="T34" i="205" s="1"/>
  <c r="W34" i="205" s="1"/>
  <c r="Q33" i="205"/>
  <c r="Q32" i="205"/>
  <c r="Q31" i="205"/>
  <c r="T31" i="205" s="1"/>
  <c r="W31" i="205" s="1"/>
  <c r="Q30" i="205"/>
  <c r="Q29" i="205"/>
  <c r="Q28" i="205"/>
  <c r="T28" i="205" s="1"/>
  <c r="W28" i="205" s="1"/>
  <c r="Q27" i="205"/>
  <c r="Q26" i="205"/>
  <c r="Q25" i="205"/>
  <c r="T25" i="205" s="1"/>
  <c r="W25" i="205" s="1"/>
  <c r="Q24" i="205"/>
  <c r="Q23" i="205"/>
  <c r="Q22" i="205"/>
  <c r="T22" i="205" s="1"/>
  <c r="W22" i="205" s="1"/>
  <c r="Q21" i="205"/>
  <c r="Q20" i="205"/>
  <c r="P19" i="205"/>
  <c r="O19" i="205"/>
  <c r="N19" i="205"/>
  <c r="M19" i="205"/>
  <c r="L19" i="205"/>
  <c r="K19" i="205"/>
  <c r="J19" i="205"/>
  <c r="I19" i="205"/>
  <c r="H19" i="205"/>
  <c r="G19" i="205"/>
  <c r="F19" i="205"/>
  <c r="F6" i="205" s="1"/>
  <c r="E19" i="205"/>
  <c r="Q18" i="205"/>
  <c r="Q17" i="205"/>
  <c r="T17" i="205" s="1"/>
  <c r="W17" i="205" s="1"/>
  <c r="Q16" i="205"/>
  <c r="T16" i="205" s="1"/>
  <c r="Q15" i="205"/>
  <c r="T15" i="205" s="1"/>
  <c r="W15" i="205" s="1"/>
  <c r="Q14" i="205"/>
  <c r="Q13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Q11" i="205"/>
  <c r="R11" i="205" s="1"/>
  <c r="Q10" i="205"/>
  <c r="T10" i="205" s="1"/>
  <c r="W10" i="205" s="1"/>
  <c r="D10" i="205"/>
  <c r="Q9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Q8" i="205" s="1"/>
  <c r="P7" i="205"/>
  <c r="O7" i="205"/>
  <c r="O6" i="205" s="1"/>
  <c r="N7" i="205"/>
  <c r="M7" i="205"/>
  <c r="M6" i="205" s="1"/>
  <c r="L7" i="205"/>
  <c r="K7" i="205"/>
  <c r="J7" i="205"/>
  <c r="I7" i="205"/>
  <c r="H7" i="205"/>
  <c r="H6" i="205" s="1"/>
  <c r="G7" i="205"/>
  <c r="F7" i="205"/>
  <c r="E7" i="205"/>
  <c r="P6" i="205"/>
  <c r="N6" i="205"/>
  <c r="L6" i="205"/>
  <c r="K6" i="205"/>
  <c r="J6" i="205"/>
  <c r="I6" i="205"/>
  <c r="V10" i="204"/>
  <c r="U10" i="204"/>
  <c r="S10" i="204"/>
  <c r="R10" i="204"/>
  <c r="P10" i="204"/>
  <c r="O10" i="204"/>
  <c r="M10" i="204"/>
  <c r="L10" i="204"/>
  <c r="J10" i="204"/>
  <c r="I10" i="204"/>
  <c r="G10" i="204"/>
  <c r="F10" i="204"/>
  <c r="D10" i="204"/>
  <c r="C10" i="204"/>
  <c r="W9" i="204"/>
  <c r="T9" i="204"/>
  <c r="Q9" i="204"/>
  <c r="N9" i="204"/>
  <c r="K9" i="204"/>
  <c r="H9" i="204"/>
  <c r="E9" i="204"/>
  <c r="X9" i="204" s="1"/>
  <c r="W8" i="204"/>
  <c r="T8" i="204"/>
  <c r="Q8" i="204"/>
  <c r="N8" i="204"/>
  <c r="K8" i="204"/>
  <c r="H8" i="204"/>
  <c r="E8" i="204"/>
  <c r="X8" i="204" s="1"/>
  <c r="W7" i="204"/>
  <c r="T7" i="204"/>
  <c r="Q7" i="204"/>
  <c r="N7" i="204"/>
  <c r="K7" i="204"/>
  <c r="H7" i="204"/>
  <c r="E7" i="204"/>
  <c r="X7" i="204" s="1"/>
  <c r="W6" i="204"/>
  <c r="T6" i="204"/>
  <c r="Q6" i="204"/>
  <c r="N6" i="204"/>
  <c r="K6" i="204"/>
  <c r="H6" i="204"/>
  <c r="E6" i="204"/>
  <c r="X6" i="204" s="1"/>
  <c r="W5" i="204"/>
  <c r="T5" i="204"/>
  <c r="Q5" i="204"/>
  <c r="N5" i="204"/>
  <c r="K5" i="204"/>
  <c r="H5" i="204"/>
  <c r="E5" i="204"/>
  <c r="X5" i="204" s="1"/>
  <c r="W4" i="204"/>
  <c r="W10" i="204" s="1"/>
  <c r="T4" i="204"/>
  <c r="T10" i="204" s="1"/>
  <c r="Q4" i="204"/>
  <c r="Q10" i="204" s="1"/>
  <c r="N4" i="204"/>
  <c r="N10" i="204" s="1"/>
  <c r="K4" i="204"/>
  <c r="K10" i="204" s="1"/>
  <c r="H4" i="204"/>
  <c r="H10" i="204" s="1"/>
  <c r="E4" i="204"/>
  <c r="X4" i="204" s="1"/>
  <c r="X10" i="204" s="1"/>
  <c r="M18" i="208" l="1"/>
  <c r="M6" i="208"/>
  <c r="P6" i="208"/>
  <c r="P5" i="208" s="1"/>
  <c r="O5" i="206"/>
  <c r="R46" i="207"/>
  <c r="O44" i="208"/>
  <c r="Q36" i="208"/>
  <c r="Q26" i="208"/>
  <c r="Q38" i="208"/>
  <c r="Q32" i="208"/>
  <c r="Q31" i="208"/>
  <c r="Q30" i="208"/>
  <c r="Q29" i="208"/>
  <c r="Q28" i="208"/>
  <c r="F18" i="208"/>
  <c r="Q33" i="208"/>
  <c r="F6" i="208"/>
  <c r="F5" i="208" s="1"/>
  <c r="Q37" i="208"/>
  <c r="R41" i="207"/>
  <c r="Q42" i="208"/>
  <c r="Q41" i="208"/>
  <c r="Q40" i="208"/>
  <c r="Q52" i="208"/>
  <c r="T52" i="208" s="1"/>
  <c r="W52" i="208" s="1"/>
  <c r="Q48" i="208"/>
  <c r="O6" i="208"/>
  <c r="Q12" i="208"/>
  <c r="T12" i="208" s="1"/>
  <c r="O5" i="209"/>
  <c r="N5" i="206"/>
  <c r="N5" i="208"/>
  <c r="N44" i="208"/>
  <c r="Q14" i="208"/>
  <c r="R14" i="208" s="1"/>
  <c r="S14" i="208" s="1"/>
  <c r="H5" i="209"/>
  <c r="H5" i="207"/>
  <c r="Q16" i="208"/>
  <c r="R16" i="208" s="1"/>
  <c r="S16" i="208" s="1"/>
  <c r="H11" i="208"/>
  <c r="H6" i="208" s="1"/>
  <c r="H5" i="208" s="1"/>
  <c r="Q7" i="205"/>
  <c r="Q12" i="205"/>
  <c r="Q43" i="208"/>
  <c r="T43" i="208" s="1"/>
  <c r="Q39" i="208"/>
  <c r="Q21" i="208"/>
  <c r="Q49" i="208"/>
  <c r="Q6" i="209"/>
  <c r="Q7" i="209"/>
  <c r="G18" i="208"/>
  <c r="T17" i="206"/>
  <c r="W17" i="206" s="1"/>
  <c r="R17" i="206"/>
  <c r="S17" i="206" s="1"/>
  <c r="G6" i="208"/>
  <c r="S14" i="206"/>
  <c r="T14" i="206"/>
  <c r="W14" i="206" s="1"/>
  <c r="Q22" i="208"/>
  <c r="T22" i="208" s="1"/>
  <c r="G6" i="205"/>
  <c r="Q50" i="208"/>
  <c r="Q45" i="205"/>
  <c r="Q17" i="208"/>
  <c r="R17" i="208" s="1"/>
  <c r="S17" i="208" s="1"/>
  <c r="Q15" i="208"/>
  <c r="R15" i="208" s="1"/>
  <c r="S15" i="208" s="1"/>
  <c r="Q13" i="208"/>
  <c r="Q18" i="209"/>
  <c r="R19" i="209"/>
  <c r="Q11" i="209"/>
  <c r="Q18" i="207"/>
  <c r="E5" i="207"/>
  <c r="Q5" i="207" s="1"/>
  <c r="Q44" i="207"/>
  <c r="E5" i="206"/>
  <c r="Q44" i="206"/>
  <c r="E18" i="208"/>
  <c r="Q19" i="205"/>
  <c r="E6" i="205"/>
  <c r="R13" i="208"/>
  <c r="S13" i="208" s="1"/>
  <c r="S50" i="209"/>
  <c r="T50" i="209"/>
  <c r="W50" i="209" s="1"/>
  <c r="S47" i="209"/>
  <c r="T47" i="209"/>
  <c r="W47" i="209" s="1"/>
  <c r="S53" i="209"/>
  <c r="T53" i="209"/>
  <c r="W53" i="209" s="1"/>
  <c r="T23" i="209"/>
  <c r="W23" i="209" s="1"/>
  <c r="T25" i="209"/>
  <c r="T29" i="209"/>
  <c r="W29" i="209" s="1"/>
  <c r="T31" i="209"/>
  <c r="T35" i="209"/>
  <c r="W35" i="209" s="1"/>
  <c r="T37" i="209"/>
  <c r="T41" i="209"/>
  <c r="W41" i="209" s="1"/>
  <c r="T43" i="209"/>
  <c r="S20" i="209"/>
  <c r="T20" i="209"/>
  <c r="W20" i="209" s="1"/>
  <c r="S22" i="209"/>
  <c r="T22" i="209"/>
  <c r="R23" i="209"/>
  <c r="S23" i="209" s="1"/>
  <c r="R25" i="209"/>
  <c r="S25" i="209" s="1"/>
  <c r="S26" i="209"/>
  <c r="T26" i="209"/>
  <c r="W26" i="209" s="1"/>
  <c r="S28" i="209"/>
  <c r="T28" i="209"/>
  <c r="R29" i="209"/>
  <c r="S29" i="209" s="1"/>
  <c r="R31" i="209"/>
  <c r="S31" i="209" s="1"/>
  <c r="S32" i="209"/>
  <c r="T32" i="209"/>
  <c r="W32" i="209" s="1"/>
  <c r="S34" i="209"/>
  <c r="T34" i="209"/>
  <c r="R35" i="209"/>
  <c r="S35" i="209" s="1"/>
  <c r="R37" i="209"/>
  <c r="S37" i="209" s="1"/>
  <c r="S38" i="209"/>
  <c r="T38" i="209"/>
  <c r="W38" i="209" s="1"/>
  <c r="S40" i="209"/>
  <c r="T40" i="209"/>
  <c r="R41" i="209"/>
  <c r="S41" i="209" s="1"/>
  <c r="R43" i="209"/>
  <c r="S43" i="209" s="1"/>
  <c r="S12" i="209"/>
  <c r="T12" i="209"/>
  <c r="S13" i="209"/>
  <c r="T13" i="209"/>
  <c r="W13" i="209" s="1"/>
  <c r="S17" i="209"/>
  <c r="T17" i="209"/>
  <c r="W17" i="209" s="1"/>
  <c r="T8" i="209"/>
  <c r="R10" i="209"/>
  <c r="S10" i="209" s="1"/>
  <c r="R8" i="209"/>
  <c r="S8" i="209" s="1"/>
  <c r="E5" i="209"/>
  <c r="R9" i="209"/>
  <c r="S9" i="209" s="1"/>
  <c r="T9" i="209"/>
  <c r="W9" i="209" s="1"/>
  <c r="R14" i="209"/>
  <c r="T14" i="209"/>
  <c r="R15" i="209"/>
  <c r="S15" i="209" s="1"/>
  <c r="T15" i="209"/>
  <c r="R16" i="209"/>
  <c r="S16" i="209" s="1"/>
  <c r="T16" i="209"/>
  <c r="W16" i="209" s="1"/>
  <c r="S19" i="209"/>
  <c r="R21" i="209"/>
  <c r="S21" i="209" s="1"/>
  <c r="T21" i="209"/>
  <c r="W21" i="209" s="1"/>
  <c r="R24" i="209"/>
  <c r="S24" i="209" s="1"/>
  <c r="T24" i="209"/>
  <c r="W24" i="209" s="1"/>
  <c r="R27" i="209"/>
  <c r="S27" i="209" s="1"/>
  <c r="T27" i="209"/>
  <c r="W27" i="209" s="1"/>
  <c r="R30" i="209"/>
  <c r="S30" i="209" s="1"/>
  <c r="T30" i="209"/>
  <c r="W30" i="209" s="1"/>
  <c r="R33" i="209"/>
  <c r="S33" i="209" s="1"/>
  <c r="T33" i="209"/>
  <c r="W33" i="209" s="1"/>
  <c r="R36" i="209"/>
  <c r="S36" i="209" s="1"/>
  <c r="T36" i="209"/>
  <c r="W36" i="209" s="1"/>
  <c r="R39" i="209"/>
  <c r="S39" i="209" s="1"/>
  <c r="T39" i="209"/>
  <c r="W39" i="209" s="1"/>
  <c r="R42" i="209"/>
  <c r="S42" i="209" s="1"/>
  <c r="T42" i="209"/>
  <c r="W42" i="209" s="1"/>
  <c r="Q44" i="209"/>
  <c r="R45" i="209"/>
  <c r="T45" i="209"/>
  <c r="R46" i="209"/>
  <c r="S46" i="209" s="1"/>
  <c r="T46" i="209"/>
  <c r="W46" i="209" s="1"/>
  <c r="R48" i="209"/>
  <c r="S48" i="209" s="1"/>
  <c r="T48" i="209"/>
  <c r="R49" i="209"/>
  <c r="S49" i="209" s="1"/>
  <c r="T49" i="209"/>
  <c r="W49" i="209" s="1"/>
  <c r="R51" i="209"/>
  <c r="S51" i="209" s="1"/>
  <c r="T51" i="209"/>
  <c r="R52" i="209"/>
  <c r="S52" i="209" s="1"/>
  <c r="T52" i="209"/>
  <c r="W52" i="209" s="1"/>
  <c r="R54" i="209"/>
  <c r="S54" i="209" s="1"/>
  <c r="T54" i="209"/>
  <c r="I5" i="208"/>
  <c r="M5" i="208"/>
  <c r="Q7" i="208"/>
  <c r="T17" i="208"/>
  <c r="W17" i="208" s="1"/>
  <c r="T16" i="208"/>
  <c r="W16" i="208" s="1"/>
  <c r="T14" i="208"/>
  <c r="W14" i="208" s="1"/>
  <c r="T13" i="208"/>
  <c r="W13" i="208" s="1"/>
  <c r="R12" i="208"/>
  <c r="S12" i="208" s="1"/>
  <c r="K5" i="208"/>
  <c r="O5" i="208"/>
  <c r="E6" i="208"/>
  <c r="T10" i="208"/>
  <c r="W10" i="208" s="1"/>
  <c r="R10" i="208"/>
  <c r="S10" i="208" s="1"/>
  <c r="T8" i="208"/>
  <c r="R8" i="208"/>
  <c r="Q9" i="208"/>
  <c r="T19" i="208"/>
  <c r="R19" i="208"/>
  <c r="T20" i="208"/>
  <c r="W20" i="208" s="1"/>
  <c r="R20" i="208"/>
  <c r="S20" i="208" s="1"/>
  <c r="T21" i="208"/>
  <c r="W21" i="208" s="1"/>
  <c r="R21" i="208"/>
  <c r="S21" i="208" s="1"/>
  <c r="R22" i="208"/>
  <c r="S22" i="208" s="1"/>
  <c r="T23" i="208"/>
  <c r="W23" i="208" s="1"/>
  <c r="R23" i="208"/>
  <c r="S23" i="208" s="1"/>
  <c r="T24" i="208"/>
  <c r="W24" i="208" s="1"/>
  <c r="R24" i="208"/>
  <c r="S24" i="208" s="1"/>
  <c r="T25" i="208"/>
  <c r="R25" i="208"/>
  <c r="S25" i="208" s="1"/>
  <c r="T26" i="208"/>
  <c r="W26" i="208" s="1"/>
  <c r="R26" i="208"/>
  <c r="S26" i="208" s="1"/>
  <c r="T27" i="208"/>
  <c r="W27" i="208" s="1"/>
  <c r="R27" i="208"/>
  <c r="S27" i="208" s="1"/>
  <c r="T28" i="208"/>
  <c r="R28" i="208"/>
  <c r="S28" i="208" s="1"/>
  <c r="T29" i="208"/>
  <c r="W29" i="208" s="1"/>
  <c r="R29" i="208"/>
  <c r="S29" i="208" s="1"/>
  <c r="T30" i="208"/>
  <c r="W30" i="208" s="1"/>
  <c r="R30" i="208"/>
  <c r="S30" i="208" s="1"/>
  <c r="T31" i="208"/>
  <c r="R31" i="208"/>
  <c r="S31" i="208" s="1"/>
  <c r="T32" i="208"/>
  <c r="W32" i="208" s="1"/>
  <c r="T33" i="208"/>
  <c r="W33" i="208" s="1"/>
  <c r="R33" i="208"/>
  <c r="S33" i="208" s="1"/>
  <c r="T34" i="208"/>
  <c r="R34" i="208"/>
  <c r="S34" i="208" s="1"/>
  <c r="T35" i="208"/>
  <c r="W35" i="208" s="1"/>
  <c r="R35" i="208"/>
  <c r="S35" i="208" s="1"/>
  <c r="T36" i="208"/>
  <c r="W36" i="208" s="1"/>
  <c r="R36" i="208"/>
  <c r="S36" i="208" s="1"/>
  <c r="T37" i="208"/>
  <c r="R37" i="208"/>
  <c r="S37" i="208" s="1"/>
  <c r="T38" i="208"/>
  <c r="W38" i="208" s="1"/>
  <c r="R38" i="208"/>
  <c r="S38" i="208" s="1"/>
  <c r="T39" i="208"/>
  <c r="W39" i="208" s="1"/>
  <c r="R39" i="208"/>
  <c r="S39" i="208" s="1"/>
  <c r="T40" i="208"/>
  <c r="R40" i="208"/>
  <c r="S40" i="208" s="1"/>
  <c r="T41" i="208"/>
  <c r="W41" i="208" s="1"/>
  <c r="R41" i="208"/>
  <c r="S41" i="208" s="1"/>
  <c r="T42" i="208"/>
  <c r="W42" i="208" s="1"/>
  <c r="R42" i="208"/>
  <c r="S42" i="208" s="1"/>
  <c r="T45" i="208"/>
  <c r="R45" i="208"/>
  <c r="S45" i="208" s="1"/>
  <c r="T46" i="208"/>
  <c r="W46" i="208" s="1"/>
  <c r="R46" i="208"/>
  <c r="S46" i="208" s="1"/>
  <c r="T47" i="208"/>
  <c r="W47" i="208" s="1"/>
  <c r="R47" i="208"/>
  <c r="S47" i="208" s="1"/>
  <c r="T48" i="208"/>
  <c r="R48" i="208"/>
  <c r="S48" i="208" s="1"/>
  <c r="R49" i="208"/>
  <c r="S49" i="208" s="1"/>
  <c r="T50" i="208"/>
  <c r="W50" i="208" s="1"/>
  <c r="R50" i="208"/>
  <c r="S50" i="208" s="1"/>
  <c r="T51" i="208"/>
  <c r="R51" i="208"/>
  <c r="S51" i="208" s="1"/>
  <c r="R52" i="208"/>
  <c r="S52" i="208" s="1"/>
  <c r="T53" i="208"/>
  <c r="W53" i="208" s="1"/>
  <c r="R53" i="208"/>
  <c r="S53" i="208" s="1"/>
  <c r="T48" i="207"/>
  <c r="T52" i="207"/>
  <c r="W52" i="207" s="1"/>
  <c r="R48" i="207"/>
  <c r="S48" i="207" s="1"/>
  <c r="S49" i="207"/>
  <c r="T49" i="207"/>
  <c r="W49" i="207" s="1"/>
  <c r="S51" i="207"/>
  <c r="T51" i="207"/>
  <c r="R52" i="207"/>
  <c r="S52" i="207" s="1"/>
  <c r="R43" i="207"/>
  <c r="T7" i="207"/>
  <c r="T9" i="207"/>
  <c r="W9" i="207" s="1"/>
  <c r="R14" i="207"/>
  <c r="S14" i="207" s="1"/>
  <c r="T14" i="207"/>
  <c r="W14" i="207" s="1"/>
  <c r="S16" i="207"/>
  <c r="R17" i="207"/>
  <c r="S17" i="207" s="1"/>
  <c r="T17" i="207"/>
  <c r="W17" i="207" s="1"/>
  <c r="R21" i="207"/>
  <c r="S21" i="207" s="1"/>
  <c r="T21" i="207"/>
  <c r="W21" i="207" s="1"/>
  <c r="R24" i="207"/>
  <c r="S24" i="207" s="1"/>
  <c r="T24" i="207"/>
  <c r="W24" i="207" s="1"/>
  <c r="R27" i="207"/>
  <c r="S27" i="207" s="1"/>
  <c r="T27" i="207"/>
  <c r="W27" i="207" s="1"/>
  <c r="R30" i="207"/>
  <c r="S30" i="207" s="1"/>
  <c r="T30" i="207"/>
  <c r="W30" i="207" s="1"/>
  <c r="R33" i="207"/>
  <c r="S33" i="207" s="1"/>
  <c r="T33" i="207"/>
  <c r="W33" i="207" s="1"/>
  <c r="R36" i="207"/>
  <c r="S36" i="207" s="1"/>
  <c r="T36" i="207"/>
  <c r="W36" i="207" s="1"/>
  <c r="R39" i="207"/>
  <c r="S39" i="207" s="1"/>
  <c r="T39" i="207"/>
  <c r="W39" i="207" s="1"/>
  <c r="S41" i="207"/>
  <c r="R42" i="207"/>
  <c r="S42" i="207" s="1"/>
  <c r="T42" i="207"/>
  <c r="W42" i="207" s="1"/>
  <c r="S43" i="207"/>
  <c r="S46" i="207"/>
  <c r="R47" i="207"/>
  <c r="S47" i="207" s="1"/>
  <c r="T47" i="207"/>
  <c r="W47" i="207" s="1"/>
  <c r="R50" i="207"/>
  <c r="S50" i="207" s="1"/>
  <c r="T50" i="207"/>
  <c r="W50" i="207" s="1"/>
  <c r="R53" i="207"/>
  <c r="S53" i="207" s="1"/>
  <c r="T53" i="207"/>
  <c r="W53" i="207" s="1"/>
  <c r="R8" i="207"/>
  <c r="R7" i="207" s="1"/>
  <c r="R10" i="207"/>
  <c r="S10" i="207" s="1"/>
  <c r="R12" i="207"/>
  <c r="R13" i="207"/>
  <c r="S13" i="207" s="1"/>
  <c r="R15" i="207"/>
  <c r="S15" i="207" s="1"/>
  <c r="R19" i="207"/>
  <c r="R20" i="207"/>
  <c r="S20" i="207" s="1"/>
  <c r="R22" i="207"/>
  <c r="S22" i="207" s="1"/>
  <c r="R23" i="207"/>
  <c r="S23" i="207" s="1"/>
  <c r="R25" i="207"/>
  <c r="S25" i="207" s="1"/>
  <c r="R26" i="207"/>
  <c r="S26" i="207" s="1"/>
  <c r="R28" i="207"/>
  <c r="S28" i="207" s="1"/>
  <c r="R29" i="207"/>
  <c r="S29" i="207" s="1"/>
  <c r="R31" i="207"/>
  <c r="S31" i="207" s="1"/>
  <c r="R32" i="207"/>
  <c r="S32" i="207" s="1"/>
  <c r="R34" i="207"/>
  <c r="S34" i="207" s="1"/>
  <c r="R35" i="207"/>
  <c r="S35" i="207" s="1"/>
  <c r="R37" i="207"/>
  <c r="S37" i="207" s="1"/>
  <c r="R38" i="207"/>
  <c r="S38" i="207" s="1"/>
  <c r="R40" i="207"/>
  <c r="S40" i="207" s="1"/>
  <c r="R45" i="207"/>
  <c r="T46" i="206"/>
  <c r="W46" i="206" s="1"/>
  <c r="T48" i="206"/>
  <c r="T52" i="206"/>
  <c r="W52" i="206" s="1"/>
  <c r="S45" i="206"/>
  <c r="T45" i="206"/>
  <c r="R46" i="206"/>
  <c r="S46" i="206" s="1"/>
  <c r="R48" i="206"/>
  <c r="S48" i="206" s="1"/>
  <c r="S49" i="206"/>
  <c r="T49" i="206"/>
  <c r="W49" i="206" s="1"/>
  <c r="S51" i="206"/>
  <c r="T51" i="206"/>
  <c r="R52" i="206"/>
  <c r="S52" i="206" s="1"/>
  <c r="S20" i="206"/>
  <c r="T20" i="206"/>
  <c r="W20" i="206" s="1"/>
  <c r="S22" i="206"/>
  <c r="T22" i="206"/>
  <c r="S26" i="206"/>
  <c r="T26" i="206"/>
  <c r="W26" i="206" s="1"/>
  <c r="S36" i="206"/>
  <c r="T36" i="206"/>
  <c r="W36" i="206" s="1"/>
  <c r="S40" i="206"/>
  <c r="T40" i="206"/>
  <c r="S19" i="206"/>
  <c r="T19" i="206"/>
  <c r="S23" i="206"/>
  <c r="T23" i="206"/>
  <c r="W23" i="206" s="1"/>
  <c r="S25" i="206"/>
  <c r="T25" i="206"/>
  <c r="S29" i="206"/>
  <c r="T29" i="206"/>
  <c r="W29" i="206" s="1"/>
  <c r="S31" i="206"/>
  <c r="T31" i="206"/>
  <c r="S33" i="206"/>
  <c r="T33" i="206"/>
  <c r="W33" i="206" s="1"/>
  <c r="S41" i="206"/>
  <c r="T41" i="206"/>
  <c r="W41" i="206" s="1"/>
  <c r="T27" i="206"/>
  <c r="W27" i="206" s="1"/>
  <c r="R27" i="206"/>
  <c r="Q18" i="206"/>
  <c r="S27" i="206"/>
  <c r="S8" i="206"/>
  <c r="T7" i="206"/>
  <c r="T9" i="206"/>
  <c r="W9" i="206" s="1"/>
  <c r="R9" i="206"/>
  <c r="T28" i="206"/>
  <c r="R28" i="206"/>
  <c r="S28" i="206" s="1"/>
  <c r="R12" i="206"/>
  <c r="T12" i="206"/>
  <c r="R13" i="206"/>
  <c r="S13" i="206" s="1"/>
  <c r="T13" i="206"/>
  <c r="W13" i="206" s="1"/>
  <c r="R15" i="206"/>
  <c r="S15" i="206" s="1"/>
  <c r="T15" i="206"/>
  <c r="R16" i="206"/>
  <c r="S16" i="206" s="1"/>
  <c r="T16" i="206"/>
  <c r="W16" i="206" s="1"/>
  <c r="R21" i="206"/>
  <c r="S21" i="206" s="1"/>
  <c r="T21" i="206"/>
  <c r="W21" i="206" s="1"/>
  <c r="R24" i="206"/>
  <c r="S24" i="206" s="1"/>
  <c r="T24" i="206"/>
  <c r="W24" i="206" s="1"/>
  <c r="R30" i="206"/>
  <c r="S30" i="206" s="1"/>
  <c r="T30" i="206"/>
  <c r="W30" i="206" s="1"/>
  <c r="R32" i="206"/>
  <c r="S32" i="206" s="1"/>
  <c r="T32" i="206"/>
  <c r="W32" i="206" s="1"/>
  <c r="R34" i="206"/>
  <c r="S34" i="206" s="1"/>
  <c r="T34" i="206"/>
  <c r="R35" i="206"/>
  <c r="S35" i="206" s="1"/>
  <c r="T35" i="206"/>
  <c r="W35" i="206" s="1"/>
  <c r="R37" i="206"/>
  <c r="S37" i="206" s="1"/>
  <c r="T37" i="206"/>
  <c r="R38" i="206"/>
  <c r="S38" i="206" s="1"/>
  <c r="T38" i="206"/>
  <c r="W38" i="206" s="1"/>
  <c r="R39" i="206"/>
  <c r="S39" i="206" s="1"/>
  <c r="T39" i="206"/>
  <c r="W39" i="206" s="1"/>
  <c r="R42" i="206"/>
  <c r="S42" i="206" s="1"/>
  <c r="T42" i="206"/>
  <c r="W42" i="206" s="1"/>
  <c r="R43" i="206"/>
  <c r="S43" i="206" s="1"/>
  <c r="T43" i="206"/>
  <c r="R47" i="206"/>
  <c r="T47" i="206"/>
  <c r="W47" i="206" s="1"/>
  <c r="R50" i="206"/>
  <c r="S50" i="206" s="1"/>
  <c r="T50" i="206"/>
  <c r="W50" i="206" s="1"/>
  <c r="R53" i="206"/>
  <c r="S53" i="206" s="1"/>
  <c r="T53" i="206"/>
  <c r="W53" i="206" s="1"/>
  <c r="T47" i="205"/>
  <c r="W47" i="205" s="1"/>
  <c r="T49" i="205"/>
  <c r="T53" i="205"/>
  <c r="W53" i="205" s="1"/>
  <c r="S46" i="205"/>
  <c r="T46" i="205"/>
  <c r="R47" i="205"/>
  <c r="S47" i="205" s="1"/>
  <c r="R49" i="205"/>
  <c r="S49" i="205" s="1"/>
  <c r="S50" i="205"/>
  <c r="T50" i="205"/>
  <c r="W50" i="205" s="1"/>
  <c r="S52" i="205"/>
  <c r="T52" i="205"/>
  <c r="R53" i="205"/>
  <c r="S53" i="205" s="1"/>
  <c r="R34" i="205"/>
  <c r="R37" i="205"/>
  <c r="R40" i="205"/>
  <c r="R43" i="205"/>
  <c r="T9" i="205"/>
  <c r="R9" i="205"/>
  <c r="S9" i="205" s="1"/>
  <c r="S11" i="205"/>
  <c r="T11" i="205"/>
  <c r="W11" i="205" s="1"/>
  <c r="R10" i="205"/>
  <c r="S10" i="205"/>
  <c r="R13" i="205"/>
  <c r="S13" i="205" s="1"/>
  <c r="T13" i="205"/>
  <c r="R14" i="205"/>
  <c r="S14" i="205" s="1"/>
  <c r="T14" i="205"/>
  <c r="W14" i="205" s="1"/>
  <c r="R18" i="205"/>
  <c r="S18" i="205" s="1"/>
  <c r="T18" i="205"/>
  <c r="W18" i="205" s="1"/>
  <c r="R20" i="205"/>
  <c r="T20" i="205"/>
  <c r="R21" i="205"/>
  <c r="S21" i="205" s="1"/>
  <c r="T21" i="205"/>
  <c r="W21" i="205" s="1"/>
  <c r="R23" i="205"/>
  <c r="S23" i="205" s="1"/>
  <c r="T23" i="205"/>
  <c r="R24" i="205"/>
  <c r="S24" i="205" s="1"/>
  <c r="T24" i="205"/>
  <c r="W24" i="205" s="1"/>
  <c r="R26" i="205"/>
  <c r="S26" i="205" s="1"/>
  <c r="T26" i="205"/>
  <c r="R27" i="205"/>
  <c r="S27" i="205" s="1"/>
  <c r="T27" i="205"/>
  <c r="W27" i="205" s="1"/>
  <c r="R29" i="205"/>
  <c r="S29" i="205" s="1"/>
  <c r="T29" i="205"/>
  <c r="R30" i="205"/>
  <c r="S30" i="205" s="1"/>
  <c r="T30" i="205"/>
  <c r="W30" i="205" s="1"/>
  <c r="R32" i="205"/>
  <c r="S32" i="205" s="1"/>
  <c r="T32" i="205"/>
  <c r="R33" i="205"/>
  <c r="S33" i="205" s="1"/>
  <c r="T33" i="205"/>
  <c r="W33" i="205" s="1"/>
  <c r="S34" i="205"/>
  <c r="R35" i="205"/>
  <c r="S35" i="205" s="1"/>
  <c r="T35" i="205"/>
  <c r="R36" i="205"/>
  <c r="S36" i="205" s="1"/>
  <c r="T36" i="205"/>
  <c r="W36" i="205" s="1"/>
  <c r="S37" i="205"/>
  <c r="R38" i="205"/>
  <c r="S38" i="205" s="1"/>
  <c r="T38" i="205"/>
  <c r="R39" i="205"/>
  <c r="S39" i="205" s="1"/>
  <c r="T39" i="205"/>
  <c r="W39" i="205" s="1"/>
  <c r="S40" i="205"/>
  <c r="R41" i="205"/>
  <c r="S41" i="205" s="1"/>
  <c r="T41" i="205"/>
  <c r="R42" i="205"/>
  <c r="S42" i="205" s="1"/>
  <c r="T42" i="205"/>
  <c r="W42" i="205" s="1"/>
  <c r="S43" i="205"/>
  <c r="R44" i="205"/>
  <c r="S44" i="205" s="1"/>
  <c r="T44" i="205"/>
  <c r="R48" i="205"/>
  <c r="T48" i="205"/>
  <c r="W48" i="205" s="1"/>
  <c r="R51" i="205"/>
  <c r="S51" i="205" s="1"/>
  <c r="T51" i="205"/>
  <c r="W51" i="205" s="1"/>
  <c r="R54" i="205"/>
  <c r="S54" i="205" s="1"/>
  <c r="T54" i="205"/>
  <c r="W54" i="205" s="1"/>
  <c r="R15" i="205"/>
  <c r="S15" i="205" s="1"/>
  <c r="R16" i="205"/>
  <c r="S16" i="205" s="1"/>
  <c r="R17" i="205"/>
  <c r="S17" i="205" s="1"/>
  <c r="R22" i="205"/>
  <c r="S22" i="205" s="1"/>
  <c r="R25" i="205"/>
  <c r="S25" i="205" s="1"/>
  <c r="R28" i="205"/>
  <c r="S28" i="205" s="1"/>
  <c r="R31" i="205"/>
  <c r="S31" i="205" s="1"/>
  <c r="E10" i="204"/>
  <c r="R43" i="208" l="1"/>
  <c r="S43" i="208" s="1"/>
  <c r="Q18" i="208"/>
  <c r="R32" i="208"/>
  <c r="S32" i="208" s="1"/>
  <c r="Q5" i="206"/>
  <c r="Q11" i="208"/>
  <c r="Q44" i="208"/>
  <c r="T49" i="208"/>
  <c r="W49" i="208" s="1"/>
  <c r="W44" i="208" s="1"/>
  <c r="R8" i="205"/>
  <c r="G5" i="208"/>
  <c r="T15" i="208"/>
  <c r="T11" i="208" s="1"/>
  <c r="W18" i="209"/>
  <c r="S7" i="209"/>
  <c r="R44" i="209"/>
  <c r="S18" i="209"/>
  <c r="R11" i="209"/>
  <c r="R7" i="209"/>
  <c r="T7" i="209"/>
  <c r="W44" i="209"/>
  <c r="T44" i="209"/>
  <c r="R18" i="209"/>
  <c r="W14" i="209"/>
  <c r="W7" i="209" s="1"/>
  <c r="T11" i="209"/>
  <c r="S45" i="209"/>
  <c r="S44" i="209" s="1"/>
  <c r="T18" i="209"/>
  <c r="S14" i="209"/>
  <c r="S11" i="209" s="1"/>
  <c r="Q5" i="209"/>
  <c r="S44" i="208"/>
  <c r="R44" i="208"/>
  <c r="W18" i="208"/>
  <c r="T18" i="208"/>
  <c r="T9" i="208"/>
  <c r="W9" i="208" s="1"/>
  <c r="W6" i="208" s="1"/>
  <c r="R9" i="208"/>
  <c r="S9" i="208" s="1"/>
  <c r="S8" i="208"/>
  <c r="E5" i="208"/>
  <c r="Q5" i="208" s="1"/>
  <c r="Q6" i="208"/>
  <c r="R11" i="208"/>
  <c r="T44" i="208"/>
  <c r="R18" i="208"/>
  <c r="S19" i="208"/>
  <c r="S11" i="208"/>
  <c r="T7" i="208"/>
  <c r="R44" i="207"/>
  <c r="W44" i="207"/>
  <c r="W18" i="207"/>
  <c r="R11" i="207"/>
  <c r="R6" i="207" s="1"/>
  <c r="S45" i="207"/>
  <c r="S44" i="207" s="1"/>
  <c r="S8" i="207"/>
  <c r="S7" i="207" s="1"/>
  <c r="T44" i="207"/>
  <c r="R18" i="207"/>
  <c r="S19" i="207"/>
  <c r="S18" i="207" s="1"/>
  <c r="S12" i="207"/>
  <c r="S11" i="207" s="1"/>
  <c r="W7" i="207"/>
  <c r="T18" i="207"/>
  <c r="T11" i="207"/>
  <c r="T6" i="207" s="1"/>
  <c r="W44" i="206"/>
  <c r="R44" i="206"/>
  <c r="W18" i="206"/>
  <c r="S18" i="206"/>
  <c r="R11" i="206"/>
  <c r="S47" i="206"/>
  <c r="S44" i="206" s="1"/>
  <c r="S9" i="206"/>
  <c r="R7" i="206"/>
  <c r="T18" i="206"/>
  <c r="T11" i="206"/>
  <c r="T6" i="206" s="1"/>
  <c r="T44" i="206"/>
  <c r="R18" i="206"/>
  <c r="W7" i="206"/>
  <c r="W5" i="206" s="1"/>
  <c r="S7" i="206"/>
  <c r="S12" i="206"/>
  <c r="S11" i="206" s="1"/>
  <c r="W45" i="205"/>
  <c r="W8" i="205"/>
  <c r="T8" i="205"/>
  <c r="S8" i="205"/>
  <c r="S12" i="205"/>
  <c r="R45" i="205"/>
  <c r="R19" i="205"/>
  <c r="T12" i="205"/>
  <c r="T45" i="205"/>
  <c r="S20" i="205"/>
  <c r="S19" i="205" s="1"/>
  <c r="W19" i="205"/>
  <c r="T19" i="205"/>
  <c r="R12" i="205"/>
  <c r="R7" i="205" s="1"/>
  <c r="S48" i="205"/>
  <c r="S45" i="205" s="1"/>
  <c r="Y10" i="203"/>
  <c r="X10" i="203"/>
  <c r="Z9" i="203"/>
  <c r="Z8" i="203"/>
  <c r="Z7" i="203"/>
  <c r="Z6" i="203"/>
  <c r="Z5" i="203"/>
  <c r="Z4" i="203"/>
  <c r="O10" i="203"/>
  <c r="L10" i="203"/>
  <c r="I10" i="203"/>
  <c r="F10" i="203"/>
  <c r="G10" i="203"/>
  <c r="C10" i="203"/>
  <c r="V10" i="203"/>
  <c r="U10" i="203"/>
  <c r="S10" i="203"/>
  <c r="R10" i="203"/>
  <c r="P10" i="203"/>
  <c r="M10" i="203"/>
  <c r="J10" i="203"/>
  <c r="D10" i="203"/>
  <c r="W9" i="203"/>
  <c r="T9" i="203"/>
  <c r="Q9" i="203"/>
  <c r="N9" i="203"/>
  <c r="K9" i="203"/>
  <c r="H9" i="203"/>
  <c r="E9" i="203"/>
  <c r="W8" i="203"/>
  <c r="T8" i="203"/>
  <c r="Q8" i="203"/>
  <c r="N8" i="203"/>
  <c r="K8" i="203"/>
  <c r="H8" i="203"/>
  <c r="E8" i="203"/>
  <c r="W7" i="203"/>
  <c r="T7" i="203"/>
  <c r="Q7" i="203"/>
  <c r="N7" i="203"/>
  <c r="K7" i="203"/>
  <c r="H7" i="203"/>
  <c r="E7" i="203"/>
  <c r="W6" i="203"/>
  <c r="T6" i="203"/>
  <c r="Q6" i="203"/>
  <c r="N6" i="203"/>
  <c r="K6" i="203"/>
  <c r="H6" i="203"/>
  <c r="E6" i="203"/>
  <c r="W5" i="203"/>
  <c r="T5" i="203"/>
  <c r="Q5" i="203"/>
  <c r="N5" i="203"/>
  <c r="K5" i="203"/>
  <c r="H5" i="203"/>
  <c r="E5" i="203"/>
  <c r="W4" i="203"/>
  <c r="T4" i="203"/>
  <c r="Q4" i="203"/>
  <c r="N4" i="203"/>
  <c r="K4" i="203"/>
  <c r="H4" i="203"/>
  <c r="E4" i="203"/>
  <c r="S18" i="208" l="1"/>
  <c r="T7" i="205"/>
  <c r="S6" i="209"/>
  <c r="Z10" i="203"/>
  <c r="W10" i="203"/>
  <c r="T10" i="203"/>
  <c r="AA7" i="203"/>
  <c r="Q10" i="203"/>
  <c r="AA9" i="203"/>
  <c r="AA5" i="203"/>
  <c r="AA8" i="203"/>
  <c r="H10" i="203"/>
  <c r="AA6" i="203"/>
  <c r="AA4" i="203"/>
  <c r="S5" i="209"/>
  <c r="T6" i="208"/>
  <c r="T5" i="208" s="1"/>
  <c r="R6" i="206"/>
  <c r="R5" i="206" s="1"/>
  <c r="T5" i="207"/>
  <c r="W5" i="207"/>
  <c r="R6" i="205"/>
  <c r="W6" i="205"/>
  <c r="W5" i="209"/>
  <c r="R6" i="209"/>
  <c r="T6" i="209"/>
  <c r="T5" i="209" s="1"/>
  <c r="R5" i="209"/>
  <c r="R7" i="208"/>
  <c r="S7" i="208"/>
  <c r="R6" i="208"/>
  <c r="R5" i="208" s="1"/>
  <c r="S6" i="208"/>
  <c r="S5" i="208" s="1"/>
  <c r="W5" i="208"/>
  <c r="R5" i="207"/>
  <c r="S6" i="207"/>
  <c r="S5" i="207" s="1"/>
  <c r="T5" i="206"/>
  <c r="S6" i="206"/>
  <c r="S5" i="206" s="1"/>
  <c r="S7" i="205"/>
  <c r="S6" i="205" s="1"/>
  <c r="T6" i="205"/>
  <c r="N10" i="203"/>
  <c r="K10" i="203"/>
  <c r="E10" i="203"/>
  <c r="AA6" i="184"/>
  <c r="AA7" i="184"/>
  <c r="AA8" i="184"/>
  <c r="AA9" i="184"/>
  <c r="AA10" i="184"/>
  <c r="AA11" i="184"/>
  <c r="AA12" i="184"/>
  <c r="AA13" i="184"/>
  <c r="AA14" i="184"/>
  <c r="AA15" i="184"/>
  <c r="AA16" i="184"/>
  <c r="AA17" i="184"/>
  <c r="AA18" i="184"/>
  <c r="AA19" i="184"/>
  <c r="AA20" i="184"/>
  <c r="AA21" i="184"/>
  <c r="AA22" i="184"/>
  <c r="AA23" i="184"/>
  <c r="AA24" i="184"/>
  <c r="AA25" i="184"/>
  <c r="AA26" i="184"/>
  <c r="AA27" i="184"/>
  <c r="AA28" i="184"/>
  <c r="AA29" i="184"/>
  <c r="AA30" i="184"/>
  <c r="AA31" i="184"/>
  <c r="AA32" i="184"/>
  <c r="AA33" i="184"/>
  <c r="AA34" i="184"/>
  <c r="AA35" i="184"/>
  <c r="AA36" i="184"/>
  <c r="AA37" i="184"/>
  <c r="AA38" i="184"/>
  <c r="AA39" i="184"/>
  <c r="AA40" i="184"/>
  <c r="AA41" i="184"/>
  <c r="AA42" i="184"/>
  <c r="AA43" i="184"/>
  <c r="AA44" i="184"/>
  <c r="AA45" i="184"/>
  <c r="AA46" i="184"/>
  <c r="AA47" i="184"/>
  <c r="AA48" i="184"/>
  <c r="AA49" i="184"/>
  <c r="AA50" i="184"/>
  <c r="AA51" i="184"/>
  <c r="AA52" i="184"/>
  <c r="AA53" i="184"/>
  <c r="AA5" i="184"/>
  <c r="AA10" i="203" l="1"/>
  <c r="O16" i="196" l="1"/>
  <c r="O15" i="200"/>
  <c r="H43" i="197" l="1"/>
  <c r="H27" i="197"/>
  <c r="H39" i="197"/>
  <c r="H32" i="197"/>
  <c r="H28" i="197"/>
  <c r="F51" i="150" l="1"/>
  <c r="F46" i="150" s="1"/>
  <c r="Q55" i="200" l="1"/>
  <c r="Q53" i="200"/>
  <c r="T53" i="200" s="1"/>
  <c r="W53" i="200" s="1"/>
  <c r="Q52" i="200"/>
  <c r="Q51" i="200"/>
  <c r="Q50" i="200"/>
  <c r="T50" i="200" s="1"/>
  <c r="W50" i="200" s="1"/>
  <c r="Q49" i="200"/>
  <c r="Q48" i="200"/>
  <c r="Q47" i="200"/>
  <c r="T47" i="200" s="1"/>
  <c r="W47" i="200" s="1"/>
  <c r="Q46" i="200"/>
  <c r="Q45" i="200"/>
  <c r="P44" i="200"/>
  <c r="O44" i="200"/>
  <c r="N44" i="200"/>
  <c r="M44" i="200"/>
  <c r="L44" i="200"/>
  <c r="K44" i="200"/>
  <c r="J44" i="200"/>
  <c r="I44" i="200"/>
  <c r="H44" i="200"/>
  <c r="G44" i="200"/>
  <c r="F44" i="200"/>
  <c r="E44" i="200"/>
  <c r="Q43" i="200"/>
  <c r="T43" i="200" s="1"/>
  <c r="Q42" i="200"/>
  <c r="Q41" i="200"/>
  <c r="T41" i="200" s="1"/>
  <c r="W41" i="200" s="1"/>
  <c r="Q40" i="200"/>
  <c r="T40" i="200" s="1"/>
  <c r="Q39" i="200"/>
  <c r="Q38" i="200"/>
  <c r="T38" i="200" s="1"/>
  <c r="W38" i="200" s="1"/>
  <c r="Q37" i="200"/>
  <c r="T37" i="200" s="1"/>
  <c r="Q36" i="200"/>
  <c r="Q35" i="200"/>
  <c r="T35" i="200" s="1"/>
  <c r="W35" i="200" s="1"/>
  <c r="Q34" i="200"/>
  <c r="T34" i="200" s="1"/>
  <c r="Q33" i="200"/>
  <c r="Q32" i="200"/>
  <c r="T32" i="200" s="1"/>
  <c r="W32" i="200" s="1"/>
  <c r="Q31" i="200"/>
  <c r="T31" i="200" s="1"/>
  <c r="Q30" i="200"/>
  <c r="R30" i="200" s="1"/>
  <c r="Q29" i="200"/>
  <c r="T29" i="200" s="1"/>
  <c r="W29" i="200" s="1"/>
  <c r="Q28" i="200"/>
  <c r="T28" i="200" s="1"/>
  <c r="Q27" i="200"/>
  <c r="R27" i="200" s="1"/>
  <c r="Q26" i="200"/>
  <c r="T26" i="200" s="1"/>
  <c r="W26" i="200" s="1"/>
  <c r="Q25" i="200"/>
  <c r="T25" i="200" s="1"/>
  <c r="Q24" i="200"/>
  <c r="R24" i="200" s="1"/>
  <c r="Q23" i="200"/>
  <c r="T23" i="200" s="1"/>
  <c r="W23" i="200" s="1"/>
  <c r="Q22" i="200"/>
  <c r="T22" i="200" s="1"/>
  <c r="Q21" i="200"/>
  <c r="R21" i="200" s="1"/>
  <c r="Q20" i="200"/>
  <c r="T20" i="200" s="1"/>
  <c r="W20" i="200" s="1"/>
  <c r="Q19" i="200"/>
  <c r="T19" i="200" s="1"/>
  <c r="P18" i="200"/>
  <c r="O18" i="200"/>
  <c r="N18" i="200"/>
  <c r="M18" i="200"/>
  <c r="L18" i="200"/>
  <c r="K18" i="200"/>
  <c r="J18" i="200"/>
  <c r="I18" i="200"/>
  <c r="H18" i="200"/>
  <c r="G18" i="200"/>
  <c r="F18" i="200"/>
  <c r="E18" i="200"/>
  <c r="Q17" i="200"/>
  <c r="T17" i="200" s="1"/>
  <c r="W17" i="200" s="1"/>
  <c r="Q16" i="200"/>
  <c r="R16" i="200" s="1"/>
  <c r="Q15" i="200"/>
  <c r="R15" i="200" s="1"/>
  <c r="Q14" i="200"/>
  <c r="Q13" i="200"/>
  <c r="Q12" i="200"/>
  <c r="P11" i="200"/>
  <c r="O11" i="200"/>
  <c r="N11" i="200"/>
  <c r="M11" i="200"/>
  <c r="L11" i="200"/>
  <c r="K11" i="200"/>
  <c r="J11" i="200"/>
  <c r="I11" i="200"/>
  <c r="H11" i="200"/>
  <c r="G11" i="200"/>
  <c r="F11" i="200"/>
  <c r="E11" i="200"/>
  <c r="Q10" i="200"/>
  <c r="Q9" i="200"/>
  <c r="D9" i="200"/>
  <c r="Q8" i="200"/>
  <c r="P7" i="200"/>
  <c r="O7" i="200"/>
  <c r="N7" i="200"/>
  <c r="M7" i="200"/>
  <c r="L7" i="200"/>
  <c r="K7" i="200"/>
  <c r="J7" i="200"/>
  <c r="I7" i="200"/>
  <c r="H7" i="200"/>
  <c r="G7" i="200"/>
  <c r="F7" i="200"/>
  <c r="E7" i="200"/>
  <c r="P6" i="200"/>
  <c r="O6" i="200"/>
  <c r="N6" i="200"/>
  <c r="M6" i="200"/>
  <c r="L6" i="200"/>
  <c r="K6" i="200"/>
  <c r="J6" i="200"/>
  <c r="I6" i="200"/>
  <c r="H6" i="200"/>
  <c r="G6" i="200"/>
  <c r="F6" i="200"/>
  <c r="E6" i="200"/>
  <c r="P5" i="200"/>
  <c r="N5" i="200"/>
  <c r="M5" i="200"/>
  <c r="L5" i="200"/>
  <c r="K5" i="200"/>
  <c r="J5" i="200"/>
  <c r="H5" i="200"/>
  <c r="G5" i="200"/>
  <c r="F5" i="200"/>
  <c r="E5" i="200"/>
  <c r="O45" i="199"/>
  <c r="O46" i="199"/>
  <c r="O47" i="199"/>
  <c r="O48" i="199"/>
  <c r="O49" i="199"/>
  <c r="O50" i="199"/>
  <c r="O51" i="199"/>
  <c r="O52" i="199"/>
  <c r="O53" i="199"/>
  <c r="F45" i="199"/>
  <c r="G45" i="199"/>
  <c r="H45" i="199"/>
  <c r="I45" i="199"/>
  <c r="J45" i="199"/>
  <c r="K45" i="199"/>
  <c r="L45" i="199"/>
  <c r="M45" i="199"/>
  <c r="N45" i="199"/>
  <c r="F46" i="199"/>
  <c r="G46" i="199"/>
  <c r="H46" i="199"/>
  <c r="I46" i="199"/>
  <c r="J46" i="199"/>
  <c r="K46" i="199"/>
  <c r="L46" i="199"/>
  <c r="M46" i="199"/>
  <c r="N46" i="199"/>
  <c r="F47" i="199"/>
  <c r="G47" i="199"/>
  <c r="H47" i="199"/>
  <c r="I47" i="199"/>
  <c r="J47" i="199"/>
  <c r="K47" i="199"/>
  <c r="L47" i="199"/>
  <c r="M47" i="199"/>
  <c r="N47" i="199"/>
  <c r="F48" i="199"/>
  <c r="G48" i="199"/>
  <c r="H48" i="199"/>
  <c r="I48" i="199"/>
  <c r="J48" i="199"/>
  <c r="K48" i="199"/>
  <c r="L48" i="199"/>
  <c r="M48" i="199"/>
  <c r="N48" i="199"/>
  <c r="F49" i="199"/>
  <c r="G49" i="199"/>
  <c r="H49" i="199"/>
  <c r="I49" i="199"/>
  <c r="J49" i="199"/>
  <c r="K49" i="199"/>
  <c r="L49" i="199"/>
  <c r="M49" i="199"/>
  <c r="N49" i="199"/>
  <c r="F50" i="199"/>
  <c r="G50" i="199"/>
  <c r="H50" i="199"/>
  <c r="I50" i="199"/>
  <c r="J50" i="199"/>
  <c r="K50" i="199"/>
  <c r="L50" i="199"/>
  <c r="M50" i="199"/>
  <c r="N50" i="199"/>
  <c r="F51" i="199"/>
  <c r="G51" i="199"/>
  <c r="H51" i="199"/>
  <c r="I51" i="199"/>
  <c r="J51" i="199"/>
  <c r="K51" i="199"/>
  <c r="L51" i="199"/>
  <c r="M51" i="199"/>
  <c r="N51" i="199"/>
  <c r="F52" i="199"/>
  <c r="G52" i="199"/>
  <c r="H52" i="199"/>
  <c r="I52" i="199"/>
  <c r="J52" i="199"/>
  <c r="K52" i="199"/>
  <c r="L52" i="199"/>
  <c r="M52" i="199"/>
  <c r="N52" i="199"/>
  <c r="F53" i="199"/>
  <c r="G53" i="199"/>
  <c r="H53" i="199"/>
  <c r="I53" i="199"/>
  <c r="J53" i="199"/>
  <c r="K53" i="199"/>
  <c r="L53" i="199"/>
  <c r="M53" i="199"/>
  <c r="N53" i="199"/>
  <c r="E47" i="199"/>
  <c r="E48" i="199"/>
  <c r="E49" i="199"/>
  <c r="E50" i="199"/>
  <c r="E51" i="199"/>
  <c r="E52" i="199"/>
  <c r="E53" i="199"/>
  <c r="E46" i="199"/>
  <c r="E45" i="199"/>
  <c r="F19" i="199"/>
  <c r="G19" i="199"/>
  <c r="H19" i="199"/>
  <c r="I19" i="199"/>
  <c r="J19" i="199"/>
  <c r="K19" i="199"/>
  <c r="L19" i="199"/>
  <c r="M19" i="199"/>
  <c r="N19" i="199"/>
  <c r="O19" i="199"/>
  <c r="F20" i="199"/>
  <c r="G20" i="199"/>
  <c r="H20" i="199"/>
  <c r="I20" i="199"/>
  <c r="J20" i="199"/>
  <c r="K20" i="199"/>
  <c r="L20" i="199"/>
  <c r="M20" i="199"/>
  <c r="N20" i="199"/>
  <c r="O20" i="199"/>
  <c r="F21" i="199"/>
  <c r="G21" i="199"/>
  <c r="H21" i="199"/>
  <c r="I21" i="199"/>
  <c r="J21" i="199"/>
  <c r="K21" i="199"/>
  <c r="L21" i="199"/>
  <c r="M21" i="199"/>
  <c r="N21" i="199"/>
  <c r="O21" i="199"/>
  <c r="F22" i="199"/>
  <c r="G22" i="199"/>
  <c r="H22" i="199"/>
  <c r="I22" i="199"/>
  <c r="J22" i="199"/>
  <c r="K22" i="199"/>
  <c r="L22" i="199"/>
  <c r="M22" i="199"/>
  <c r="N22" i="199"/>
  <c r="O22" i="199"/>
  <c r="F23" i="199"/>
  <c r="G23" i="199"/>
  <c r="H23" i="199"/>
  <c r="I23" i="199"/>
  <c r="J23" i="199"/>
  <c r="K23" i="199"/>
  <c r="L23" i="199"/>
  <c r="M23" i="199"/>
  <c r="N23" i="199"/>
  <c r="O23" i="199"/>
  <c r="F24" i="199"/>
  <c r="G24" i="199"/>
  <c r="H24" i="199"/>
  <c r="I24" i="199"/>
  <c r="J24" i="199"/>
  <c r="K24" i="199"/>
  <c r="L24" i="199"/>
  <c r="M24" i="199"/>
  <c r="N24" i="199"/>
  <c r="O24" i="199"/>
  <c r="F25" i="199"/>
  <c r="G25" i="199"/>
  <c r="H25" i="199"/>
  <c r="I25" i="199"/>
  <c r="J25" i="199"/>
  <c r="K25" i="199"/>
  <c r="L25" i="199"/>
  <c r="M25" i="199"/>
  <c r="N25" i="199"/>
  <c r="O25" i="199"/>
  <c r="F26" i="199"/>
  <c r="G26" i="199"/>
  <c r="H26" i="199"/>
  <c r="I26" i="199"/>
  <c r="J26" i="199"/>
  <c r="K26" i="199"/>
  <c r="L26" i="199"/>
  <c r="M26" i="199"/>
  <c r="N26" i="199"/>
  <c r="O26" i="199"/>
  <c r="F27" i="199"/>
  <c r="G27" i="199"/>
  <c r="H27" i="199"/>
  <c r="I27" i="199"/>
  <c r="J27" i="199"/>
  <c r="K27" i="199"/>
  <c r="L27" i="199"/>
  <c r="M27" i="199"/>
  <c r="N27" i="199"/>
  <c r="O27" i="199"/>
  <c r="F28" i="199"/>
  <c r="G28" i="199"/>
  <c r="H28" i="199"/>
  <c r="I28" i="199"/>
  <c r="J28" i="199"/>
  <c r="K28" i="199"/>
  <c r="L28" i="199"/>
  <c r="M28" i="199"/>
  <c r="N28" i="199"/>
  <c r="O28" i="199"/>
  <c r="F29" i="199"/>
  <c r="G29" i="199"/>
  <c r="H29" i="199"/>
  <c r="I29" i="199"/>
  <c r="J29" i="199"/>
  <c r="K29" i="199"/>
  <c r="L29" i="199"/>
  <c r="M29" i="199"/>
  <c r="N29" i="199"/>
  <c r="O29" i="199"/>
  <c r="F30" i="199"/>
  <c r="G30" i="199"/>
  <c r="H30" i="199"/>
  <c r="I30" i="199"/>
  <c r="J30" i="199"/>
  <c r="K30" i="199"/>
  <c r="L30" i="199"/>
  <c r="M30" i="199"/>
  <c r="N30" i="199"/>
  <c r="O30" i="199"/>
  <c r="F31" i="199"/>
  <c r="G31" i="199"/>
  <c r="H31" i="199"/>
  <c r="I31" i="199"/>
  <c r="J31" i="199"/>
  <c r="K31" i="199"/>
  <c r="L31" i="199"/>
  <c r="M31" i="199"/>
  <c r="N31" i="199"/>
  <c r="O31" i="199"/>
  <c r="F32" i="199"/>
  <c r="G32" i="199"/>
  <c r="H32" i="199"/>
  <c r="I32" i="199"/>
  <c r="J32" i="199"/>
  <c r="K32" i="199"/>
  <c r="L32" i="199"/>
  <c r="M32" i="199"/>
  <c r="N32" i="199"/>
  <c r="O32" i="199"/>
  <c r="F33" i="199"/>
  <c r="G33" i="199"/>
  <c r="H33" i="199"/>
  <c r="I33" i="199"/>
  <c r="J33" i="199"/>
  <c r="K33" i="199"/>
  <c r="L33" i="199"/>
  <c r="M33" i="199"/>
  <c r="N33" i="199"/>
  <c r="O33" i="199"/>
  <c r="F34" i="199"/>
  <c r="G34" i="199"/>
  <c r="H34" i="199"/>
  <c r="I34" i="199"/>
  <c r="J34" i="199"/>
  <c r="K34" i="199"/>
  <c r="L34" i="199"/>
  <c r="M34" i="199"/>
  <c r="N34" i="199"/>
  <c r="O34" i="199"/>
  <c r="F35" i="199"/>
  <c r="G35" i="199"/>
  <c r="H35" i="199"/>
  <c r="I35" i="199"/>
  <c r="J35" i="199"/>
  <c r="K35" i="199"/>
  <c r="L35" i="199"/>
  <c r="M35" i="199"/>
  <c r="N35" i="199"/>
  <c r="O35" i="199"/>
  <c r="F36" i="199"/>
  <c r="G36" i="199"/>
  <c r="H36" i="199"/>
  <c r="I36" i="199"/>
  <c r="J36" i="199"/>
  <c r="K36" i="199"/>
  <c r="L36" i="199"/>
  <c r="M36" i="199"/>
  <c r="N36" i="199"/>
  <c r="O36" i="199"/>
  <c r="F37" i="199"/>
  <c r="G37" i="199"/>
  <c r="H37" i="199"/>
  <c r="I37" i="199"/>
  <c r="J37" i="199"/>
  <c r="K37" i="199"/>
  <c r="L37" i="199"/>
  <c r="M37" i="199"/>
  <c r="N37" i="199"/>
  <c r="O37" i="199"/>
  <c r="F38" i="199"/>
  <c r="G38" i="199"/>
  <c r="H38" i="199"/>
  <c r="I38" i="199"/>
  <c r="J38" i="199"/>
  <c r="K38" i="199"/>
  <c r="L38" i="199"/>
  <c r="M38" i="199"/>
  <c r="N38" i="199"/>
  <c r="O38" i="199"/>
  <c r="F39" i="199"/>
  <c r="G39" i="199"/>
  <c r="H39" i="199"/>
  <c r="I39" i="199"/>
  <c r="J39" i="199"/>
  <c r="K39" i="199"/>
  <c r="L39" i="199"/>
  <c r="M39" i="199"/>
  <c r="N39" i="199"/>
  <c r="O39" i="199"/>
  <c r="F40" i="199"/>
  <c r="G40" i="199"/>
  <c r="H40" i="199"/>
  <c r="I40" i="199"/>
  <c r="J40" i="199"/>
  <c r="K40" i="199"/>
  <c r="L40" i="199"/>
  <c r="M40" i="199"/>
  <c r="N40" i="199"/>
  <c r="O40" i="199"/>
  <c r="F41" i="199"/>
  <c r="G41" i="199"/>
  <c r="H41" i="199"/>
  <c r="I41" i="199"/>
  <c r="J41" i="199"/>
  <c r="K41" i="199"/>
  <c r="L41" i="199"/>
  <c r="M41" i="199"/>
  <c r="N41" i="199"/>
  <c r="O41" i="199"/>
  <c r="F42" i="199"/>
  <c r="G42" i="199"/>
  <c r="H42" i="199"/>
  <c r="I42" i="199"/>
  <c r="J42" i="199"/>
  <c r="K42" i="199"/>
  <c r="L42" i="199"/>
  <c r="M42" i="199"/>
  <c r="N42" i="199"/>
  <c r="O42" i="199"/>
  <c r="F43" i="199"/>
  <c r="G43" i="199"/>
  <c r="H43" i="199"/>
  <c r="I43" i="199"/>
  <c r="J43" i="199"/>
  <c r="K43" i="199"/>
  <c r="L43" i="199"/>
  <c r="M43" i="199"/>
  <c r="N43" i="199"/>
  <c r="O43" i="199"/>
  <c r="E21" i="199"/>
  <c r="E22" i="199"/>
  <c r="E23" i="199"/>
  <c r="E24" i="199"/>
  <c r="E25" i="199"/>
  <c r="E26" i="199"/>
  <c r="E27" i="199"/>
  <c r="E28" i="199"/>
  <c r="E29" i="199"/>
  <c r="E30" i="199"/>
  <c r="E31" i="199"/>
  <c r="E32" i="199"/>
  <c r="E33" i="199"/>
  <c r="E34" i="199"/>
  <c r="E35" i="199"/>
  <c r="E36" i="199"/>
  <c r="E37" i="199"/>
  <c r="E38" i="199"/>
  <c r="E39" i="199"/>
  <c r="E40" i="199"/>
  <c r="E41" i="199"/>
  <c r="E42" i="199"/>
  <c r="E43" i="199"/>
  <c r="E20" i="199"/>
  <c r="E19" i="199"/>
  <c r="F12" i="199"/>
  <c r="G12" i="199"/>
  <c r="H12" i="199"/>
  <c r="I12" i="199"/>
  <c r="J12" i="199"/>
  <c r="K12" i="199"/>
  <c r="L12" i="199"/>
  <c r="M12" i="199"/>
  <c r="N12" i="199"/>
  <c r="O12" i="199"/>
  <c r="P12" i="199"/>
  <c r="F13" i="199"/>
  <c r="G13" i="199"/>
  <c r="G11" i="199" s="1"/>
  <c r="H13" i="199"/>
  <c r="I13" i="199"/>
  <c r="J13" i="199"/>
  <c r="K13" i="199"/>
  <c r="L13" i="199"/>
  <c r="M13" i="199"/>
  <c r="N13" i="199"/>
  <c r="O13" i="199"/>
  <c r="P13" i="199"/>
  <c r="F14" i="199"/>
  <c r="G14" i="199"/>
  <c r="H14" i="199"/>
  <c r="I14" i="199"/>
  <c r="J14" i="199"/>
  <c r="K14" i="199"/>
  <c r="L14" i="199"/>
  <c r="M14" i="199"/>
  <c r="N14" i="199"/>
  <c r="O14" i="199"/>
  <c r="P14" i="199"/>
  <c r="F15" i="199"/>
  <c r="G15" i="199"/>
  <c r="H15" i="199"/>
  <c r="I15" i="199"/>
  <c r="J15" i="199"/>
  <c r="K15" i="199"/>
  <c r="L15" i="199"/>
  <c r="M15" i="199"/>
  <c r="N15" i="199"/>
  <c r="O15" i="199"/>
  <c r="P15" i="199"/>
  <c r="F16" i="199"/>
  <c r="G16" i="199"/>
  <c r="H16" i="199"/>
  <c r="I16" i="199"/>
  <c r="J16" i="199"/>
  <c r="K16" i="199"/>
  <c r="L16" i="199"/>
  <c r="M16" i="199"/>
  <c r="N16" i="199"/>
  <c r="O16" i="199"/>
  <c r="P16" i="199"/>
  <c r="F17" i="199"/>
  <c r="G17" i="199"/>
  <c r="H17" i="199"/>
  <c r="I17" i="199"/>
  <c r="J17" i="199"/>
  <c r="K17" i="199"/>
  <c r="L17" i="199"/>
  <c r="M17" i="199"/>
  <c r="N17" i="199"/>
  <c r="O17" i="199"/>
  <c r="P17" i="199"/>
  <c r="E13" i="199"/>
  <c r="E14" i="199"/>
  <c r="E15" i="199"/>
  <c r="E16" i="199"/>
  <c r="E17" i="199"/>
  <c r="E12" i="199"/>
  <c r="F8" i="199"/>
  <c r="G8" i="199"/>
  <c r="H8" i="199"/>
  <c r="I8" i="199"/>
  <c r="J8" i="199"/>
  <c r="K8" i="199"/>
  <c r="L8" i="199"/>
  <c r="M8" i="199"/>
  <c r="N8" i="199"/>
  <c r="O8" i="199"/>
  <c r="P8" i="199"/>
  <c r="F9" i="199"/>
  <c r="G9" i="199"/>
  <c r="H9" i="199"/>
  <c r="I9" i="199"/>
  <c r="J9" i="199"/>
  <c r="K9" i="199"/>
  <c r="L9" i="199"/>
  <c r="M9" i="199"/>
  <c r="N9" i="199"/>
  <c r="O9" i="199"/>
  <c r="P9" i="199"/>
  <c r="F10" i="199"/>
  <c r="G10" i="199"/>
  <c r="H10" i="199"/>
  <c r="I10" i="199"/>
  <c r="J10" i="199"/>
  <c r="K10" i="199"/>
  <c r="L10" i="199"/>
  <c r="M10" i="199"/>
  <c r="N10" i="199"/>
  <c r="O10" i="199"/>
  <c r="P10" i="199"/>
  <c r="E9" i="199"/>
  <c r="E10" i="199"/>
  <c r="E8" i="199"/>
  <c r="P53" i="199"/>
  <c r="Q53" i="199" s="1"/>
  <c r="P52" i="199"/>
  <c r="Q52" i="199" s="1"/>
  <c r="P51" i="199"/>
  <c r="Q51" i="199" s="1"/>
  <c r="P50" i="199"/>
  <c r="Q50" i="199" s="1"/>
  <c r="P49" i="199"/>
  <c r="Q49" i="199" s="1"/>
  <c r="P48" i="199"/>
  <c r="Q48" i="199" s="1"/>
  <c r="P47" i="199"/>
  <c r="Q47" i="199" s="1"/>
  <c r="P46" i="199"/>
  <c r="Q46" i="199" s="1"/>
  <c r="P45" i="199"/>
  <c r="Q45" i="199" s="1"/>
  <c r="P44" i="199"/>
  <c r="O44" i="199"/>
  <c r="N44" i="199"/>
  <c r="M44" i="199"/>
  <c r="L44" i="199"/>
  <c r="K44" i="199"/>
  <c r="J44" i="199"/>
  <c r="I44" i="199"/>
  <c r="H44" i="199"/>
  <c r="G44" i="199"/>
  <c r="F44" i="199"/>
  <c r="E44" i="199"/>
  <c r="P43" i="199"/>
  <c r="Q43" i="199" s="1"/>
  <c r="P42" i="199"/>
  <c r="Q42" i="199" s="1"/>
  <c r="P41" i="199"/>
  <c r="Q41" i="199" s="1"/>
  <c r="P40" i="199"/>
  <c r="Q40" i="199" s="1"/>
  <c r="P39" i="199"/>
  <c r="Q39" i="199" s="1"/>
  <c r="P38" i="199"/>
  <c r="Q38" i="199" s="1"/>
  <c r="P37" i="199"/>
  <c r="P36" i="199"/>
  <c r="Q36" i="199"/>
  <c r="P35" i="199"/>
  <c r="Q35" i="199"/>
  <c r="P34" i="199"/>
  <c r="Q34" i="199"/>
  <c r="P33" i="199"/>
  <c r="Q33" i="199"/>
  <c r="P32" i="199"/>
  <c r="Q32" i="199"/>
  <c r="P31" i="199"/>
  <c r="Q31" i="199"/>
  <c r="P30" i="199"/>
  <c r="Q30" i="199"/>
  <c r="P29" i="199"/>
  <c r="Q29" i="199"/>
  <c r="P28" i="199"/>
  <c r="Q28" i="199"/>
  <c r="P27" i="199"/>
  <c r="Q27" i="199"/>
  <c r="P26" i="199"/>
  <c r="Q26" i="199"/>
  <c r="P25" i="199"/>
  <c r="Q25" i="199"/>
  <c r="P24" i="199"/>
  <c r="Q24" i="199"/>
  <c r="P23" i="199"/>
  <c r="Q23" i="199"/>
  <c r="P22" i="199"/>
  <c r="P21" i="199"/>
  <c r="Q21" i="199" s="1"/>
  <c r="P20" i="199"/>
  <c r="P19" i="199"/>
  <c r="P18" i="199" s="1"/>
  <c r="N18" i="199"/>
  <c r="M18" i="199"/>
  <c r="L18" i="199"/>
  <c r="K18" i="199"/>
  <c r="J18" i="199"/>
  <c r="I18" i="199"/>
  <c r="G18" i="199"/>
  <c r="F18" i="199"/>
  <c r="E18" i="199"/>
  <c r="P11" i="199"/>
  <c r="N11" i="199"/>
  <c r="L11" i="199"/>
  <c r="J11" i="199"/>
  <c r="H11" i="199"/>
  <c r="F11" i="199"/>
  <c r="O11" i="199"/>
  <c r="M11" i="199"/>
  <c r="K11" i="199"/>
  <c r="I11" i="199"/>
  <c r="E11" i="199"/>
  <c r="Q10" i="199"/>
  <c r="O7" i="199"/>
  <c r="M7" i="199"/>
  <c r="K7" i="199"/>
  <c r="I7" i="199"/>
  <c r="I6" i="199" s="1"/>
  <c r="G7" i="199"/>
  <c r="E7" i="199"/>
  <c r="D9" i="199"/>
  <c r="Q8" i="199"/>
  <c r="P7" i="199"/>
  <c r="N7" i="199"/>
  <c r="L7" i="199"/>
  <c r="J7" i="199"/>
  <c r="J6" i="199" s="1"/>
  <c r="J5" i="199" s="1"/>
  <c r="H7" i="199"/>
  <c r="F7" i="199"/>
  <c r="F6" i="199" s="1"/>
  <c r="F5" i="199" s="1"/>
  <c r="Q53" i="198"/>
  <c r="Q52" i="198"/>
  <c r="T52" i="198" s="1"/>
  <c r="W52" i="198" s="1"/>
  <c r="Q51" i="198"/>
  <c r="R51" i="198" s="1"/>
  <c r="Q50" i="198"/>
  <c r="Q49" i="198"/>
  <c r="R49" i="198" s="1"/>
  <c r="Q48" i="198"/>
  <c r="T48" i="198" s="1"/>
  <c r="Q47" i="198"/>
  <c r="R46" i="198"/>
  <c r="Q46" i="198"/>
  <c r="T46" i="198" s="1"/>
  <c r="W46" i="198" s="1"/>
  <c r="Q45" i="198"/>
  <c r="R45" i="198" s="1"/>
  <c r="P44" i="198"/>
  <c r="O44" i="198"/>
  <c r="N44" i="198"/>
  <c r="M44" i="198"/>
  <c r="K44" i="198"/>
  <c r="J44" i="198"/>
  <c r="I44" i="198"/>
  <c r="H44" i="198"/>
  <c r="G44" i="198"/>
  <c r="F44" i="198"/>
  <c r="E44" i="198"/>
  <c r="Q43" i="198"/>
  <c r="Q42" i="198"/>
  <c r="Q41" i="198"/>
  <c r="Q40" i="198"/>
  <c r="T40" i="198" s="1"/>
  <c r="Q39" i="198"/>
  <c r="Q38" i="198"/>
  <c r="Q37" i="198"/>
  <c r="Q36" i="198"/>
  <c r="Q35" i="198"/>
  <c r="Q34" i="198"/>
  <c r="T34" i="198" s="1"/>
  <c r="Q33" i="198"/>
  <c r="Q32" i="198"/>
  <c r="T32" i="198" s="1"/>
  <c r="W32" i="198" s="1"/>
  <c r="Q31" i="198"/>
  <c r="Q30" i="198"/>
  <c r="Q29" i="198"/>
  <c r="Q28" i="198"/>
  <c r="T28" i="198" s="1"/>
  <c r="Q27" i="198"/>
  <c r="Q26" i="198"/>
  <c r="T26" i="198" s="1"/>
  <c r="W26" i="198" s="1"/>
  <c r="Q25" i="198"/>
  <c r="Q24" i="198"/>
  <c r="Q23" i="198"/>
  <c r="Q22" i="198"/>
  <c r="T22" i="198" s="1"/>
  <c r="Q21" i="198"/>
  <c r="Q20" i="198"/>
  <c r="Q19" i="198"/>
  <c r="P18" i="198"/>
  <c r="O18" i="198"/>
  <c r="N18" i="198"/>
  <c r="M18" i="198"/>
  <c r="K18" i="198"/>
  <c r="J18" i="198"/>
  <c r="I18" i="198"/>
  <c r="H18" i="198"/>
  <c r="G18" i="198"/>
  <c r="F18" i="198"/>
  <c r="E18" i="198"/>
  <c r="E5" i="198" s="1"/>
  <c r="T17" i="198"/>
  <c r="W17" i="198" s="1"/>
  <c r="R17" i="198"/>
  <c r="Q17" i="198"/>
  <c r="S17" i="198" s="1"/>
  <c r="Q16" i="198"/>
  <c r="Q15" i="198"/>
  <c r="T14" i="198"/>
  <c r="W14" i="198" s="1"/>
  <c r="R14" i="198"/>
  <c r="Q14" i="198"/>
  <c r="S14" i="198" s="1"/>
  <c r="Q13" i="198"/>
  <c r="Q12" i="198"/>
  <c r="Q11" i="198"/>
  <c r="P11" i="198"/>
  <c r="O11" i="198"/>
  <c r="N11" i="198"/>
  <c r="M11" i="198"/>
  <c r="K11" i="198"/>
  <c r="J11" i="198"/>
  <c r="I11" i="198"/>
  <c r="H11" i="198"/>
  <c r="G11" i="198"/>
  <c r="F11" i="198"/>
  <c r="E11" i="198"/>
  <c r="Q10" i="198"/>
  <c r="R9" i="198"/>
  <c r="Q9" i="198"/>
  <c r="D9" i="198"/>
  <c r="T9" i="198" s="1"/>
  <c r="W9" i="198" s="1"/>
  <c r="Q8" i="198"/>
  <c r="P7" i="198"/>
  <c r="O7" i="198"/>
  <c r="N7" i="198"/>
  <c r="M7" i="198"/>
  <c r="K7" i="198"/>
  <c r="J7" i="198"/>
  <c r="I7" i="198"/>
  <c r="H7" i="198"/>
  <c r="G7" i="198"/>
  <c r="F7" i="198"/>
  <c r="E7" i="198"/>
  <c r="P6" i="198"/>
  <c r="O6" i="198"/>
  <c r="N6" i="198"/>
  <c r="M6" i="198"/>
  <c r="K6" i="198"/>
  <c r="J6" i="198"/>
  <c r="I6" i="198"/>
  <c r="H6" i="198"/>
  <c r="G6" i="198"/>
  <c r="F6" i="198"/>
  <c r="E6" i="198"/>
  <c r="Q6" i="198" s="1"/>
  <c r="P5" i="198"/>
  <c r="N5" i="198"/>
  <c r="M5" i="198"/>
  <c r="K5" i="198"/>
  <c r="J5" i="198"/>
  <c r="I5" i="198"/>
  <c r="H5" i="198"/>
  <c r="G5" i="198"/>
  <c r="Q53" i="197"/>
  <c r="Q52" i="197"/>
  <c r="Q51" i="197"/>
  <c r="Q50" i="197"/>
  <c r="Q49" i="197"/>
  <c r="Q48" i="197"/>
  <c r="Q47" i="197"/>
  <c r="Q46" i="197"/>
  <c r="Q45" i="197"/>
  <c r="R45" i="197" s="1"/>
  <c r="P44" i="197"/>
  <c r="O44" i="197"/>
  <c r="N44" i="197"/>
  <c r="M44" i="197"/>
  <c r="L44" i="197"/>
  <c r="K44" i="197"/>
  <c r="J44" i="197"/>
  <c r="I44" i="197"/>
  <c r="H44" i="197"/>
  <c r="G44" i="197"/>
  <c r="F44" i="197"/>
  <c r="E44" i="197"/>
  <c r="Q43" i="197"/>
  <c r="Q42" i="197"/>
  <c r="Q41" i="197"/>
  <c r="R41" i="197" s="1"/>
  <c r="Q40" i="197"/>
  <c r="R40" i="197" s="1"/>
  <c r="Q39" i="197"/>
  <c r="Q38" i="197"/>
  <c r="Q37" i="197"/>
  <c r="Q36" i="197"/>
  <c r="R36" i="197" s="1"/>
  <c r="Q35" i="197"/>
  <c r="Q34" i="197"/>
  <c r="Q33" i="197"/>
  <c r="R33" i="197" s="1"/>
  <c r="Q32" i="197"/>
  <c r="Q31" i="197"/>
  <c r="R31" i="197" s="1"/>
  <c r="Q30" i="197"/>
  <c r="Q29" i="197"/>
  <c r="Q28" i="197"/>
  <c r="Q27" i="197"/>
  <c r="Q26" i="197"/>
  <c r="Q25" i="197"/>
  <c r="R25" i="197" s="1"/>
  <c r="Q24" i="197"/>
  <c r="Q23" i="197"/>
  <c r="R23" i="197" s="1"/>
  <c r="Q22" i="197"/>
  <c r="R22" i="197" s="1"/>
  <c r="Q21" i="197"/>
  <c r="Q20" i="197"/>
  <c r="Q19" i="197"/>
  <c r="P18" i="197"/>
  <c r="O18" i="197"/>
  <c r="N18" i="197"/>
  <c r="M18" i="197"/>
  <c r="L18" i="197"/>
  <c r="K18" i="197"/>
  <c r="J18" i="197"/>
  <c r="I18" i="197"/>
  <c r="H18" i="197"/>
  <c r="G18" i="197"/>
  <c r="F18" i="197"/>
  <c r="E18" i="197"/>
  <c r="Q17" i="197"/>
  <c r="Q16" i="197"/>
  <c r="R16" i="197" s="1"/>
  <c r="Q15" i="197"/>
  <c r="R15" i="197" s="1"/>
  <c r="Q14" i="197"/>
  <c r="Q13" i="197"/>
  <c r="Q12" i="197"/>
  <c r="R12" i="197" s="1"/>
  <c r="P11" i="197"/>
  <c r="O11" i="197"/>
  <c r="N11" i="197"/>
  <c r="M11" i="197"/>
  <c r="L11" i="197"/>
  <c r="K11" i="197"/>
  <c r="J11" i="197"/>
  <c r="I11" i="197"/>
  <c r="H11" i="197"/>
  <c r="G11" i="197"/>
  <c r="F11" i="197"/>
  <c r="E11" i="197"/>
  <c r="Q10" i="197"/>
  <c r="R9" i="197"/>
  <c r="Q9" i="197"/>
  <c r="D9" i="197"/>
  <c r="T9" i="197" s="1"/>
  <c r="W9" i="197" s="1"/>
  <c r="Q8" i="197"/>
  <c r="P7" i="197"/>
  <c r="O7" i="197"/>
  <c r="N7" i="197"/>
  <c r="M7" i="197"/>
  <c r="L7" i="197"/>
  <c r="L6" i="197" s="1"/>
  <c r="K7" i="197"/>
  <c r="J7" i="197"/>
  <c r="J6" i="197" s="1"/>
  <c r="J5" i="197" s="1"/>
  <c r="I7" i="197"/>
  <c r="H7" i="197"/>
  <c r="H6" i="197" s="1"/>
  <c r="G7" i="197"/>
  <c r="F7" i="197"/>
  <c r="F6" i="197" s="1"/>
  <c r="E7" i="197"/>
  <c r="P6" i="197"/>
  <c r="P5" i="197" s="1"/>
  <c r="O6" i="197"/>
  <c r="N6" i="197"/>
  <c r="K6" i="197"/>
  <c r="K5" i="197" s="1"/>
  <c r="I6" i="197"/>
  <c r="I5" i="197" s="1"/>
  <c r="G6" i="197"/>
  <c r="G5" i="197" s="1"/>
  <c r="E6" i="197"/>
  <c r="Q54" i="196"/>
  <c r="Q53" i="196"/>
  <c r="Q52" i="196"/>
  <c r="Q51" i="196"/>
  <c r="Q50" i="196"/>
  <c r="R50" i="196" s="1"/>
  <c r="Q49" i="196"/>
  <c r="R49" i="196" s="1"/>
  <c r="Q48" i="196"/>
  <c r="Q47" i="196"/>
  <c r="Q46" i="196"/>
  <c r="P45" i="196"/>
  <c r="O45" i="196"/>
  <c r="N45" i="196"/>
  <c r="M45" i="196"/>
  <c r="L45" i="196"/>
  <c r="K45" i="196"/>
  <c r="J45" i="196"/>
  <c r="I45" i="196"/>
  <c r="H45" i="196"/>
  <c r="G45" i="196"/>
  <c r="F45" i="196"/>
  <c r="E45" i="196"/>
  <c r="Q44" i="196"/>
  <c r="Q43" i="196"/>
  <c r="Q42" i="196"/>
  <c r="Q41" i="196"/>
  <c r="R41" i="196" s="1"/>
  <c r="Q40" i="196"/>
  <c r="Q39" i="196"/>
  <c r="R39" i="196" s="1"/>
  <c r="Q38" i="196"/>
  <c r="Q37" i="196"/>
  <c r="Q36" i="196"/>
  <c r="R35" i="196"/>
  <c r="Q35" i="196"/>
  <c r="Q34" i="196"/>
  <c r="Q33" i="196"/>
  <c r="R33" i="196" s="1"/>
  <c r="Q32" i="196"/>
  <c r="Q31" i="196"/>
  <c r="Q30" i="196"/>
  <c r="Q29" i="196"/>
  <c r="R29" i="196" s="1"/>
  <c r="Q28" i="196"/>
  <c r="Q27" i="196"/>
  <c r="R27" i="196" s="1"/>
  <c r="Q26" i="196"/>
  <c r="Q25" i="196"/>
  <c r="Q24" i="196"/>
  <c r="Q23" i="196"/>
  <c r="R23" i="196" s="1"/>
  <c r="Q22" i="196"/>
  <c r="Q21" i="196"/>
  <c r="Q20" i="196"/>
  <c r="P19" i="196"/>
  <c r="O19" i="196"/>
  <c r="N19" i="196"/>
  <c r="M19" i="196"/>
  <c r="L19" i="196"/>
  <c r="K19" i="196"/>
  <c r="J19" i="196"/>
  <c r="I19" i="196"/>
  <c r="H19" i="196"/>
  <c r="G19" i="196"/>
  <c r="F19" i="196"/>
  <c r="E19" i="196"/>
  <c r="Q18" i="196"/>
  <c r="Q17" i="199" s="1"/>
  <c r="Q17" i="196"/>
  <c r="R17" i="196" s="1"/>
  <c r="Q16" i="196"/>
  <c r="Q15" i="196"/>
  <c r="Q14" i="199" s="1"/>
  <c r="Q14" i="196"/>
  <c r="Q13" i="196"/>
  <c r="Q12" i="199" s="1"/>
  <c r="P12" i="196"/>
  <c r="O12" i="196"/>
  <c r="N12" i="196"/>
  <c r="M12" i="196"/>
  <c r="L12" i="196"/>
  <c r="L7" i="196" s="1"/>
  <c r="L6" i="196" s="1"/>
  <c r="K12" i="196"/>
  <c r="K7" i="196" s="1"/>
  <c r="K6" i="196" s="1"/>
  <c r="J12" i="196"/>
  <c r="I12" i="196"/>
  <c r="H12" i="196"/>
  <c r="G12" i="196"/>
  <c r="F12" i="196"/>
  <c r="E12" i="196"/>
  <c r="Q11" i="196"/>
  <c r="Q10" i="196"/>
  <c r="D10" i="196"/>
  <c r="Q9" i="196"/>
  <c r="P8" i="196"/>
  <c r="O8" i="196"/>
  <c r="N8" i="196"/>
  <c r="M8" i="196"/>
  <c r="L8" i="196"/>
  <c r="K8" i="196"/>
  <c r="J8" i="196"/>
  <c r="I8" i="196"/>
  <c r="H8" i="196"/>
  <c r="G8" i="196"/>
  <c r="F8" i="196"/>
  <c r="E8" i="196"/>
  <c r="Q8" i="196" s="1"/>
  <c r="P7" i="196"/>
  <c r="P6" i="196" s="1"/>
  <c r="O7" i="196"/>
  <c r="N7" i="196"/>
  <c r="N6" i="196" s="1"/>
  <c r="M7" i="196"/>
  <c r="J7" i="196"/>
  <c r="I7" i="196"/>
  <c r="H7" i="196"/>
  <c r="H6" i="196" s="1"/>
  <c r="G7" i="196"/>
  <c r="G6" i="196" s="1"/>
  <c r="F7" i="196"/>
  <c r="F6" i="196" s="1"/>
  <c r="E7" i="196"/>
  <c r="E6" i="196" s="1"/>
  <c r="M6" i="196"/>
  <c r="I6" i="196"/>
  <c r="V10" i="195"/>
  <c r="U10" i="195"/>
  <c r="W9" i="195"/>
  <c r="W8" i="195"/>
  <c r="W7" i="195"/>
  <c r="W6" i="195"/>
  <c r="W5" i="195"/>
  <c r="W4" i="195"/>
  <c r="S10" i="195"/>
  <c r="R10" i="195"/>
  <c r="P10" i="195"/>
  <c r="O10" i="195"/>
  <c r="M10" i="195"/>
  <c r="L10" i="195"/>
  <c r="J10" i="195"/>
  <c r="I10" i="195"/>
  <c r="G10" i="195"/>
  <c r="F10" i="195"/>
  <c r="D10" i="195"/>
  <c r="C10" i="195"/>
  <c r="T9" i="195"/>
  <c r="Q9" i="195"/>
  <c r="N9" i="195"/>
  <c r="K9" i="195"/>
  <c r="H9" i="195"/>
  <c r="E9" i="195"/>
  <c r="T8" i="195"/>
  <c r="Q8" i="195"/>
  <c r="N8" i="195"/>
  <c r="K8" i="195"/>
  <c r="H8" i="195"/>
  <c r="E8" i="195"/>
  <c r="T7" i="195"/>
  <c r="Q7" i="195"/>
  <c r="N7" i="195"/>
  <c r="K7" i="195"/>
  <c r="H7" i="195"/>
  <c r="E7" i="195"/>
  <c r="T6" i="195"/>
  <c r="Q6" i="195"/>
  <c r="N6" i="195"/>
  <c r="K6" i="195"/>
  <c r="H6" i="195"/>
  <c r="E6" i="195"/>
  <c r="T5" i="195"/>
  <c r="Q5" i="195"/>
  <c r="N5" i="195"/>
  <c r="K5" i="195"/>
  <c r="H5" i="195"/>
  <c r="E5" i="195"/>
  <c r="T4" i="195"/>
  <c r="Q4" i="195"/>
  <c r="Q10" i="195" s="1"/>
  <c r="N4" i="195"/>
  <c r="K4" i="195"/>
  <c r="K10" i="195" s="1"/>
  <c r="H4" i="195"/>
  <c r="E4" i="195"/>
  <c r="Q7" i="197" l="1"/>
  <c r="F5" i="197"/>
  <c r="M6" i="197"/>
  <c r="L5" i="197"/>
  <c r="Q13" i="199"/>
  <c r="Q15" i="199"/>
  <c r="R49" i="197"/>
  <c r="R51" i="197"/>
  <c r="T38" i="198"/>
  <c r="J6" i="196"/>
  <c r="T9" i="196"/>
  <c r="I5" i="200"/>
  <c r="Q37" i="199"/>
  <c r="Q22" i="199"/>
  <c r="Q20" i="199"/>
  <c r="Q19" i="199"/>
  <c r="P6" i="199"/>
  <c r="P5" i="199" s="1"/>
  <c r="O5" i="200"/>
  <c r="O5" i="197"/>
  <c r="R28" i="198"/>
  <c r="O5" i="198"/>
  <c r="O6" i="196"/>
  <c r="O18" i="199"/>
  <c r="O6" i="199"/>
  <c r="Q44" i="200"/>
  <c r="N5" i="197"/>
  <c r="N6" i="199"/>
  <c r="N5" i="199" s="1"/>
  <c r="L6" i="199"/>
  <c r="L5" i="199" s="1"/>
  <c r="K6" i="199"/>
  <c r="K5" i="199" s="1"/>
  <c r="W10" i="195"/>
  <c r="T10" i="195"/>
  <c r="N10" i="195"/>
  <c r="X9" i="195"/>
  <c r="X8" i="195"/>
  <c r="X7" i="195"/>
  <c r="X6" i="195"/>
  <c r="X5" i="195"/>
  <c r="H10" i="195"/>
  <c r="E10" i="195"/>
  <c r="X4" i="195"/>
  <c r="H18" i="199"/>
  <c r="H5" i="197"/>
  <c r="R38" i="198"/>
  <c r="R40" i="198"/>
  <c r="H6" i="199"/>
  <c r="H5" i="199" s="1"/>
  <c r="Q6" i="200"/>
  <c r="Q7" i="200"/>
  <c r="M5" i="197"/>
  <c r="S15" i="197"/>
  <c r="T15" i="197"/>
  <c r="S16" i="197"/>
  <c r="T16" i="197"/>
  <c r="W16" i="197" s="1"/>
  <c r="T13" i="197"/>
  <c r="W13" i="197" s="1"/>
  <c r="S12" i="197"/>
  <c r="T12" i="197"/>
  <c r="R13" i="197"/>
  <c r="S13" i="197" s="1"/>
  <c r="M6" i="199"/>
  <c r="M5" i="199" s="1"/>
  <c r="E5" i="197"/>
  <c r="Q44" i="197"/>
  <c r="G6" i="199"/>
  <c r="G5" i="199" s="1"/>
  <c r="R34" i="198"/>
  <c r="R32" i="198"/>
  <c r="R26" i="198"/>
  <c r="R22" i="198"/>
  <c r="F5" i="198"/>
  <c r="R52" i="198"/>
  <c r="R48" i="198"/>
  <c r="S48" i="198" s="1"/>
  <c r="Q16" i="199"/>
  <c r="S21" i="200"/>
  <c r="T21" i="200"/>
  <c r="W21" i="200" s="1"/>
  <c r="S27" i="200"/>
  <c r="T27" i="200"/>
  <c r="W27" i="200" s="1"/>
  <c r="S24" i="200"/>
  <c r="T24" i="200"/>
  <c r="W24" i="200" s="1"/>
  <c r="S30" i="200"/>
  <c r="S16" i="200"/>
  <c r="T16" i="200"/>
  <c r="W16" i="200" s="1"/>
  <c r="S15" i="200"/>
  <c r="T15" i="200"/>
  <c r="T9" i="200"/>
  <c r="W9" i="200" s="1"/>
  <c r="R9" i="200"/>
  <c r="S9" i="200" s="1"/>
  <c r="R8" i="200"/>
  <c r="T8" i="200"/>
  <c r="R10" i="200"/>
  <c r="T10" i="200"/>
  <c r="Q11" i="200"/>
  <c r="R12" i="200"/>
  <c r="T12" i="200"/>
  <c r="R13" i="200"/>
  <c r="S13" i="200" s="1"/>
  <c r="T13" i="200"/>
  <c r="W13" i="200" s="1"/>
  <c r="T14" i="200"/>
  <c r="W14" i="200" s="1"/>
  <c r="R14" i="200"/>
  <c r="S14" i="200" s="1"/>
  <c r="Q5" i="200"/>
  <c r="T30" i="200"/>
  <c r="W30" i="200" s="1"/>
  <c r="R33" i="200"/>
  <c r="S33" i="200" s="1"/>
  <c r="T33" i="200"/>
  <c r="W33" i="200" s="1"/>
  <c r="R36" i="200"/>
  <c r="S36" i="200" s="1"/>
  <c r="T36" i="200"/>
  <c r="W36" i="200" s="1"/>
  <c r="R39" i="200"/>
  <c r="S39" i="200" s="1"/>
  <c r="T39" i="200"/>
  <c r="W39" i="200" s="1"/>
  <c r="R42" i="200"/>
  <c r="S42" i="200" s="1"/>
  <c r="T42" i="200"/>
  <c r="W42" i="200" s="1"/>
  <c r="R45" i="200"/>
  <c r="S45" i="200" s="1"/>
  <c r="T45" i="200"/>
  <c r="R46" i="200"/>
  <c r="S46" i="200" s="1"/>
  <c r="T46" i="200"/>
  <c r="W46" i="200" s="1"/>
  <c r="R48" i="200"/>
  <c r="S48" i="200" s="1"/>
  <c r="T48" i="200"/>
  <c r="R49" i="200"/>
  <c r="S49" i="200" s="1"/>
  <c r="T49" i="200"/>
  <c r="W49" i="200" s="1"/>
  <c r="R51" i="200"/>
  <c r="S51" i="200" s="1"/>
  <c r="T51" i="200"/>
  <c r="R52" i="200"/>
  <c r="S52" i="200" s="1"/>
  <c r="T52" i="200"/>
  <c r="W52" i="200" s="1"/>
  <c r="R54" i="200"/>
  <c r="S54" i="200" s="1"/>
  <c r="T54" i="200"/>
  <c r="R55" i="200"/>
  <c r="R17" i="200"/>
  <c r="S17" i="200" s="1"/>
  <c r="Q18" i="200"/>
  <c r="R19" i="200"/>
  <c r="R20" i="200"/>
  <c r="S20" i="200" s="1"/>
  <c r="R22" i="200"/>
  <c r="S22" i="200" s="1"/>
  <c r="R23" i="200"/>
  <c r="S23" i="200" s="1"/>
  <c r="R25" i="200"/>
  <c r="S25" i="200" s="1"/>
  <c r="R26" i="200"/>
  <c r="S26" i="200" s="1"/>
  <c r="R28" i="200"/>
  <c r="S28" i="200" s="1"/>
  <c r="R29" i="200"/>
  <c r="S29" i="200" s="1"/>
  <c r="R31" i="200"/>
  <c r="S31" i="200" s="1"/>
  <c r="R32" i="200"/>
  <c r="S32" i="200" s="1"/>
  <c r="R34" i="200"/>
  <c r="S34" i="200" s="1"/>
  <c r="R35" i="200"/>
  <c r="S35" i="200" s="1"/>
  <c r="R37" i="200"/>
  <c r="S37" i="200" s="1"/>
  <c r="R38" i="200"/>
  <c r="S38" i="200" s="1"/>
  <c r="R40" i="200"/>
  <c r="S40" i="200" s="1"/>
  <c r="R41" i="200"/>
  <c r="S41" i="200" s="1"/>
  <c r="R43" i="200"/>
  <c r="S43" i="200" s="1"/>
  <c r="R47" i="200"/>
  <c r="S47" i="200" s="1"/>
  <c r="R50" i="200"/>
  <c r="S50" i="200" s="1"/>
  <c r="R53" i="200"/>
  <c r="S53" i="200" s="1"/>
  <c r="I5" i="199"/>
  <c r="Q7" i="199"/>
  <c r="E6" i="199"/>
  <c r="T10" i="199"/>
  <c r="R10" i="199"/>
  <c r="T12" i="199"/>
  <c r="R12" i="199"/>
  <c r="Q11" i="199"/>
  <c r="T13" i="199"/>
  <c r="R13" i="199"/>
  <c r="T14" i="199"/>
  <c r="R14" i="199"/>
  <c r="T15" i="199"/>
  <c r="R15" i="199"/>
  <c r="T16" i="199"/>
  <c r="R16" i="199"/>
  <c r="T17" i="199"/>
  <c r="R17" i="199"/>
  <c r="T8" i="199"/>
  <c r="R8" i="199"/>
  <c r="Q9" i="199"/>
  <c r="T19" i="199"/>
  <c r="R19" i="199"/>
  <c r="Q18" i="199"/>
  <c r="T20" i="199"/>
  <c r="R20" i="199"/>
  <c r="T21" i="199"/>
  <c r="R21" i="199"/>
  <c r="T22" i="199"/>
  <c r="R22" i="199"/>
  <c r="T23" i="199"/>
  <c r="R23" i="199"/>
  <c r="T24" i="199"/>
  <c r="R24" i="199"/>
  <c r="T25" i="199"/>
  <c r="R25" i="199"/>
  <c r="T26" i="199"/>
  <c r="R26" i="199"/>
  <c r="T27" i="199"/>
  <c r="R27" i="199"/>
  <c r="T28" i="199"/>
  <c r="R28" i="199"/>
  <c r="T29" i="199"/>
  <c r="R29" i="199"/>
  <c r="T30" i="199"/>
  <c r="R30" i="199"/>
  <c r="T31" i="199"/>
  <c r="R31" i="199"/>
  <c r="T32" i="199"/>
  <c r="R32" i="199"/>
  <c r="T33" i="199"/>
  <c r="R33" i="199"/>
  <c r="T34" i="199"/>
  <c r="R34" i="199"/>
  <c r="T35" i="199"/>
  <c r="R35" i="199"/>
  <c r="T36" i="199"/>
  <c r="R36" i="199"/>
  <c r="T37" i="199"/>
  <c r="R37" i="199"/>
  <c r="T38" i="199"/>
  <c r="R38" i="199"/>
  <c r="T39" i="199"/>
  <c r="R39" i="199"/>
  <c r="T40" i="199"/>
  <c r="R40" i="199"/>
  <c r="T41" i="199"/>
  <c r="R41" i="199"/>
  <c r="T42" i="199"/>
  <c r="R42" i="199"/>
  <c r="T43" i="199"/>
  <c r="R43" i="199"/>
  <c r="T45" i="199"/>
  <c r="R45" i="199"/>
  <c r="Q44" i="199"/>
  <c r="S45" i="199"/>
  <c r="T46" i="199"/>
  <c r="R46" i="199"/>
  <c r="T47" i="199"/>
  <c r="R47" i="199"/>
  <c r="T48" i="199"/>
  <c r="R48" i="199"/>
  <c r="T49" i="199"/>
  <c r="R49" i="199"/>
  <c r="T50" i="199"/>
  <c r="R50" i="199"/>
  <c r="T51" i="199"/>
  <c r="R51" i="199"/>
  <c r="T52" i="199"/>
  <c r="R52" i="199"/>
  <c r="T53" i="199"/>
  <c r="R53" i="199"/>
  <c r="Q44" i="198"/>
  <c r="S45" i="198"/>
  <c r="T45" i="198"/>
  <c r="S49" i="198"/>
  <c r="T49" i="198"/>
  <c r="W49" i="198" s="1"/>
  <c r="S51" i="198"/>
  <c r="T51" i="198"/>
  <c r="T23" i="198"/>
  <c r="W23" i="198" s="1"/>
  <c r="T25" i="198"/>
  <c r="T29" i="198"/>
  <c r="W29" i="198" s="1"/>
  <c r="T31" i="198"/>
  <c r="T35" i="198"/>
  <c r="T37" i="198"/>
  <c r="T41" i="198"/>
  <c r="W41" i="198" s="1"/>
  <c r="T43" i="198"/>
  <c r="R23" i="198"/>
  <c r="S23" i="198" s="1"/>
  <c r="R25" i="198"/>
  <c r="S25" i="198" s="1"/>
  <c r="R29" i="198"/>
  <c r="S29" i="198" s="1"/>
  <c r="R31" i="198"/>
  <c r="S31" i="198" s="1"/>
  <c r="R35" i="198"/>
  <c r="R37" i="198"/>
  <c r="S37" i="198" s="1"/>
  <c r="R41" i="198"/>
  <c r="S41" i="198" s="1"/>
  <c r="R43" i="198"/>
  <c r="S43" i="198" s="1"/>
  <c r="Q7" i="198"/>
  <c r="S9" i="198"/>
  <c r="T19" i="198"/>
  <c r="R19" i="198"/>
  <c r="S19" i="198" s="1"/>
  <c r="Q18" i="198"/>
  <c r="T20" i="198"/>
  <c r="W20" i="198" s="1"/>
  <c r="R20" i="198"/>
  <c r="S20" i="198" s="1"/>
  <c r="T21" i="198"/>
  <c r="W21" i="198" s="1"/>
  <c r="R21" i="198"/>
  <c r="S21" i="198" s="1"/>
  <c r="T27" i="198"/>
  <c r="W27" i="198" s="1"/>
  <c r="R27" i="198"/>
  <c r="S27" i="198" s="1"/>
  <c r="T33" i="198"/>
  <c r="W33" i="198" s="1"/>
  <c r="R33" i="198"/>
  <c r="S33" i="198" s="1"/>
  <c r="T39" i="198"/>
  <c r="R39" i="198"/>
  <c r="S46" i="198"/>
  <c r="T50" i="198"/>
  <c r="W50" i="198" s="1"/>
  <c r="R50" i="198"/>
  <c r="S50" i="198" s="1"/>
  <c r="S52" i="198"/>
  <c r="T8" i="198"/>
  <c r="R8" i="198"/>
  <c r="T10" i="198"/>
  <c r="W10" i="198" s="1"/>
  <c r="W7" i="198" s="1"/>
  <c r="R10" i="198"/>
  <c r="S10" i="198" s="1"/>
  <c r="T12" i="198"/>
  <c r="R12" i="198"/>
  <c r="T13" i="198"/>
  <c r="W13" i="198" s="1"/>
  <c r="R13" i="198"/>
  <c r="S13" i="198" s="1"/>
  <c r="T15" i="198"/>
  <c r="R15" i="198"/>
  <c r="S15" i="198" s="1"/>
  <c r="T16" i="198"/>
  <c r="W16" i="198" s="1"/>
  <c r="R16" i="198"/>
  <c r="S16" i="198" s="1"/>
  <c r="S22" i="198"/>
  <c r="T24" i="198"/>
  <c r="W24" i="198" s="1"/>
  <c r="R24" i="198"/>
  <c r="S24" i="198" s="1"/>
  <c r="S26" i="198"/>
  <c r="S28" i="198"/>
  <c r="T30" i="198"/>
  <c r="W30" i="198" s="1"/>
  <c r="R30" i="198"/>
  <c r="S30" i="198" s="1"/>
  <c r="S32" i="198"/>
  <c r="S34" i="198"/>
  <c r="T36" i="198"/>
  <c r="R36" i="198"/>
  <c r="S38" i="198"/>
  <c r="S40" i="198"/>
  <c r="T42" i="198"/>
  <c r="W42" i="198" s="1"/>
  <c r="R42" i="198"/>
  <c r="S42" i="198" s="1"/>
  <c r="T47" i="198"/>
  <c r="W47" i="198" s="1"/>
  <c r="R47" i="198"/>
  <c r="T53" i="198"/>
  <c r="W53" i="198" s="1"/>
  <c r="R53" i="198"/>
  <c r="S53" i="198" s="1"/>
  <c r="T46" i="197"/>
  <c r="W46" i="197" s="1"/>
  <c r="T48" i="197"/>
  <c r="T52" i="197"/>
  <c r="S45" i="197"/>
  <c r="T45" i="197"/>
  <c r="R46" i="197"/>
  <c r="S46" i="197" s="1"/>
  <c r="R48" i="197"/>
  <c r="S48" i="197" s="1"/>
  <c r="S49" i="197"/>
  <c r="T49" i="197"/>
  <c r="S51" i="197"/>
  <c r="T51" i="197"/>
  <c r="R52" i="197"/>
  <c r="Q5" i="197"/>
  <c r="S22" i="197"/>
  <c r="T22" i="197"/>
  <c r="S36" i="197"/>
  <c r="T36" i="197"/>
  <c r="W36" i="197" s="1"/>
  <c r="S40" i="197"/>
  <c r="T40" i="197"/>
  <c r="S23" i="197"/>
  <c r="T23" i="197"/>
  <c r="W23" i="197" s="1"/>
  <c r="S25" i="197"/>
  <c r="T25" i="197"/>
  <c r="S31" i="197"/>
  <c r="T31" i="197"/>
  <c r="S33" i="197"/>
  <c r="T33" i="197"/>
  <c r="W33" i="197" s="1"/>
  <c r="S41" i="197"/>
  <c r="T41" i="197"/>
  <c r="W41" i="197" s="1"/>
  <c r="Q6" i="197"/>
  <c r="T8" i="197"/>
  <c r="R8" i="197"/>
  <c r="T10" i="197"/>
  <c r="W10" i="197" s="1"/>
  <c r="R10" i="197"/>
  <c r="S8" i="197"/>
  <c r="S9" i="197"/>
  <c r="S10" i="197"/>
  <c r="Q11" i="197"/>
  <c r="R14" i="197"/>
  <c r="T14" i="197"/>
  <c r="R17" i="197"/>
  <c r="S17" i="197" s="1"/>
  <c r="T17" i="197"/>
  <c r="W17" i="197" s="1"/>
  <c r="Q18" i="197"/>
  <c r="R19" i="197"/>
  <c r="T19" i="197"/>
  <c r="R20" i="197"/>
  <c r="S20" i="197" s="1"/>
  <c r="T20" i="197"/>
  <c r="W20" i="197" s="1"/>
  <c r="R21" i="197"/>
  <c r="S21" i="197" s="1"/>
  <c r="T21" i="197"/>
  <c r="W21" i="197" s="1"/>
  <c r="R24" i="197"/>
  <c r="S24" i="197" s="1"/>
  <c r="T24" i="197"/>
  <c r="W24" i="197" s="1"/>
  <c r="R26" i="197"/>
  <c r="S26" i="197" s="1"/>
  <c r="T26" i="197"/>
  <c r="W26" i="197" s="1"/>
  <c r="R27" i="197"/>
  <c r="S27" i="197" s="1"/>
  <c r="T27" i="197"/>
  <c r="W27" i="197" s="1"/>
  <c r="R28" i="197"/>
  <c r="S28" i="197" s="1"/>
  <c r="T28" i="197"/>
  <c r="R29" i="197"/>
  <c r="S29" i="197" s="1"/>
  <c r="T29" i="197"/>
  <c r="W29" i="197" s="1"/>
  <c r="R30" i="197"/>
  <c r="S30" i="197" s="1"/>
  <c r="T30" i="197"/>
  <c r="W30" i="197" s="1"/>
  <c r="R32" i="197"/>
  <c r="S32" i="197" s="1"/>
  <c r="T32" i="197"/>
  <c r="W32" i="197" s="1"/>
  <c r="R34" i="197"/>
  <c r="S34" i="197" s="1"/>
  <c r="T34" i="197"/>
  <c r="R35" i="197"/>
  <c r="S35" i="197" s="1"/>
  <c r="T35" i="197"/>
  <c r="W35" i="197" s="1"/>
  <c r="R37" i="197"/>
  <c r="S37" i="197" s="1"/>
  <c r="T37" i="197"/>
  <c r="R38" i="197"/>
  <c r="S38" i="197" s="1"/>
  <c r="T38" i="197"/>
  <c r="W38" i="197" s="1"/>
  <c r="R39" i="197"/>
  <c r="S39" i="197" s="1"/>
  <c r="T39" i="197"/>
  <c r="W39" i="197" s="1"/>
  <c r="R42" i="197"/>
  <c r="S42" i="197" s="1"/>
  <c r="T42" i="197"/>
  <c r="W42" i="197" s="1"/>
  <c r="R43" i="197"/>
  <c r="S43" i="197" s="1"/>
  <c r="T43" i="197"/>
  <c r="R47" i="197"/>
  <c r="T47" i="197"/>
  <c r="W47" i="197" s="1"/>
  <c r="R50" i="197"/>
  <c r="T50" i="197"/>
  <c r="R53" i="197"/>
  <c r="T53" i="197"/>
  <c r="S49" i="196"/>
  <c r="T49" i="196"/>
  <c r="S50" i="196"/>
  <c r="T50" i="196"/>
  <c r="W50" i="196" s="1"/>
  <c r="T24" i="196"/>
  <c r="W24" i="196" s="1"/>
  <c r="T26" i="196"/>
  <c r="T30" i="196"/>
  <c r="W30" i="196" s="1"/>
  <c r="T32" i="196"/>
  <c r="T36" i="196"/>
  <c r="W36" i="196" s="1"/>
  <c r="T38" i="196"/>
  <c r="T42" i="196"/>
  <c r="W42" i="196" s="1"/>
  <c r="T44" i="196"/>
  <c r="S23" i="196"/>
  <c r="T23" i="196"/>
  <c r="R24" i="196"/>
  <c r="S24" i="196" s="1"/>
  <c r="R26" i="196"/>
  <c r="S26" i="196" s="1"/>
  <c r="S27" i="196"/>
  <c r="T27" i="196"/>
  <c r="W27" i="196" s="1"/>
  <c r="S29" i="196"/>
  <c r="T29" i="196"/>
  <c r="R30" i="196"/>
  <c r="S30" i="196" s="1"/>
  <c r="R32" i="196"/>
  <c r="S32" i="196" s="1"/>
  <c r="S33" i="196"/>
  <c r="T33" i="196"/>
  <c r="W33" i="196" s="1"/>
  <c r="S35" i="196"/>
  <c r="T35" i="196"/>
  <c r="R36" i="196"/>
  <c r="S36" i="196" s="1"/>
  <c r="R38" i="196"/>
  <c r="S38" i="196" s="1"/>
  <c r="S39" i="196"/>
  <c r="T39" i="196"/>
  <c r="W39" i="196" s="1"/>
  <c r="S41" i="196"/>
  <c r="T41" i="196"/>
  <c r="R42" i="196"/>
  <c r="S42" i="196" s="1"/>
  <c r="R44" i="196"/>
  <c r="S44" i="196" s="1"/>
  <c r="T14" i="196"/>
  <c r="W14" i="196" s="1"/>
  <c r="T16" i="196"/>
  <c r="R14" i="196"/>
  <c r="S14" i="196" s="1"/>
  <c r="R16" i="196"/>
  <c r="S16" i="196" s="1"/>
  <c r="S17" i="196"/>
  <c r="T17" i="196"/>
  <c r="W17" i="196" s="1"/>
  <c r="R9" i="196"/>
  <c r="T11" i="196"/>
  <c r="W11" i="196" s="1"/>
  <c r="Q7" i="196"/>
  <c r="R11" i="196"/>
  <c r="S11" i="196" s="1"/>
  <c r="Q6" i="196"/>
  <c r="S9" i="196"/>
  <c r="T13" i="196"/>
  <c r="R13" i="196"/>
  <c r="Q12" i="196"/>
  <c r="S13" i="196"/>
  <c r="T51" i="196"/>
  <c r="W51" i="196" s="1"/>
  <c r="R51" i="196"/>
  <c r="S51" i="196" s="1"/>
  <c r="R10" i="196"/>
  <c r="T10" i="196"/>
  <c r="R15" i="196"/>
  <c r="S15" i="196" s="1"/>
  <c r="T15" i="196"/>
  <c r="W15" i="196" s="1"/>
  <c r="R18" i="196"/>
  <c r="S18" i="196" s="1"/>
  <c r="T18" i="196"/>
  <c r="W18" i="196" s="1"/>
  <c r="Q19" i="196"/>
  <c r="R20" i="196"/>
  <c r="T20" i="196"/>
  <c r="R21" i="196"/>
  <c r="S21" i="196" s="1"/>
  <c r="T21" i="196"/>
  <c r="W21" i="196" s="1"/>
  <c r="R22" i="196"/>
  <c r="S22" i="196" s="1"/>
  <c r="T22" i="196"/>
  <c r="W22" i="196" s="1"/>
  <c r="R25" i="196"/>
  <c r="S25" i="196" s="1"/>
  <c r="T25" i="196"/>
  <c r="W25" i="196" s="1"/>
  <c r="R28" i="196"/>
  <c r="S28" i="196" s="1"/>
  <c r="T28" i="196"/>
  <c r="W28" i="196" s="1"/>
  <c r="R31" i="196"/>
  <c r="S31" i="196" s="1"/>
  <c r="T31" i="196"/>
  <c r="W31" i="196" s="1"/>
  <c r="R34" i="196"/>
  <c r="S34" i="196" s="1"/>
  <c r="T34" i="196"/>
  <c r="W34" i="196" s="1"/>
  <c r="R37" i="196"/>
  <c r="S37" i="196" s="1"/>
  <c r="T37" i="196"/>
  <c r="W37" i="196" s="1"/>
  <c r="R40" i="196"/>
  <c r="S40" i="196" s="1"/>
  <c r="T40" i="196"/>
  <c r="W40" i="196" s="1"/>
  <c r="R43" i="196"/>
  <c r="S43" i="196" s="1"/>
  <c r="T43" i="196"/>
  <c r="W43" i="196" s="1"/>
  <c r="Q45" i="196"/>
  <c r="R46" i="196"/>
  <c r="T46" i="196"/>
  <c r="R47" i="196"/>
  <c r="S47" i="196" s="1"/>
  <c r="T47" i="196"/>
  <c r="W47" i="196" s="1"/>
  <c r="R48" i="196"/>
  <c r="S48" i="196" s="1"/>
  <c r="T48" i="196"/>
  <c r="W48" i="196" s="1"/>
  <c r="R52" i="196"/>
  <c r="S52" i="196" s="1"/>
  <c r="T52" i="196"/>
  <c r="R53" i="196"/>
  <c r="S53" i="196" s="1"/>
  <c r="T53" i="196"/>
  <c r="W53" i="196" s="1"/>
  <c r="R54" i="196"/>
  <c r="S54" i="196" s="1"/>
  <c r="T54" i="196"/>
  <c r="W54" i="196" s="1"/>
  <c r="R44" i="98"/>
  <c r="R45" i="98"/>
  <c r="R46" i="98"/>
  <c r="R47" i="98"/>
  <c r="R48" i="98"/>
  <c r="R49" i="98"/>
  <c r="R50" i="98"/>
  <c r="R51" i="98"/>
  <c r="R52" i="98"/>
  <c r="S53" i="197" l="1"/>
  <c r="S50" i="197"/>
  <c r="S52" i="197"/>
  <c r="W53" i="197"/>
  <c r="W50" i="197"/>
  <c r="W49" i="197"/>
  <c r="W52" i="197"/>
  <c r="S36" i="198"/>
  <c r="W36" i="198"/>
  <c r="S35" i="198"/>
  <c r="W35" i="198"/>
  <c r="W39" i="198"/>
  <c r="S39" i="198"/>
  <c r="Q5" i="198"/>
  <c r="W38" i="198"/>
  <c r="R8" i="196"/>
  <c r="W10" i="196"/>
  <c r="S10" i="200"/>
  <c r="W10" i="200"/>
  <c r="S53" i="199"/>
  <c r="S52" i="199"/>
  <c r="S51" i="199"/>
  <c r="S50" i="199"/>
  <c r="S49" i="199"/>
  <c r="S48" i="199"/>
  <c r="S47" i="199"/>
  <c r="S46" i="199"/>
  <c r="S43" i="199"/>
  <c r="S42" i="199"/>
  <c r="S41" i="199"/>
  <c r="S40" i="199"/>
  <c r="S39" i="199"/>
  <c r="S38" i="199"/>
  <c r="S37" i="199"/>
  <c r="S36" i="199"/>
  <c r="S35" i="199"/>
  <c r="S34" i="199"/>
  <c r="S33" i="199"/>
  <c r="S32" i="199"/>
  <c r="S31" i="199"/>
  <c r="S30" i="199"/>
  <c r="S29" i="199"/>
  <c r="S28" i="199"/>
  <c r="S27" i="199"/>
  <c r="S26" i="199"/>
  <c r="S25" i="199"/>
  <c r="S24" i="199"/>
  <c r="S23" i="199"/>
  <c r="S22" i="199"/>
  <c r="S21" i="199"/>
  <c r="S20" i="199"/>
  <c r="S17" i="199"/>
  <c r="S16" i="199"/>
  <c r="S15" i="199"/>
  <c r="S14" i="199"/>
  <c r="S13" i="199"/>
  <c r="W10" i="199"/>
  <c r="W53" i="199"/>
  <c r="W52" i="199"/>
  <c r="W50" i="199"/>
  <c r="W49" i="199"/>
  <c r="W47" i="199"/>
  <c r="W46" i="199"/>
  <c r="W42" i="199"/>
  <c r="W41" i="199"/>
  <c r="W39" i="199"/>
  <c r="W38" i="199"/>
  <c r="W36" i="199"/>
  <c r="W35" i="199"/>
  <c r="W33" i="199"/>
  <c r="W32" i="199"/>
  <c r="W30" i="199"/>
  <c r="W29" i="199"/>
  <c r="W27" i="199"/>
  <c r="W26" i="199"/>
  <c r="W24" i="199"/>
  <c r="W23" i="199"/>
  <c r="W21" i="199"/>
  <c r="W20" i="199"/>
  <c r="W17" i="199"/>
  <c r="W16" i="199"/>
  <c r="W14" i="199"/>
  <c r="W13" i="199"/>
  <c r="S12" i="199"/>
  <c r="S10" i="199"/>
  <c r="O5" i="199"/>
  <c r="W18" i="200"/>
  <c r="W7" i="200"/>
  <c r="S44" i="200"/>
  <c r="W44" i="200"/>
  <c r="T44" i="200"/>
  <c r="T11" i="200"/>
  <c r="R7" i="200"/>
  <c r="R18" i="200"/>
  <c r="R44" i="200"/>
  <c r="S19" i="200"/>
  <c r="S18" i="200" s="1"/>
  <c r="T18" i="200"/>
  <c r="R11" i="200"/>
  <c r="T7" i="200"/>
  <c r="S12" i="200"/>
  <c r="S11" i="200" s="1"/>
  <c r="S8" i="200"/>
  <c r="S7" i="200" s="1"/>
  <c r="S44" i="199"/>
  <c r="R44" i="199"/>
  <c r="W18" i="199"/>
  <c r="T18" i="199"/>
  <c r="T9" i="199"/>
  <c r="R9" i="199"/>
  <c r="S9" i="199" s="1"/>
  <c r="S11" i="199"/>
  <c r="T11" i="199"/>
  <c r="E5" i="199"/>
  <c r="Q6" i="199"/>
  <c r="W44" i="199"/>
  <c r="T44" i="199"/>
  <c r="R18" i="199"/>
  <c r="S19" i="199"/>
  <c r="S8" i="199"/>
  <c r="R11" i="199"/>
  <c r="R44" i="198"/>
  <c r="W44" i="198"/>
  <c r="T44" i="198"/>
  <c r="R11" i="198"/>
  <c r="S12" i="198"/>
  <c r="S11" i="198" s="1"/>
  <c r="R7" i="198"/>
  <c r="R6" i="198" s="1"/>
  <c r="T18" i="198"/>
  <c r="S47" i="198"/>
  <c r="S44" i="198" s="1"/>
  <c r="S8" i="198"/>
  <c r="S7" i="198" s="1"/>
  <c r="S6" i="198" s="1"/>
  <c r="S18" i="198"/>
  <c r="T11" i="198"/>
  <c r="T7" i="198"/>
  <c r="W18" i="198"/>
  <c r="R18" i="198"/>
  <c r="W44" i="197"/>
  <c r="R44" i="197"/>
  <c r="W18" i="197"/>
  <c r="T18" i="197"/>
  <c r="R11" i="197"/>
  <c r="T44" i="197"/>
  <c r="S14" i="197"/>
  <c r="S11" i="197" s="1"/>
  <c r="S7" i="197"/>
  <c r="R7" i="197"/>
  <c r="R6" i="197" s="1"/>
  <c r="R18" i="197"/>
  <c r="W14" i="197"/>
  <c r="W7" i="197" s="1"/>
  <c r="T11" i="197"/>
  <c r="S47" i="197"/>
  <c r="S44" i="197" s="1"/>
  <c r="S19" i="197"/>
  <c r="S18" i="197" s="1"/>
  <c r="T7" i="197"/>
  <c r="R45" i="196"/>
  <c r="W19" i="196"/>
  <c r="T19" i="196"/>
  <c r="S46" i="196"/>
  <c r="S45" i="196" s="1"/>
  <c r="T12" i="196"/>
  <c r="T8" i="196"/>
  <c r="W45" i="196"/>
  <c r="T45" i="196"/>
  <c r="R19" i="196"/>
  <c r="W8" i="196"/>
  <c r="S20" i="196"/>
  <c r="S19" i="196" s="1"/>
  <c r="S12" i="196"/>
  <c r="R12" i="196"/>
  <c r="R7" i="196" s="1"/>
  <c r="R6" i="196" s="1"/>
  <c r="S10" i="196"/>
  <c r="X10" i="195"/>
  <c r="S8" i="196" l="1"/>
  <c r="S7" i="196" s="1"/>
  <c r="R7" i="199"/>
  <c r="T6" i="200"/>
  <c r="W9" i="199"/>
  <c r="Q5" i="199"/>
  <c r="S7" i="199"/>
  <c r="S18" i="199"/>
  <c r="S6" i="200"/>
  <c r="S6" i="197"/>
  <c r="W5" i="198"/>
  <c r="W6" i="196"/>
  <c r="T5" i="200"/>
  <c r="W5" i="200"/>
  <c r="R6" i="200"/>
  <c r="T7" i="199"/>
  <c r="R6" i="199"/>
  <c r="T6" i="198"/>
  <c r="T5" i="198" s="1"/>
  <c r="S5" i="198"/>
  <c r="R5" i="198"/>
  <c r="W5" i="197"/>
  <c r="S5" i="197"/>
  <c r="T6" i="197"/>
  <c r="T5" i="197" s="1"/>
  <c r="R5" i="197"/>
  <c r="S6" i="196"/>
  <c r="T7" i="196"/>
  <c r="T6" i="196" s="1"/>
  <c r="X1" i="183"/>
  <c r="V1" i="177"/>
  <c r="N1" i="192"/>
  <c r="R5" i="200" l="1"/>
  <c r="S5" i="200"/>
  <c r="W6" i="199"/>
  <c r="T6" i="199"/>
  <c r="R5" i="199"/>
  <c r="S6" i="199"/>
  <c r="O1" i="192"/>
  <c r="Y13" i="184"/>
  <c r="Y14" i="184"/>
  <c r="Y15" i="184"/>
  <c r="Y16" i="184"/>
  <c r="Y17" i="184"/>
  <c r="Y12" i="184"/>
  <c r="Z15" i="184"/>
  <c r="Z12" i="184"/>
  <c r="S5" i="199" l="1"/>
  <c r="T5" i="199"/>
  <c r="W5" i="199"/>
  <c r="H28" i="188"/>
  <c r="H27" i="188"/>
  <c r="H26" i="188"/>
  <c r="H39" i="188"/>
  <c r="H32" i="188"/>
  <c r="H43" i="188" l="1"/>
  <c r="O30" i="188" l="1"/>
  <c r="O13" i="189"/>
  <c r="O12" i="192"/>
  <c r="M21" i="190" l="1"/>
  <c r="M21" i="188"/>
  <c r="M22" i="189"/>
  <c r="M54" i="189"/>
  <c r="M51" i="189"/>
  <c r="M48" i="189"/>
  <c r="F41" i="150" l="1"/>
  <c r="Q55" i="192"/>
  <c r="Q54" i="192"/>
  <c r="R54" i="192" s="1"/>
  <c r="Q53" i="192"/>
  <c r="Q52" i="192"/>
  <c r="T52" i="192" s="1"/>
  <c r="W52" i="192" s="1"/>
  <c r="Q51" i="192"/>
  <c r="Q50" i="192"/>
  <c r="Q49" i="192"/>
  <c r="Q48" i="192"/>
  <c r="Q47" i="192"/>
  <c r="R47" i="192" s="1"/>
  <c r="Q46" i="192"/>
  <c r="Q45" i="192"/>
  <c r="T45" i="192" s="1"/>
  <c r="P44" i="192"/>
  <c r="O44" i="192"/>
  <c r="N44" i="192"/>
  <c r="M44" i="192"/>
  <c r="L44" i="192"/>
  <c r="K44" i="192"/>
  <c r="J44" i="192"/>
  <c r="I44" i="192"/>
  <c r="H44" i="192"/>
  <c r="G44" i="192"/>
  <c r="F44" i="192"/>
  <c r="E44" i="192"/>
  <c r="Q43" i="192"/>
  <c r="Q42" i="192"/>
  <c r="Q41" i="192"/>
  <c r="Q40" i="192"/>
  <c r="Q39" i="192"/>
  <c r="Q38" i="192"/>
  <c r="Q37" i="192"/>
  <c r="Q36" i="192"/>
  <c r="Q35" i="192"/>
  <c r="Q34" i="192"/>
  <c r="Q33" i="192"/>
  <c r="Q32" i="192"/>
  <c r="Q31" i="192"/>
  <c r="Q30" i="192"/>
  <c r="Q29" i="192"/>
  <c r="Q28" i="192"/>
  <c r="Q27" i="192"/>
  <c r="Q26" i="192"/>
  <c r="Q25" i="192"/>
  <c r="Q23" i="192"/>
  <c r="Q22" i="192"/>
  <c r="Q21" i="192"/>
  <c r="Q20" i="192"/>
  <c r="Q19" i="192"/>
  <c r="P18" i="192"/>
  <c r="N18" i="192"/>
  <c r="M18" i="192"/>
  <c r="L18" i="192"/>
  <c r="K18" i="192"/>
  <c r="J18" i="192"/>
  <c r="I18" i="192"/>
  <c r="H18" i="192"/>
  <c r="G18" i="192"/>
  <c r="F18" i="192"/>
  <c r="E18" i="192"/>
  <c r="Q17" i="192"/>
  <c r="R17" i="192" s="1"/>
  <c r="Q16" i="192"/>
  <c r="Q15" i="192"/>
  <c r="Q14" i="192"/>
  <c r="R14" i="192" s="1"/>
  <c r="Q13" i="192"/>
  <c r="Q12" i="192"/>
  <c r="P11" i="192"/>
  <c r="O11" i="192"/>
  <c r="N11" i="192"/>
  <c r="M11" i="192"/>
  <c r="L11" i="192"/>
  <c r="K11" i="192"/>
  <c r="J11" i="192"/>
  <c r="I11" i="192"/>
  <c r="H11" i="192"/>
  <c r="G11" i="192"/>
  <c r="F11" i="192"/>
  <c r="E11" i="192"/>
  <c r="Q10" i="192"/>
  <c r="Q9" i="192"/>
  <c r="D9" i="192"/>
  <c r="Q8" i="192"/>
  <c r="P7" i="192"/>
  <c r="P6" i="192" s="1"/>
  <c r="O7" i="192"/>
  <c r="N7" i="192"/>
  <c r="M7" i="192"/>
  <c r="M6" i="192" s="1"/>
  <c r="M5" i="192" s="1"/>
  <c r="L7" i="192"/>
  <c r="K7" i="192"/>
  <c r="I7" i="192"/>
  <c r="I6" i="192" s="1"/>
  <c r="H7" i="192"/>
  <c r="G7" i="192"/>
  <c r="G6" i="192" s="1"/>
  <c r="F7" i="192"/>
  <c r="E7" i="192"/>
  <c r="N6" i="192"/>
  <c r="N5" i="192" s="1"/>
  <c r="F45" i="191"/>
  <c r="G45" i="191"/>
  <c r="H45" i="191"/>
  <c r="I45" i="191"/>
  <c r="J45" i="191"/>
  <c r="K45" i="191"/>
  <c r="L45" i="191"/>
  <c r="M45" i="191"/>
  <c r="N45" i="191"/>
  <c r="O45" i="191"/>
  <c r="F46" i="191"/>
  <c r="G46" i="191"/>
  <c r="H46" i="191"/>
  <c r="I46" i="191"/>
  <c r="J46" i="191"/>
  <c r="K46" i="191"/>
  <c r="L46" i="191"/>
  <c r="M46" i="191"/>
  <c r="N46" i="191"/>
  <c r="O46" i="191"/>
  <c r="F47" i="191"/>
  <c r="G47" i="191"/>
  <c r="H47" i="191"/>
  <c r="I47" i="191"/>
  <c r="J47" i="191"/>
  <c r="K47" i="191"/>
  <c r="L47" i="191"/>
  <c r="M47" i="191"/>
  <c r="N47" i="191"/>
  <c r="O47" i="191"/>
  <c r="F48" i="191"/>
  <c r="G48" i="191"/>
  <c r="H48" i="191"/>
  <c r="I48" i="191"/>
  <c r="J48" i="191"/>
  <c r="K48" i="191"/>
  <c r="L48" i="191"/>
  <c r="M48" i="191"/>
  <c r="N48" i="191"/>
  <c r="O48" i="191"/>
  <c r="F49" i="191"/>
  <c r="G49" i="191"/>
  <c r="H49" i="191"/>
  <c r="I49" i="191"/>
  <c r="J49" i="191"/>
  <c r="K49" i="191"/>
  <c r="L49" i="191"/>
  <c r="M49" i="191"/>
  <c r="N49" i="191"/>
  <c r="O49" i="191"/>
  <c r="F50" i="191"/>
  <c r="G50" i="191"/>
  <c r="H50" i="191"/>
  <c r="I50" i="191"/>
  <c r="J50" i="191"/>
  <c r="K50" i="191"/>
  <c r="L50" i="191"/>
  <c r="M50" i="191"/>
  <c r="N50" i="191"/>
  <c r="O50" i="191"/>
  <c r="F51" i="191"/>
  <c r="G51" i="191"/>
  <c r="H51" i="191"/>
  <c r="I51" i="191"/>
  <c r="J51" i="191"/>
  <c r="K51" i="191"/>
  <c r="L51" i="191"/>
  <c r="M51" i="191"/>
  <c r="N51" i="191"/>
  <c r="O51" i="191"/>
  <c r="F52" i="191"/>
  <c r="G52" i="191"/>
  <c r="H52" i="191"/>
  <c r="I52" i="191"/>
  <c r="J52" i="191"/>
  <c r="K52" i="191"/>
  <c r="L52" i="191"/>
  <c r="M52" i="191"/>
  <c r="N52" i="191"/>
  <c r="O52" i="191"/>
  <c r="F53" i="191"/>
  <c r="G53" i="191"/>
  <c r="H53" i="191"/>
  <c r="I53" i="191"/>
  <c r="J53" i="191"/>
  <c r="K53" i="191"/>
  <c r="L53" i="191"/>
  <c r="M53" i="191"/>
  <c r="N53" i="191"/>
  <c r="O53" i="191"/>
  <c r="E46" i="191"/>
  <c r="E47" i="191"/>
  <c r="E48" i="191"/>
  <c r="E49" i="191"/>
  <c r="E50" i="191"/>
  <c r="E51" i="191"/>
  <c r="E52" i="191"/>
  <c r="E53" i="191"/>
  <c r="E45" i="191"/>
  <c r="F19" i="191"/>
  <c r="G19" i="191"/>
  <c r="H19" i="191"/>
  <c r="I19" i="191"/>
  <c r="J19" i="191"/>
  <c r="K19" i="191"/>
  <c r="L19" i="191"/>
  <c r="M19" i="191"/>
  <c r="N19" i="191"/>
  <c r="O19" i="191"/>
  <c r="F20" i="191"/>
  <c r="G20" i="191"/>
  <c r="H20" i="191"/>
  <c r="I20" i="191"/>
  <c r="J20" i="191"/>
  <c r="K20" i="191"/>
  <c r="L20" i="191"/>
  <c r="M20" i="191"/>
  <c r="N20" i="191"/>
  <c r="O20" i="191"/>
  <c r="F21" i="191"/>
  <c r="G21" i="191"/>
  <c r="H21" i="191"/>
  <c r="I21" i="191"/>
  <c r="J21" i="191"/>
  <c r="K21" i="191"/>
  <c r="L21" i="191"/>
  <c r="M21" i="191"/>
  <c r="N21" i="191"/>
  <c r="O21" i="191"/>
  <c r="F22" i="191"/>
  <c r="G22" i="191"/>
  <c r="H22" i="191"/>
  <c r="I22" i="191"/>
  <c r="J22" i="191"/>
  <c r="K22" i="191"/>
  <c r="L22" i="191"/>
  <c r="M22" i="191"/>
  <c r="N22" i="191"/>
  <c r="O22" i="191"/>
  <c r="F23" i="191"/>
  <c r="G23" i="191"/>
  <c r="H23" i="191"/>
  <c r="I23" i="191"/>
  <c r="J23" i="191"/>
  <c r="K23" i="191"/>
  <c r="L23" i="191"/>
  <c r="M23" i="191"/>
  <c r="N23" i="191"/>
  <c r="O23" i="191"/>
  <c r="F24" i="191"/>
  <c r="G24" i="191"/>
  <c r="H24" i="191"/>
  <c r="I24" i="191"/>
  <c r="J24" i="191"/>
  <c r="K24" i="191"/>
  <c r="L24" i="191"/>
  <c r="M24" i="191"/>
  <c r="N24" i="191"/>
  <c r="O24" i="191"/>
  <c r="F25" i="191"/>
  <c r="G25" i="191"/>
  <c r="H25" i="191"/>
  <c r="I25" i="191"/>
  <c r="J25" i="191"/>
  <c r="K25" i="191"/>
  <c r="L25" i="191"/>
  <c r="M25" i="191"/>
  <c r="N25" i="191"/>
  <c r="O25" i="191"/>
  <c r="F26" i="191"/>
  <c r="G26" i="191"/>
  <c r="H26" i="191"/>
  <c r="I26" i="191"/>
  <c r="J26" i="191"/>
  <c r="K26" i="191"/>
  <c r="L26" i="191"/>
  <c r="M26" i="191"/>
  <c r="N26" i="191"/>
  <c r="O26" i="191"/>
  <c r="F27" i="191"/>
  <c r="G27" i="191"/>
  <c r="H27" i="191"/>
  <c r="I27" i="191"/>
  <c r="J27" i="191"/>
  <c r="K27" i="191"/>
  <c r="L27" i="191"/>
  <c r="M27" i="191"/>
  <c r="N27" i="191"/>
  <c r="O27" i="191"/>
  <c r="F28" i="191"/>
  <c r="G28" i="191"/>
  <c r="H28" i="191"/>
  <c r="I28" i="191"/>
  <c r="J28" i="191"/>
  <c r="K28" i="191"/>
  <c r="L28" i="191"/>
  <c r="M28" i="191"/>
  <c r="N28" i="191"/>
  <c r="O28" i="191"/>
  <c r="F29" i="191"/>
  <c r="G29" i="191"/>
  <c r="H29" i="191"/>
  <c r="I29" i="191"/>
  <c r="J29" i="191"/>
  <c r="K29" i="191"/>
  <c r="L29" i="191"/>
  <c r="M29" i="191"/>
  <c r="N29" i="191"/>
  <c r="O29" i="191"/>
  <c r="F30" i="191"/>
  <c r="G30" i="191"/>
  <c r="H30" i="191"/>
  <c r="I30" i="191"/>
  <c r="J30" i="191"/>
  <c r="K30" i="191"/>
  <c r="L30" i="191"/>
  <c r="M30" i="191"/>
  <c r="N30" i="191"/>
  <c r="O30" i="191"/>
  <c r="F31" i="191"/>
  <c r="G31" i="191"/>
  <c r="H31" i="191"/>
  <c r="I31" i="191"/>
  <c r="J31" i="191"/>
  <c r="K31" i="191"/>
  <c r="L31" i="191"/>
  <c r="M31" i="191"/>
  <c r="N31" i="191"/>
  <c r="O31" i="191"/>
  <c r="F32" i="191"/>
  <c r="G32" i="191"/>
  <c r="H32" i="191"/>
  <c r="I32" i="191"/>
  <c r="J32" i="191"/>
  <c r="K32" i="191"/>
  <c r="L32" i="191"/>
  <c r="M32" i="191"/>
  <c r="N32" i="191"/>
  <c r="O32" i="191"/>
  <c r="F33" i="191"/>
  <c r="G33" i="191"/>
  <c r="H33" i="191"/>
  <c r="I33" i="191"/>
  <c r="J33" i="191"/>
  <c r="K33" i="191"/>
  <c r="L33" i="191"/>
  <c r="M33" i="191"/>
  <c r="N33" i="191"/>
  <c r="O33" i="191"/>
  <c r="F34" i="191"/>
  <c r="G34" i="191"/>
  <c r="H34" i="191"/>
  <c r="I34" i="191"/>
  <c r="J34" i="191"/>
  <c r="K34" i="191"/>
  <c r="L34" i="191"/>
  <c r="M34" i="191"/>
  <c r="N34" i="191"/>
  <c r="O34" i="191"/>
  <c r="F35" i="191"/>
  <c r="G35" i="191"/>
  <c r="H35" i="191"/>
  <c r="I35" i="191"/>
  <c r="J35" i="191"/>
  <c r="K35" i="191"/>
  <c r="L35" i="191"/>
  <c r="M35" i="191"/>
  <c r="N35" i="191"/>
  <c r="O35" i="191"/>
  <c r="F36" i="191"/>
  <c r="G36" i="191"/>
  <c r="H36" i="191"/>
  <c r="I36" i="191"/>
  <c r="J36" i="191"/>
  <c r="K36" i="191"/>
  <c r="L36" i="191"/>
  <c r="M36" i="191"/>
  <c r="N36" i="191"/>
  <c r="O36" i="191"/>
  <c r="F37" i="191"/>
  <c r="G37" i="191"/>
  <c r="H37" i="191"/>
  <c r="I37" i="191"/>
  <c r="J37" i="191"/>
  <c r="K37" i="191"/>
  <c r="L37" i="191"/>
  <c r="M37" i="191"/>
  <c r="N37" i="191"/>
  <c r="O37" i="191"/>
  <c r="F38" i="191"/>
  <c r="G38" i="191"/>
  <c r="H38" i="191"/>
  <c r="I38" i="191"/>
  <c r="J38" i="191"/>
  <c r="K38" i="191"/>
  <c r="L38" i="191"/>
  <c r="M38" i="191"/>
  <c r="N38" i="191"/>
  <c r="O38" i="191"/>
  <c r="F39" i="191"/>
  <c r="G39" i="191"/>
  <c r="H39" i="191"/>
  <c r="I39" i="191"/>
  <c r="J39" i="191"/>
  <c r="K39" i="191"/>
  <c r="L39" i="191"/>
  <c r="M39" i="191"/>
  <c r="N39" i="191"/>
  <c r="O39" i="191"/>
  <c r="F40" i="191"/>
  <c r="G40" i="191"/>
  <c r="H40" i="191"/>
  <c r="I40" i="191"/>
  <c r="J40" i="191"/>
  <c r="K40" i="191"/>
  <c r="L40" i="191"/>
  <c r="M40" i="191"/>
  <c r="N40" i="191"/>
  <c r="O40" i="191"/>
  <c r="F41" i="191"/>
  <c r="G41" i="191"/>
  <c r="H41" i="191"/>
  <c r="I41" i="191"/>
  <c r="J41" i="191"/>
  <c r="K41" i="191"/>
  <c r="L41" i="191"/>
  <c r="M41" i="191"/>
  <c r="N41" i="191"/>
  <c r="O41" i="191"/>
  <c r="F42" i="191"/>
  <c r="G42" i="191"/>
  <c r="H42" i="191"/>
  <c r="I42" i="191"/>
  <c r="J42" i="191"/>
  <c r="K42" i="191"/>
  <c r="L42" i="191"/>
  <c r="M42" i="191"/>
  <c r="N42" i="191"/>
  <c r="O42" i="191"/>
  <c r="F43" i="191"/>
  <c r="G43" i="191"/>
  <c r="H43" i="191"/>
  <c r="I43" i="191"/>
  <c r="J43" i="191"/>
  <c r="K43" i="191"/>
  <c r="L43" i="191"/>
  <c r="M43" i="191"/>
  <c r="N43" i="191"/>
  <c r="O43" i="191"/>
  <c r="E20" i="191"/>
  <c r="E21" i="191"/>
  <c r="E22" i="191"/>
  <c r="E23" i="191"/>
  <c r="E24" i="191"/>
  <c r="E25" i="191"/>
  <c r="E26" i="191"/>
  <c r="E27" i="191"/>
  <c r="E28" i="191"/>
  <c r="E29" i="191"/>
  <c r="E30" i="191"/>
  <c r="E31" i="191"/>
  <c r="E32" i="191"/>
  <c r="E33" i="191"/>
  <c r="E34" i="191"/>
  <c r="E35" i="191"/>
  <c r="E36" i="191"/>
  <c r="E37" i="191"/>
  <c r="E38" i="191"/>
  <c r="E39" i="191"/>
  <c r="E40" i="191"/>
  <c r="E41" i="191"/>
  <c r="E42" i="191"/>
  <c r="E43" i="191"/>
  <c r="E19" i="191"/>
  <c r="F12" i="191"/>
  <c r="G12" i="191"/>
  <c r="H12" i="191"/>
  <c r="I12" i="191"/>
  <c r="J12" i="191"/>
  <c r="K12" i="191"/>
  <c r="L12" i="191"/>
  <c r="M12" i="191"/>
  <c r="N12" i="191"/>
  <c r="O12" i="191"/>
  <c r="F13" i="191"/>
  <c r="G13" i="191"/>
  <c r="H13" i="191"/>
  <c r="I13" i="191"/>
  <c r="J13" i="191"/>
  <c r="K13" i="191"/>
  <c r="L13" i="191"/>
  <c r="M13" i="191"/>
  <c r="N13" i="191"/>
  <c r="O13" i="191"/>
  <c r="F14" i="191"/>
  <c r="G14" i="191"/>
  <c r="H14" i="191"/>
  <c r="I14" i="191"/>
  <c r="J14" i="191"/>
  <c r="K14" i="191"/>
  <c r="L14" i="191"/>
  <c r="M14" i="191"/>
  <c r="N14" i="191"/>
  <c r="O14" i="191"/>
  <c r="F15" i="191"/>
  <c r="G15" i="191"/>
  <c r="H15" i="191"/>
  <c r="I15" i="191"/>
  <c r="J15" i="191"/>
  <c r="K15" i="191"/>
  <c r="L15" i="191"/>
  <c r="M15" i="191"/>
  <c r="N15" i="191"/>
  <c r="O15" i="191"/>
  <c r="F16" i="191"/>
  <c r="G16" i="191"/>
  <c r="H16" i="191"/>
  <c r="I16" i="191"/>
  <c r="J16" i="191"/>
  <c r="K16" i="191"/>
  <c r="L16" i="191"/>
  <c r="M16" i="191"/>
  <c r="N16" i="191"/>
  <c r="O16" i="191"/>
  <c r="F17" i="191"/>
  <c r="G17" i="191"/>
  <c r="H17" i="191"/>
  <c r="I17" i="191"/>
  <c r="J17" i="191"/>
  <c r="K17" i="191"/>
  <c r="L17" i="191"/>
  <c r="M17" i="191"/>
  <c r="N17" i="191"/>
  <c r="O17" i="191"/>
  <c r="E13" i="191"/>
  <c r="E14" i="191"/>
  <c r="E15" i="191"/>
  <c r="E16" i="191"/>
  <c r="E17" i="191"/>
  <c r="E12" i="191"/>
  <c r="F8" i="191"/>
  <c r="G8" i="191"/>
  <c r="H8" i="191"/>
  <c r="I8" i="191"/>
  <c r="J8" i="191"/>
  <c r="K8" i="191"/>
  <c r="L8" i="191"/>
  <c r="M8" i="191"/>
  <c r="N8" i="191"/>
  <c r="O8" i="191"/>
  <c r="F9" i="191"/>
  <c r="G9" i="191"/>
  <c r="H9" i="191"/>
  <c r="I9" i="191"/>
  <c r="J9" i="191"/>
  <c r="K9" i="191"/>
  <c r="L9" i="191"/>
  <c r="M9" i="191"/>
  <c r="N9" i="191"/>
  <c r="O9" i="191"/>
  <c r="F10" i="191"/>
  <c r="G10" i="191"/>
  <c r="H10" i="191"/>
  <c r="I10" i="191"/>
  <c r="J10" i="191"/>
  <c r="K10" i="191"/>
  <c r="L10" i="191"/>
  <c r="M10" i="191"/>
  <c r="N10" i="191"/>
  <c r="O10" i="191"/>
  <c r="E9" i="191"/>
  <c r="E10" i="191"/>
  <c r="E7" i="191" s="1"/>
  <c r="E8" i="191"/>
  <c r="P53" i="191"/>
  <c r="P52" i="191"/>
  <c r="Q52" i="191"/>
  <c r="R52" i="191" s="1"/>
  <c r="P51" i="191"/>
  <c r="Q51" i="191"/>
  <c r="P50" i="191"/>
  <c r="P49" i="191"/>
  <c r="P48" i="191"/>
  <c r="Q48" i="191"/>
  <c r="R48" i="191" s="1"/>
  <c r="P47" i="191"/>
  <c r="P46" i="191"/>
  <c r="P45" i="191"/>
  <c r="N44" i="191"/>
  <c r="L44" i="191"/>
  <c r="J44" i="191"/>
  <c r="F44" i="191"/>
  <c r="P43" i="191"/>
  <c r="P42" i="191"/>
  <c r="Q42" i="191"/>
  <c r="R42" i="191" s="1"/>
  <c r="P41" i="191"/>
  <c r="Q41" i="191"/>
  <c r="T41" i="191" s="1"/>
  <c r="W41" i="191" s="1"/>
  <c r="P40" i="191"/>
  <c r="Q40" i="191"/>
  <c r="P39" i="191"/>
  <c r="Q39" i="191"/>
  <c r="P38" i="191"/>
  <c r="Q38" i="191"/>
  <c r="P37" i="191"/>
  <c r="Q37" i="191"/>
  <c r="T37" i="191" s="1"/>
  <c r="P36" i="191"/>
  <c r="Q36" i="191"/>
  <c r="R36" i="191" s="1"/>
  <c r="P35" i="191"/>
  <c r="Q35" i="191"/>
  <c r="T35" i="191" s="1"/>
  <c r="W35" i="191" s="1"/>
  <c r="P34" i="191"/>
  <c r="Q34" i="191"/>
  <c r="P33" i="191"/>
  <c r="Q33" i="191"/>
  <c r="P32" i="191"/>
  <c r="Q32" i="191"/>
  <c r="P31" i="191"/>
  <c r="P30" i="191"/>
  <c r="P29" i="191"/>
  <c r="Q29" i="191"/>
  <c r="T29" i="191" s="1"/>
  <c r="W29" i="191" s="1"/>
  <c r="P28" i="191"/>
  <c r="Q28" i="191"/>
  <c r="P27" i="191"/>
  <c r="Q27" i="191"/>
  <c r="P26" i="191"/>
  <c r="P25" i="191"/>
  <c r="Q25" i="191" s="1"/>
  <c r="T25" i="191" s="1"/>
  <c r="P24" i="191"/>
  <c r="P23" i="191"/>
  <c r="Q23" i="191" s="1"/>
  <c r="T23" i="191" s="1"/>
  <c r="W23" i="191" s="1"/>
  <c r="P22" i="191"/>
  <c r="P21" i="191"/>
  <c r="Q21" i="191" s="1"/>
  <c r="P20" i="191"/>
  <c r="P19" i="191"/>
  <c r="P18" i="191"/>
  <c r="M18" i="191"/>
  <c r="K18" i="191"/>
  <c r="I18" i="191"/>
  <c r="P17" i="191"/>
  <c r="Q17" i="191" s="1"/>
  <c r="R17" i="191" s="1"/>
  <c r="P16" i="191"/>
  <c r="Q16" i="191" s="1"/>
  <c r="P15" i="191"/>
  <c r="Q15" i="191" s="1"/>
  <c r="P14" i="191"/>
  <c r="Q14" i="191" s="1"/>
  <c r="P13" i="191"/>
  <c r="O11" i="191"/>
  <c r="L11" i="191"/>
  <c r="H11" i="191"/>
  <c r="Q13" i="191"/>
  <c r="P12" i="191"/>
  <c r="M11" i="191"/>
  <c r="K11" i="191"/>
  <c r="I11" i="191"/>
  <c r="G11" i="191"/>
  <c r="N11" i="191"/>
  <c r="J11" i="191"/>
  <c r="F11" i="191"/>
  <c r="P10" i="191"/>
  <c r="P9" i="191"/>
  <c r="Q9" i="191" s="1"/>
  <c r="D9" i="191"/>
  <c r="P8" i="191"/>
  <c r="P7" i="191" s="1"/>
  <c r="O7" i="191"/>
  <c r="O6" i="191" s="1"/>
  <c r="N7" i="191"/>
  <c r="L7" i="191"/>
  <c r="L6" i="191" s="1"/>
  <c r="J7" i="191"/>
  <c r="J6" i="191" s="1"/>
  <c r="H7" i="191"/>
  <c r="H6" i="191" s="1"/>
  <c r="F7" i="191"/>
  <c r="M7" i="191"/>
  <c r="K7" i="191"/>
  <c r="K6" i="191" s="1"/>
  <c r="I7" i="191"/>
  <c r="I6" i="191" s="1"/>
  <c r="G7" i="191"/>
  <c r="G6" i="191" s="1"/>
  <c r="M6" i="191"/>
  <c r="Q53" i="190"/>
  <c r="Q52" i="190"/>
  <c r="Q51" i="190"/>
  <c r="R51" i="190" s="1"/>
  <c r="Q50" i="190"/>
  <c r="Q49" i="190"/>
  <c r="R49" i="190" s="1"/>
  <c r="Q48" i="190"/>
  <c r="Q47" i="190"/>
  <c r="Q46" i="190"/>
  <c r="R45" i="190"/>
  <c r="Q45" i="190"/>
  <c r="P44" i="190"/>
  <c r="O44" i="190"/>
  <c r="N44" i="190"/>
  <c r="M44" i="190"/>
  <c r="K44" i="190"/>
  <c r="J44" i="190"/>
  <c r="I44" i="190"/>
  <c r="H44" i="190"/>
  <c r="G44" i="190"/>
  <c r="F44" i="190"/>
  <c r="E44" i="190"/>
  <c r="Q43" i="190"/>
  <c r="Q42" i="190"/>
  <c r="T42" i="190" s="1"/>
  <c r="W42" i="190" s="1"/>
  <c r="Q41" i="190"/>
  <c r="Q40" i="190"/>
  <c r="Q39" i="190"/>
  <c r="T39" i="190" s="1"/>
  <c r="W39" i="190" s="1"/>
  <c r="Q38" i="190"/>
  <c r="Q37" i="190"/>
  <c r="Q36" i="190"/>
  <c r="T36" i="190" s="1"/>
  <c r="W36" i="190" s="1"/>
  <c r="Q35" i="190"/>
  <c r="Q34" i="190"/>
  <c r="Q33" i="190"/>
  <c r="T33" i="190" s="1"/>
  <c r="W33" i="190" s="1"/>
  <c r="Q32" i="190"/>
  <c r="Q31" i="190"/>
  <c r="Q30" i="190"/>
  <c r="T30" i="190" s="1"/>
  <c r="W30" i="190" s="1"/>
  <c r="Q29" i="190"/>
  <c r="Q28" i="190"/>
  <c r="Q27" i="190"/>
  <c r="T27" i="190" s="1"/>
  <c r="W27" i="190" s="1"/>
  <c r="Q26" i="190"/>
  <c r="T26" i="190" s="1"/>
  <c r="W26" i="190" s="1"/>
  <c r="Q25" i="190"/>
  <c r="T25" i="190" s="1"/>
  <c r="Q24" i="190"/>
  <c r="Q23" i="190"/>
  <c r="T23" i="190" s="1"/>
  <c r="W23" i="190" s="1"/>
  <c r="Q22" i="190"/>
  <c r="T22" i="190" s="1"/>
  <c r="Q21" i="190"/>
  <c r="Q20" i="190"/>
  <c r="Q19" i="190"/>
  <c r="P18" i="190"/>
  <c r="O18" i="190"/>
  <c r="N18" i="190"/>
  <c r="M18" i="190"/>
  <c r="K18" i="190"/>
  <c r="J18" i="190"/>
  <c r="I18" i="190"/>
  <c r="H18" i="190"/>
  <c r="G18" i="190"/>
  <c r="F18" i="190"/>
  <c r="E18" i="190"/>
  <c r="Q17" i="190"/>
  <c r="Q16" i="190"/>
  <c r="T16" i="190" s="1"/>
  <c r="W16" i="190" s="1"/>
  <c r="Q15" i="190"/>
  <c r="Q14" i="190"/>
  <c r="Q13" i="190"/>
  <c r="T13" i="190" s="1"/>
  <c r="W13" i="190" s="1"/>
  <c r="Q12" i="190"/>
  <c r="T12" i="190" s="1"/>
  <c r="Q11" i="190"/>
  <c r="P11" i="190"/>
  <c r="O11" i="190"/>
  <c r="N11" i="190"/>
  <c r="M11" i="190"/>
  <c r="K11" i="190"/>
  <c r="J11" i="190"/>
  <c r="I11" i="190"/>
  <c r="H11" i="190"/>
  <c r="G11" i="190"/>
  <c r="F11" i="190"/>
  <c r="E11" i="190"/>
  <c r="Q10" i="190"/>
  <c r="Q9" i="190"/>
  <c r="T9" i="190" s="1"/>
  <c r="W9" i="190" s="1"/>
  <c r="D9" i="190"/>
  <c r="Q8" i="190"/>
  <c r="P7" i="190"/>
  <c r="O7" i="190"/>
  <c r="N7" i="190"/>
  <c r="M7" i="190"/>
  <c r="K7" i="190"/>
  <c r="J7" i="190"/>
  <c r="I7" i="190"/>
  <c r="H7" i="190"/>
  <c r="G7" i="190"/>
  <c r="F7" i="190"/>
  <c r="E7" i="190"/>
  <c r="P6" i="190"/>
  <c r="O6" i="190"/>
  <c r="N6" i="190"/>
  <c r="M6" i="190"/>
  <c r="K6" i="190"/>
  <c r="J6" i="190"/>
  <c r="I6" i="190"/>
  <c r="H6" i="190"/>
  <c r="G6" i="190"/>
  <c r="F6" i="190"/>
  <c r="E6" i="190"/>
  <c r="Q6" i="190" s="1"/>
  <c r="P5" i="190"/>
  <c r="J5" i="190"/>
  <c r="Q54" i="189"/>
  <c r="Q53" i="189"/>
  <c r="R53" i="189" s="1"/>
  <c r="Q52" i="189"/>
  <c r="R52" i="189" s="1"/>
  <c r="Q51" i="189"/>
  <c r="Q50" i="189"/>
  <c r="Q49" i="189"/>
  <c r="Q48" i="189"/>
  <c r="R48" i="189" s="1"/>
  <c r="Q47" i="189"/>
  <c r="Q46" i="189"/>
  <c r="P45" i="189"/>
  <c r="O45" i="189"/>
  <c r="N45" i="189"/>
  <c r="M45" i="189"/>
  <c r="L45" i="189"/>
  <c r="K45" i="189"/>
  <c r="J45" i="189"/>
  <c r="I45" i="189"/>
  <c r="H45" i="189"/>
  <c r="G45" i="189"/>
  <c r="F45" i="189"/>
  <c r="E45" i="189"/>
  <c r="Q44" i="189"/>
  <c r="Q43" i="189"/>
  <c r="Q42" i="189"/>
  <c r="Q41" i="189"/>
  <c r="Q40" i="189"/>
  <c r="R40" i="189" s="1"/>
  <c r="Q39" i="189"/>
  <c r="Q38" i="189"/>
  <c r="Q37" i="189"/>
  <c r="R37" i="189" s="1"/>
  <c r="Q36" i="189"/>
  <c r="Q35" i="189"/>
  <c r="Q34" i="189"/>
  <c r="R34" i="189" s="1"/>
  <c r="Q33" i="189"/>
  <c r="Q32" i="189"/>
  <c r="Q31" i="189"/>
  <c r="Q30" i="189"/>
  <c r="Q29" i="189"/>
  <c r="Q28" i="189"/>
  <c r="Q27" i="189"/>
  <c r="Q26" i="189"/>
  <c r="R26" i="189" s="1"/>
  <c r="Q25" i="189"/>
  <c r="Q24" i="189"/>
  <c r="R24" i="189" s="1"/>
  <c r="Q23" i="189"/>
  <c r="Q22" i="189"/>
  <c r="Q21" i="189"/>
  <c r="Q20" i="189"/>
  <c r="P19" i="189"/>
  <c r="O19" i="189"/>
  <c r="N19" i="189"/>
  <c r="M19" i="189"/>
  <c r="L19" i="189"/>
  <c r="K19" i="189"/>
  <c r="J19" i="189"/>
  <c r="I19" i="189"/>
  <c r="H19" i="189"/>
  <c r="G19" i="189"/>
  <c r="F19" i="189"/>
  <c r="E19" i="189"/>
  <c r="Q18" i="189"/>
  <c r="Q17" i="189"/>
  <c r="R17" i="189" s="1"/>
  <c r="Q16" i="189"/>
  <c r="Q15" i="189"/>
  <c r="Q14" i="189"/>
  <c r="T14" i="189" s="1"/>
  <c r="W14" i="189" s="1"/>
  <c r="Q13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Q11" i="189"/>
  <c r="T11" i="189" s="1"/>
  <c r="W11" i="189" s="1"/>
  <c r="Q10" i="189"/>
  <c r="D10" i="189"/>
  <c r="Q9" i="189"/>
  <c r="T9" i="189" s="1"/>
  <c r="P8" i="189"/>
  <c r="O8" i="189"/>
  <c r="N8" i="189"/>
  <c r="M8" i="189"/>
  <c r="L8" i="189"/>
  <c r="K8" i="189"/>
  <c r="J8" i="189"/>
  <c r="I8" i="189"/>
  <c r="H8" i="189"/>
  <c r="G8" i="189"/>
  <c r="F8" i="189"/>
  <c r="E8" i="189"/>
  <c r="P7" i="189"/>
  <c r="O7" i="189"/>
  <c r="N7" i="189"/>
  <c r="M7" i="189"/>
  <c r="L7" i="189"/>
  <c r="L6" i="189" s="1"/>
  <c r="K7" i="189"/>
  <c r="K6" i="189" s="1"/>
  <c r="J7" i="189"/>
  <c r="I7" i="189"/>
  <c r="I6" i="189" s="1"/>
  <c r="H7" i="189"/>
  <c r="G7" i="189"/>
  <c r="F7" i="189"/>
  <c r="E7" i="189"/>
  <c r="P6" i="189"/>
  <c r="J6" i="189"/>
  <c r="Q53" i="188"/>
  <c r="R53" i="188" s="1"/>
  <c r="Q52" i="188"/>
  <c r="R52" i="188" s="1"/>
  <c r="Q51" i="188"/>
  <c r="T51" i="188" s="1"/>
  <c r="Q50" i="188"/>
  <c r="Q49" i="188"/>
  <c r="T49" i="188" s="1"/>
  <c r="W49" i="188" s="1"/>
  <c r="Q48" i="188"/>
  <c r="R48" i="188" s="1"/>
  <c r="Q47" i="188"/>
  <c r="Q46" i="188"/>
  <c r="R46" i="188" s="1"/>
  <c r="Q45" i="188"/>
  <c r="T45" i="188" s="1"/>
  <c r="P44" i="188"/>
  <c r="O44" i="188"/>
  <c r="N44" i="188"/>
  <c r="M44" i="188"/>
  <c r="L44" i="188"/>
  <c r="K44" i="188"/>
  <c r="J44" i="188"/>
  <c r="I44" i="188"/>
  <c r="H44" i="188"/>
  <c r="G44" i="188"/>
  <c r="F44" i="188"/>
  <c r="E44" i="188"/>
  <c r="Q43" i="188"/>
  <c r="Q42" i="188"/>
  <c r="R42" i="188" s="1"/>
  <c r="Q41" i="188"/>
  <c r="Q40" i="188"/>
  <c r="T40" i="188" s="1"/>
  <c r="Q39" i="188"/>
  <c r="Q38" i="188"/>
  <c r="T38" i="188" s="1"/>
  <c r="W38" i="188" s="1"/>
  <c r="Q37" i="188"/>
  <c r="Q36" i="188"/>
  <c r="Q35" i="188"/>
  <c r="Q34" i="188"/>
  <c r="T34" i="188" s="1"/>
  <c r="Q33" i="188"/>
  <c r="Q32" i="188"/>
  <c r="Q31" i="188"/>
  <c r="Q30" i="188"/>
  <c r="Q29" i="188"/>
  <c r="Q28" i="188"/>
  <c r="R28" i="188" s="1"/>
  <c r="Q27" i="188"/>
  <c r="Q25" i="188"/>
  <c r="Q24" i="188"/>
  <c r="Q23" i="188"/>
  <c r="R23" i="188" s="1"/>
  <c r="Q22" i="188"/>
  <c r="Q21" i="188"/>
  <c r="R21" i="188" s="1"/>
  <c r="Q20" i="188"/>
  <c r="P18" i="188"/>
  <c r="N18" i="188"/>
  <c r="M18" i="188"/>
  <c r="L18" i="188"/>
  <c r="K18" i="188"/>
  <c r="J18" i="188"/>
  <c r="I18" i="188"/>
  <c r="G18" i="188"/>
  <c r="F18" i="188"/>
  <c r="E18" i="188"/>
  <c r="Q17" i="188"/>
  <c r="T17" i="188" s="1"/>
  <c r="W17" i="188" s="1"/>
  <c r="Q16" i="188"/>
  <c r="Q15" i="188"/>
  <c r="R14" i="188"/>
  <c r="Q14" i="188"/>
  <c r="T14" i="188" s="1"/>
  <c r="W14" i="188" s="1"/>
  <c r="Q13" i="188"/>
  <c r="Q12" i="188"/>
  <c r="T12" i="188" s="1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Q10" i="188"/>
  <c r="R10" i="188" s="1"/>
  <c r="Q9" i="188"/>
  <c r="D9" i="188"/>
  <c r="Q8" i="188"/>
  <c r="P7" i="188"/>
  <c r="O7" i="188"/>
  <c r="N7" i="188"/>
  <c r="N6" i="188" s="1"/>
  <c r="N5" i="188" s="1"/>
  <c r="M7" i="188"/>
  <c r="L7" i="188"/>
  <c r="L6" i="188" s="1"/>
  <c r="L5" i="188" s="1"/>
  <c r="K7" i="188"/>
  <c r="J7" i="188"/>
  <c r="J6" i="188" s="1"/>
  <c r="J5" i="188" s="1"/>
  <c r="I7" i="188"/>
  <c r="H7" i="188"/>
  <c r="H6" i="188" s="1"/>
  <c r="G7" i="188"/>
  <c r="F7" i="188"/>
  <c r="F6" i="188" s="1"/>
  <c r="F5" i="188" s="1"/>
  <c r="E7" i="188"/>
  <c r="P6" i="188"/>
  <c r="M6" i="188"/>
  <c r="K6" i="188"/>
  <c r="K5" i="188" s="1"/>
  <c r="I6" i="188"/>
  <c r="G6" i="188"/>
  <c r="E6" i="188"/>
  <c r="P5" i="188"/>
  <c r="I5" i="188"/>
  <c r="E5" i="188"/>
  <c r="S10" i="187"/>
  <c r="R10" i="187"/>
  <c r="T9" i="187"/>
  <c r="T8" i="187"/>
  <c r="T7" i="187"/>
  <c r="T6" i="187"/>
  <c r="T5" i="187"/>
  <c r="T4" i="187"/>
  <c r="P10" i="187"/>
  <c r="O10" i="187"/>
  <c r="M10" i="187"/>
  <c r="L10" i="187"/>
  <c r="J10" i="187"/>
  <c r="I10" i="187"/>
  <c r="G10" i="187"/>
  <c r="F10" i="187"/>
  <c r="D10" i="187"/>
  <c r="C10" i="187"/>
  <c r="Q9" i="187"/>
  <c r="N9" i="187"/>
  <c r="K9" i="187"/>
  <c r="H9" i="187"/>
  <c r="E9" i="187"/>
  <c r="Q8" i="187"/>
  <c r="N8" i="187"/>
  <c r="K8" i="187"/>
  <c r="H8" i="187"/>
  <c r="E8" i="187"/>
  <c r="Q7" i="187"/>
  <c r="N7" i="187"/>
  <c r="K7" i="187"/>
  <c r="H7" i="187"/>
  <c r="E7" i="187"/>
  <c r="Q6" i="187"/>
  <c r="N6" i="187"/>
  <c r="K6" i="187"/>
  <c r="H6" i="187"/>
  <c r="E6" i="187"/>
  <c r="Q5" i="187"/>
  <c r="N5" i="187"/>
  <c r="K5" i="187"/>
  <c r="H5" i="187"/>
  <c r="E5" i="187"/>
  <c r="Q4" i="187"/>
  <c r="N4" i="187"/>
  <c r="K4" i="187"/>
  <c r="H4" i="187"/>
  <c r="E4" i="187"/>
  <c r="T15" i="190" l="1"/>
  <c r="R43" i="192"/>
  <c r="T32" i="192"/>
  <c r="T34" i="192"/>
  <c r="T38" i="192"/>
  <c r="T40" i="192"/>
  <c r="R31" i="192"/>
  <c r="R35" i="192"/>
  <c r="R37" i="192"/>
  <c r="R41" i="192"/>
  <c r="R23" i="192"/>
  <c r="T28" i="192"/>
  <c r="T22" i="192"/>
  <c r="R29" i="192"/>
  <c r="F6" i="192"/>
  <c r="H6" i="192"/>
  <c r="H5" i="192" s="1"/>
  <c r="P11" i="191"/>
  <c r="P6" i="191" s="1"/>
  <c r="I5" i="190"/>
  <c r="K5" i="190"/>
  <c r="N5" i="190"/>
  <c r="Q7" i="190"/>
  <c r="F5" i="190"/>
  <c r="M5" i="190"/>
  <c r="T8" i="188"/>
  <c r="T7" i="188" s="1"/>
  <c r="T9" i="188"/>
  <c r="W9" i="188" s="1"/>
  <c r="R17" i="188"/>
  <c r="R8" i="188"/>
  <c r="S8" i="188" s="1"/>
  <c r="S10" i="188"/>
  <c r="T10" i="188"/>
  <c r="W10" i="188" s="1"/>
  <c r="M5" i="188"/>
  <c r="F6" i="189"/>
  <c r="H6" i="189"/>
  <c r="Q53" i="191"/>
  <c r="Q8" i="189"/>
  <c r="Q30" i="191"/>
  <c r="R30" i="191" s="1"/>
  <c r="Q26" i="191"/>
  <c r="T26" i="191" s="1"/>
  <c r="W26" i="191" s="1"/>
  <c r="Q24" i="191"/>
  <c r="R24" i="191" s="1"/>
  <c r="Q22" i="191"/>
  <c r="R22" i="191" s="1"/>
  <c r="S22" i="191" s="1"/>
  <c r="N6" i="189"/>
  <c r="Q49" i="191"/>
  <c r="R49" i="191" s="1"/>
  <c r="S49" i="191" s="1"/>
  <c r="Q45" i="191"/>
  <c r="K6" i="192"/>
  <c r="K5" i="192" s="1"/>
  <c r="T10" i="187"/>
  <c r="Q10" i="187"/>
  <c r="U5" i="187"/>
  <c r="U7" i="187"/>
  <c r="U9" i="187"/>
  <c r="K10" i="187"/>
  <c r="U8" i="187"/>
  <c r="U6" i="187"/>
  <c r="U4" i="187"/>
  <c r="R45" i="188"/>
  <c r="H44" i="191"/>
  <c r="H5" i="190"/>
  <c r="R42" i="190"/>
  <c r="S42" i="190" s="1"/>
  <c r="R30" i="190"/>
  <c r="S30" i="190" s="1"/>
  <c r="R38" i="192"/>
  <c r="O5" i="190"/>
  <c r="R34" i="188"/>
  <c r="O6" i="189"/>
  <c r="O44" i="191"/>
  <c r="P5" i="192"/>
  <c r="E5" i="190"/>
  <c r="E18" i="191"/>
  <c r="Q31" i="191"/>
  <c r="T31" i="191" s="1"/>
  <c r="Q43" i="191"/>
  <c r="T43" i="191" s="1"/>
  <c r="E6" i="189"/>
  <c r="Q19" i="191"/>
  <c r="R19" i="191" s="1"/>
  <c r="S19" i="191" s="1"/>
  <c r="Q50" i="191"/>
  <c r="R50" i="191" s="1"/>
  <c r="S50" i="191" s="1"/>
  <c r="R32" i="192"/>
  <c r="G5" i="190"/>
  <c r="G5" i="188"/>
  <c r="Q44" i="188"/>
  <c r="G6" i="189"/>
  <c r="G18" i="191"/>
  <c r="F5" i="192"/>
  <c r="R28" i="192"/>
  <c r="R34" i="192"/>
  <c r="R40" i="192"/>
  <c r="R39" i="190"/>
  <c r="R49" i="188"/>
  <c r="Q44" i="190"/>
  <c r="R51" i="188"/>
  <c r="M6" i="189"/>
  <c r="Q47" i="191"/>
  <c r="R47" i="191" s="1"/>
  <c r="S47" i="191" s="1"/>
  <c r="O6" i="188"/>
  <c r="Q6" i="188" s="1"/>
  <c r="R12" i="188"/>
  <c r="G5" i="192"/>
  <c r="I5" i="192"/>
  <c r="Q44" i="192"/>
  <c r="R45" i="192"/>
  <c r="T46" i="192"/>
  <c r="W46" i="192" s="1"/>
  <c r="T51" i="192"/>
  <c r="R52" i="192"/>
  <c r="S52" i="192" s="1"/>
  <c r="R46" i="192"/>
  <c r="S46" i="192" s="1"/>
  <c r="R51" i="192"/>
  <c r="S51" i="192" s="1"/>
  <c r="R55" i="192"/>
  <c r="S55" i="192" s="1"/>
  <c r="R22" i="192"/>
  <c r="S23" i="192"/>
  <c r="T23" i="192"/>
  <c r="S29" i="192"/>
  <c r="T29" i="192"/>
  <c r="S31" i="192"/>
  <c r="T31" i="192"/>
  <c r="S35" i="192"/>
  <c r="T35" i="192"/>
  <c r="S37" i="192"/>
  <c r="T37" i="192"/>
  <c r="S41" i="192"/>
  <c r="T41" i="192"/>
  <c r="S43" i="192"/>
  <c r="T43" i="192"/>
  <c r="T17" i="192"/>
  <c r="W17" i="192" s="1"/>
  <c r="L6" i="192"/>
  <c r="L5" i="192" s="1"/>
  <c r="O6" i="192"/>
  <c r="T8" i="192"/>
  <c r="R8" i="192"/>
  <c r="S8" i="192" s="1"/>
  <c r="T9" i="192"/>
  <c r="W9" i="192" s="1"/>
  <c r="R9" i="192"/>
  <c r="S9" i="192" s="1"/>
  <c r="T10" i="192"/>
  <c r="W10" i="192" s="1"/>
  <c r="R10" i="192"/>
  <c r="S10" i="192" s="1"/>
  <c r="E6" i="192"/>
  <c r="J7" i="192"/>
  <c r="J6" i="192" s="1"/>
  <c r="J5" i="192" s="1"/>
  <c r="Q11" i="192"/>
  <c r="R12" i="192"/>
  <c r="S12" i="192" s="1"/>
  <c r="T12" i="192"/>
  <c r="R13" i="192"/>
  <c r="S13" i="192" s="1"/>
  <c r="T13" i="192"/>
  <c r="W13" i="192" s="1"/>
  <c r="S14" i="192"/>
  <c r="T14" i="192"/>
  <c r="W14" i="192" s="1"/>
  <c r="S17" i="192"/>
  <c r="S22" i="192"/>
  <c r="Q24" i="192"/>
  <c r="O18" i="192"/>
  <c r="S28" i="192"/>
  <c r="T30" i="192"/>
  <c r="R30" i="192"/>
  <c r="S32" i="192"/>
  <c r="S34" i="192"/>
  <c r="T36" i="192"/>
  <c r="R36" i="192"/>
  <c r="S38" i="192"/>
  <c r="S40" i="192"/>
  <c r="T42" i="192"/>
  <c r="R42" i="192"/>
  <c r="S45" i="192"/>
  <c r="S47" i="192"/>
  <c r="T47" i="192"/>
  <c r="W47" i="192" s="1"/>
  <c r="T53" i="192"/>
  <c r="W53" i="192" s="1"/>
  <c r="T15" i="192"/>
  <c r="R15" i="192"/>
  <c r="S15" i="192" s="1"/>
  <c r="T16" i="192"/>
  <c r="W16" i="192" s="1"/>
  <c r="R16" i="192"/>
  <c r="S16" i="192" s="1"/>
  <c r="T19" i="192"/>
  <c r="R19" i="192"/>
  <c r="T20" i="192"/>
  <c r="R20" i="192"/>
  <c r="T21" i="192"/>
  <c r="R21" i="192"/>
  <c r="T25" i="192"/>
  <c r="R25" i="192"/>
  <c r="T26" i="192"/>
  <c r="R26" i="192"/>
  <c r="T27" i="192"/>
  <c r="R27" i="192"/>
  <c r="T33" i="192"/>
  <c r="R33" i="192"/>
  <c r="T39" i="192"/>
  <c r="R39" i="192"/>
  <c r="T48" i="192"/>
  <c r="R48" i="192"/>
  <c r="S48" i="192" s="1"/>
  <c r="T49" i="192"/>
  <c r="W49" i="192" s="1"/>
  <c r="R49" i="192"/>
  <c r="S49" i="192" s="1"/>
  <c r="T50" i="192"/>
  <c r="W50" i="192" s="1"/>
  <c r="R50" i="192"/>
  <c r="S50" i="192" s="1"/>
  <c r="R53" i="192"/>
  <c r="S53" i="192" s="1"/>
  <c r="S54" i="192"/>
  <c r="T54" i="192"/>
  <c r="F6" i="191"/>
  <c r="N6" i="191"/>
  <c r="Q7" i="191"/>
  <c r="Q10" i="191"/>
  <c r="T10" i="191" s="1"/>
  <c r="W10" i="191" s="1"/>
  <c r="T9" i="191"/>
  <c r="W9" i="191" s="1"/>
  <c r="R9" i="191"/>
  <c r="S9" i="191" s="1"/>
  <c r="T13" i="191"/>
  <c r="W13" i="191" s="1"/>
  <c r="R13" i="191"/>
  <c r="S13" i="191" s="1"/>
  <c r="T15" i="191"/>
  <c r="R15" i="191"/>
  <c r="S15" i="191" s="1"/>
  <c r="T21" i="191"/>
  <c r="W21" i="191" s="1"/>
  <c r="R21" i="191"/>
  <c r="S21" i="191" s="1"/>
  <c r="R26" i="191"/>
  <c r="S26" i="191" s="1"/>
  <c r="T28" i="191"/>
  <c r="R28" i="191"/>
  <c r="S28" i="191" s="1"/>
  <c r="T33" i="191"/>
  <c r="W33" i="191" s="1"/>
  <c r="R33" i="191"/>
  <c r="S33" i="191" s="1"/>
  <c r="T38" i="191"/>
  <c r="W38" i="191" s="1"/>
  <c r="R38" i="191"/>
  <c r="S38" i="191" s="1"/>
  <c r="T40" i="191"/>
  <c r="R40" i="191"/>
  <c r="S40" i="191" s="1"/>
  <c r="T14" i="191"/>
  <c r="W14" i="191" s="1"/>
  <c r="R14" i="191"/>
  <c r="S14" i="191" s="1"/>
  <c r="T22" i="191"/>
  <c r="T27" i="191"/>
  <c r="W27" i="191" s="1"/>
  <c r="R27" i="191"/>
  <c r="S27" i="191" s="1"/>
  <c r="T32" i="191"/>
  <c r="W32" i="191" s="1"/>
  <c r="R32" i="191"/>
  <c r="S32" i="191" s="1"/>
  <c r="T34" i="191"/>
  <c r="R34" i="191"/>
  <c r="S34" i="191" s="1"/>
  <c r="T39" i="191"/>
  <c r="W39" i="191" s="1"/>
  <c r="R39" i="191"/>
  <c r="S39" i="191" s="1"/>
  <c r="Q8" i="191"/>
  <c r="Q12" i="191"/>
  <c r="E11" i="191"/>
  <c r="E6" i="191" s="1"/>
  <c r="T16" i="191"/>
  <c r="W16" i="191" s="1"/>
  <c r="R53" i="191"/>
  <c r="S53" i="191" s="1"/>
  <c r="R16" i="191"/>
  <c r="S16" i="191" s="1"/>
  <c r="S17" i="191"/>
  <c r="T17" i="191"/>
  <c r="W17" i="191" s="1"/>
  <c r="T19" i="191"/>
  <c r="F18" i="191"/>
  <c r="F5" i="191" s="1"/>
  <c r="H18" i="191"/>
  <c r="H5" i="191" s="1"/>
  <c r="J18" i="191"/>
  <c r="J5" i="191" s="1"/>
  <c r="L18" i="191"/>
  <c r="L5" i="191" s="1"/>
  <c r="N18" i="191"/>
  <c r="O18" i="191"/>
  <c r="O5" i="191" s="1"/>
  <c r="Q20" i="191"/>
  <c r="R23" i="191"/>
  <c r="S23" i="191" s="1"/>
  <c r="R25" i="191"/>
  <c r="S25" i="191" s="1"/>
  <c r="R29" i="191"/>
  <c r="S29" i="191" s="1"/>
  <c r="R35" i="191"/>
  <c r="S35" i="191" s="1"/>
  <c r="R37" i="191"/>
  <c r="S37" i="191" s="1"/>
  <c r="R41" i="191"/>
  <c r="S41" i="191" s="1"/>
  <c r="R43" i="191"/>
  <c r="S43" i="191" s="1"/>
  <c r="T45" i="191"/>
  <c r="R45" i="191"/>
  <c r="S45" i="191" s="1"/>
  <c r="T47" i="191"/>
  <c r="W47" i="191" s="1"/>
  <c r="T49" i="191"/>
  <c r="W49" i="191" s="1"/>
  <c r="T50" i="191"/>
  <c r="W50" i="191" s="1"/>
  <c r="T51" i="191"/>
  <c r="R51" i="191"/>
  <c r="S51" i="191" s="1"/>
  <c r="T53" i="191"/>
  <c r="W53" i="191" s="1"/>
  <c r="S24" i="191"/>
  <c r="T24" i="191"/>
  <c r="W24" i="191" s="1"/>
  <c r="S30" i="191"/>
  <c r="T30" i="191"/>
  <c r="W30" i="191" s="1"/>
  <c r="S36" i="191"/>
  <c r="T36" i="191"/>
  <c r="W36" i="191" s="1"/>
  <c r="S42" i="191"/>
  <c r="T42" i="191"/>
  <c r="W42" i="191" s="1"/>
  <c r="Q46" i="191"/>
  <c r="E44" i="191"/>
  <c r="G44" i="191"/>
  <c r="I44" i="191"/>
  <c r="I5" i="191" s="1"/>
  <c r="K44" i="191"/>
  <c r="K5" i="191" s="1"/>
  <c r="M44" i="191"/>
  <c r="M5" i="191" s="1"/>
  <c r="P44" i="191"/>
  <c r="S48" i="191"/>
  <c r="T48" i="191"/>
  <c r="S52" i="191"/>
  <c r="T52" i="191"/>
  <c r="W52" i="191" s="1"/>
  <c r="T46" i="190"/>
  <c r="W46" i="190" s="1"/>
  <c r="T48" i="190"/>
  <c r="T52" i="190"/>
  <c r="W52" i="190" s="1"/>
  <c r="S45" i="190"/>
  <c r="T45" i="190"/>
  <c r="R46" i="190"/>
  <c r="S46" i="190" s="1"/>
  <c r="R48" i="190"/>
  <c r="S48" i="190" s="1"/>
  <c r="S49" i="190"/>
  <c r="T49" i="190"/>
  <c r="W49" i="190" s="1"/>
  <c r="S51" i="190"/>
  <c r="T51" i="190"/>
  <c r="R52" i="190"/>
  <c r="S52" i="190" s="1"/>
  <c r="T21" i="190"/>
  <c r="W21" i="190" s="1"/>
  <c r="R21" i="190"/>
  <c r="S21" i="190" s="1"/>
  <c r="Q18" i="190"/>
  <c r="T24" i="190"/>
  <c r="W24" i="190" s="1"/>
  <c r="R24" i="190"/>
  <c r="S24" i="190" s="1"/>
  <c r="R8" i="190"/>
  <c r="S8" i="190" s="1"/>
  <c r="T8" i="190"/>
  <c r="R10" i="190"/>
  <c r="S10" i="190" s="1"/>
  <c r="T10" i="190"/>
  <c r="W10" i="190" s="1"/>
  <c r="R14" i="190"/>
  <c r="S14" i="190" s="1"/>
  <c r="T14" i="190"/>
  <c r="W14" i="190" s="1"/>
  <c r="R17" i="190"/>
  <c r="S17" i="190" s="1"/>
  <c r="T17" i="190"/>
  <c r="W17" i="190" s="1"/>
  <c r="R19" i="190"/>
  <c r="T19" i="190"/>
  <c r="R20" i="190"/>
  <c r="S20" i="190" s="1"/>
  <c r="T20" i="190"/>
  <c r="W20" i="190" s="1"/>
  <c r="R28" i="190"/>
  <c r="S28" i="190" s="1"/>
  <c r="T28" i="190"/>
  <c r="R29" i="190"/>
  <c r="S29" i="190" s="1"/>
  <c r="T29" i="190"/>
  <c r="W29" i="190" s="1"/>
  <c r="R31" i="190"/>
  <c r="S31" i="190" s="1"/>
  <c r="T31" i="190"/>
  <c r="R32" i="190"/>
  <c r="S32" i="190" s="1"/>
  <c r="T32" i="190"/>
  <c r="W32" i="190" s="1"/>
  <c r="R34" i="190"/>
  <c r="S34" i="190" s="1"/>
  <c r="T34" i="190"/>
  <c r="R35" i="190"/>
  <c r="S35" i="190" s="1"/>
  <c r="T35" i="190"/>
  <c r="W35" i="190" s="1"/>
  <c r="R37" i="190"/>
  <c r="S37" i="190" s="1"/>
  <c r="T37" i="190"/>
  <c r="R38" i="190"/>
  <c r="S38" i="190" s="1"/>
  <c r="T38" i="190"/>
  <c r="W38" i="190" s="1"/>
  <c r="S39" i="190"/>
  <c r="R40" i="190"/>
  <c r="S40" i="190" s="1"/>
  <c r="T40" i="190"/>
  <c r="R41" i="190"/>
  <c r="S41" i="190" s="1"/>
  <c r="T41" i="190"/>
  <c r="W41" i="190" s="1"/>
  <c r="R43" i="190"/>
  <c r="S43" i="190" s="1"/>
  <c r="T43" i="190"/>
  <c r="R47" i="190"/>
  <c r="T47" i="190"/>
  <c r="R50" i="190"/>
  <c r="S50" i="190" s="1"/>
  <c r="T50" i="190"/>
  <c r="W50" i="190" s="1"/>
  <c r="R53" i="190"/>
  <c r="S53" i="190" s="1"/>
  <c r="T53" i="190"/>
  <c r="W53" i="190" s="1"/>
  <c r="R9" i="190"/>
  <c r="S9" i="190" s="1"/>
  <c r="R12" i="190"/>
  <c r="S12" i="190" s="1"/>
  <c r="R13" i="190"/>
  <c r="S13" i="190" s="1"/>
  <c r="R15" i="190"/>
  <c r="R16" i="190"/>
  <c r="S16" i="190" s="1"/>
  <c r="R22" i="190"/>
  <c r="S22" i="190" s="1"/>
  <c r="R23" i="190"/>
  <c r="S23" i="190" s="1"/>
  <c r="R25" i="190"/>
  <c r="S25" i="190" s="1"/>
  <c r="R26" i="190"/>
  <c r="S26" i="190" s="1"/>
  <c r="R27" i="190"/>
  <c r="S27" i="190" s="1"/>
  <c r="R33" i="190"/>
  <c r="S33" i="190" s="1"/>
  <c r="R36" i="190"/>
  <c r="S36" i="190" s="1"/>
  <c r="S53" i="189"/>
  <c r="T53" i="189"/>
  <c r="W53" i="189" s="1"/>
  <c r="S48" i="189"/>
  <c r="T48" i="189"/>
  <c r="W48" i="189" s="1"/>
  <c r="S52" i="189"/>
  <c r="T52" i="189"/>
  <c r="T23" i="189"/>
  <c r="T27" i="189"/>
  <c r="W27" i="189" s="1"/>
  <c r="T31" i="189"/>
  <c r="W31" i="189" s="1"/>
  <c r="S37" i="189"/>
  <c r="T37" i="189"/>
  <c r="W37" i="189" s="1"/>
  <c r="T43" i="189"/>
  <c r="W43" i="189" s="1"/>
  <c r="R23" i="189"/>
  <c r="S23" i="189" s="1"/>
  <c r="S24" i="189"/>
  <c r="T24" i="189"/>
  <c r="W24" i="189" s="1"/>
  <c r="S26" i="189"/>
  <c r="T26" i="189"/>
  <c r="R27" i="189"/>
  <c r="S27" i="189" s="1"/>
  <c r="R31" i="189"/>
  <c r="S31" i="189" s="1"/>
  <c r="S34" i="189"/>
  <c r="T34" i="189"/>
  <c r="W34" i="189" s="1"/>
  <c r="S40" i="189"/>
  <c r="T40" i="189"/>
  <c r="W40" i="189" s="1"/>
  <c r="R43" i="189"/>
  <c r="S43" i="189" s="1"/>
  <c r="T16" i="189"/>
  <c r="R14" i="189"/>
  <c r="S14" i="189" s="1"/>
  <c r="R16" i="189"/>
  <c r="S16" i="189" s="1"/>
  <c r="S17" i="189"/>
  <c r="T17" i="189"/>
  <c r="W17" i="189" s="1"/>
  <c r="Q7" i="189"/>
  <c r="R11" i="189"/>
  <c r="S11" i="189" s="1"/>
  <c r="R10" i="189"/>
  <c r="S10" i="189" s="1"/>
  <c r="T10" i="189"/>
  <c r="W10" i="189" s="1"/>
  <c r="T13" i="189"/>
  <c r="R13" i="189"/>
  <c r="Q12" i="189"/>
  <c r="S13" i="189"/>
  <c r="T54" i="189"/>
  <c r="W54" i="189" s="1"/>
  <c r="R54" i="189"/>
  <c r="S54" i="189" s="1"/>
  <c r="R9" i="189"/>
  <c r="R8" i="189" s="1"/>
  <c r="Q19" i="189"/>
  <c r="T22" i="189"/>
  <c r="W22" i="189" s="1"/>
  <c r="R22" i="189"/>
  <c r="S22" i="189" s="1"/>
  <c r="T25" i="189"/>
  <c r="W25" i="189" s="1"/>
  <c r="R25" i="189"/>
  <c r="S25" i="189" s="1"/>
  <c r="T28" i="189"/>
  <c r="W28" i="189" s="1"/>
  <c r="R28" i="189"/>
  <c r="S28" i="189" s="1"/>
  <c r="R15" i="189"/>
  <c r="S15" i="189" s="1"/>
  <c r="T15" i="189"/>
  <c r="W15" i="189" s="1"/>
  <c r="R18" i="189"/>
  <c r="S18" i="189" s="1"/>
  <c r="T18" i="189"/>
  <c r="W18" i="189" s="1"/>
  <c r="R20" i="189"/>
  <c r="S20" i="189" s="1"/>
  <c r="T20" i="189"/>
  <c r="R21" i="189"/>
  <c r="S21" i="189" s="1"/>
  <c r="T21" i="189"/>
  <c r="W21" i="189" s="1"/>
  <c r="R29" i="189"/>
  <c r="S29" i="189" s="1"/>
  <c r="T29" i="189"/>
  <c r="R30" i="189"/>
  <c r="S30" i="189" s="1"/>
  <c r="T30" i="189"/>
  <c r="W30" i="189" s="1"/>
  <c r="R32" i="189"/>
  <c r="S32" i="189" s="1"/>
  <c r="T32" i="189"/>
  <c r="R33" i="189"/>
  <c r="S33" i="189" s="1"/>
  <c r="T33" i="189"/>
  <c r="W33" i="189" s="1"/>
  <c r="R35" i="189"/>
  <c r="S35" i="189" s="1"/>
  <c r="T35" i="189"/>
  <c r="R36" i="189"/>
  <c r="S36" i="189" s="1"/>
  <c r="T36" i="189"/>
  <c r="W36" i="189" s="1"/>
  <c r="R38" i="189"/>
  <c r="S38" i="189" s="1"/>
  <c r="T38" i="189"/>
  <c r="R39" i="189"/>
  <c r="S39" i="189" s="1"/>
  <c r="T39" i="189"/>
  <c r="W39" i="189" s="1"/>
  <c r="R41" i="189"/>
  <c r="S41" i="189" s="1"/>
  <c r="T41" i="189"/>
  <c r="R42" i="189"/>
  <c r="S42" i="189" s="1"/>
  <c r="T42" i="189"/>
  <c r="W42" i="189" s="1"/>
  <c r="R44" i="189"/>
  <c r="S44" i="189" s="1"/>
  <c r="T44" i="189"/>
  <c r="Q45" i="189"/>
  <c r="R46" i="189"/>
  <c r="T46" i="189"/>
  <c r="R47" i="189"/>
  <c r="S47" i="189" s="1"/>
  <c r="T47" i="189"/>
  <c r="W47" i="189" s="1"/>
  <c r="R49" i="189"/>
  <c r="S49" i="189" s="1"/>
  <c r="T49" i="189"/>
  <c r="R50" i="189"/>
  <c r="S50" i="189" s="1"/>
  <c r="T50" i="189"/>
  <c r="W50" i="189" s="1"/>
  <c r="R51" i="189"/>
  <c r="S51" i="189" s="1"/>
  <c r="T51" i="189"/>
  <c r="W51" i="189" s="1"/>
  <c r="S46" i="188"/>
  <c r="T46" i="188"/>
  <c r="W46" i="188" s="1"/>
  <c r="S48" i="188"/>
  <c r="T48" i="188"/>
  <c r="S52" i="188"/>
  <c r="T52" i="188"/>
  <c r="W52" i="188" s="1"/>
  <c r="T20" i="188"/>
  <c r="W20" i="188" s="1"/>
  <c r="T23" i="188"/>
  <c r="W23" i="188" s="1"/>
  <c r="T31" i="188"/>
  <c r="T35" i="188"/>
  <c r="W35" i="188" s="1"/>
  <c r="T37" i="188"/>
  <c r="R38" i="188"/>
  <c r="S38" i="188" s="1"/>
  <c r="R40" i="188"/>
  <c r="T41" i="188"/>
  <c r="W41" i="188" s="1"/>
  <c r="R20" i="188"/>
  <c r="S20" i="188" s="1"/>
  <c r="R31" i="188"/>
  <c r="S31" i="188" s="1"/>
  <c r="R35" i="188"/>
  <c r="S35" i="188" s="1"/>
  <c r="R37" i="188"/>
  <c r="S37" i="188" s="1"/>
  <c r="R41" i="188"/>
  <c r="S41" i="188" s="1"/>
  <c r="T39" i="188"/>
  <c r="W39" i="188" s="1"/>
  <c r="R39" i="188"/>
  <c r="S39" i="188" s="1"/>
  <c r="Q7" i="188"/>
  <c r="T13" i="188"/>
  <c r="R13" i="188"/>
  <c r="T15" i="188"/>
  <c r="R15" i="188"/>
  <c r="T16" i="188"/>
  <c r="W16" i="188" s="1"/>
  <c r="R16" i="188"/>
  <c r="S16" i="188" s="1"/>
  <c r="T22" i="188"/>
  <c r="T24" i="188"/>
  <c r="W24" i="188" s="1"/>
  <c r="T27" i="188"/>
  <c r="W27" i="188" s="1"/>
  <c r="T32" i="188"/>
  <c r="W32" i="188" s="1"/>
  <c r="R32" i="188"/>
  <c r="S32" i="188" s="1"/>
  <c r="T33" i="188"/>
  <c r="W33" i="188" s="1"/>
  <c r="R33" i="188"/>
  <c r="S33" i="188" s="1"/>
  <c r="T43" i="188"/>
  <c r="T50" i="188"/>
  <c r="W50" i="188" s="1"/>
  <c r="R50" i="188"/>
  <c r="S50" i="188" s="1"/>
  <c r="R9" i="188"/>
  <c r="R7" i="188" s="1"/>
  <c r="Q11" i="188"/>
  <c r="S12" i="188"/>
  <c r="S13" i="188"/>
  <c r="S14" i="188"/>
  <c r="S15" i="188"/>
  <c r="S17" i="188"/>
  <c r="Q19" i="188"/>
  <c r="O18" i="188"/>
  <c r="O5" i="188" s="1"/>
  <c r="S21" i="188"/>
  <c r="T21" i="188"/>
  <c r="W21" i="188" s="1"/>
  <c r="R22" i="188"/>
  <c r="S22" i="188" s="1"/>
  <c r="S23" i="188"/>
  <c r="R24" i="188"/>
  <c r="S24" i="188" s="1"/>
  <c r="T25" i="188"/>
  <c r="R25" i="188"/>
  <c r="S25" i="188" s="1"/>
  <c r="Q26" i="188"/>
  <c r="H18" i="188"/>
  <c r="H5" i="188" s="1"/>
  <c r="R27" i="188"/>
  <c r="S27" i="188" s="1"/>
  <c r="S28" i="188"/>
  <c r="T28" i="188"/>
  <c r="T29" i="188"/>
  <c r="W29" i="188" s="1"/>
  <c r="R29" i="188"/>
  <c r="S29" i="188" s="1"/>
  <c r="T30" i="188"/>
  <c r="W30" i="188" s="1"/>
  <c r="R30" i="188"/>
  <c r="S30" i="188" s="1"/>
  <c r="S34" i="188"/>
  <c r="T36" i="188"/>
  <c r="W36" i="188" s="1"/>
  <c r="R36" i="188"/>
  <c r="S36" i="188" s="1"/>
  <c r="S40" i="188"/>
  <c r="S42" i="188"/>
  <c r="T42" i="188"/>
  <c r="W42" i="188" s="1"/>
  <c r="R43" i="188"/>
  <c r="S43" i="188" s="1"/>
  <c r="S45" i="188"/>
  <c r="T47" i="188"/>
  <c r="W47" i="188" s="1"/>
  <c r="R47" i="188"/>
  <c r="S47" i="188" s="1"/>
  <c r="S49" i="188"/>
  <c r="S51" i="188"/>
  <c r="S53" i="188"/>
  <c r="T53" i="188"/>
  <c r="W53" i="188" s="1"/>
  <c r="N10" i="187"/>
  <c r="H10" i="187"/>
  <c r="E10" i="187"/>
  <c r="I2" i="184"/>
  <c r="I1" i="184"/>
  <c r="O1" i="170"/>
  <c r="O1" i="161"/>
  <c r="O1" i="162"/>
  <c r="P1" i="177"/>
  <c r="S15" i="190" l="1"/>
  <c r="W39" i="192"/>
  <c r="W33" i="192"/>
  <c r="W42" i="192"/>
  <c r="W36" i="192"/>
  <c r="W41" i="192"/>
  <c r="W35" i="192"/>
  <c r="S39" i="192"/>
  <c r="S33" i="192"/>
  <c r="S42" i="192"/>
  <c r="S36" i="192"/>
  <c r="W38" i="192"/>
  <c r="W32" i="192"/>
  <c r="W27" i="192"/>
  <c r="W26" i="192"/>
  <c r="W21" i="192"/>
  <c r="W20" i="192"/>
  <c r="W30" i="192"/>
  <c r="W29" i="192"/>
  <c r="W23" i="192"/>
  <c r="S27" i="192"/>
  <c r="S26" i="192"/>
  <c r="S25" i="192"/>
  <c r="S21" i="192"/>
  <c r="S20" i="192"/>
  <c r="S30" i="192"/>
  <c r="Q18" i="192"/>
  <c r="P5" i="191"/>
  <c r="T7" i="190"/>
  <c r="S9" i="188"/>
  <c r="S7" i="188" s="1"/>
  <c r="N5" i="191"/>
  <c r="R10" i="191"/>
  <c r="Q5" i="190"/>
  <c r="Q44" i="191"/>
  <c r="R31" i="191"/>
  <c r="S31" i="191" s="1"/>
  <c r="Q6" i="189"/>
  <c r="G5" i="191"/>
  <c r="T55" i="192"/>
  <c r="O5" i="192"/>
  <c r="S11" i="192"/>
  <c r="S44" i="192"/>
  <c r="T11" i="192"/>
  <c r="Q6" i="192"/>
  <c r="E5" i="192"/>
  <c r="S7" i="192"/>
  <c r="T7" i="192"/>
  <c r="T6" i="192" s="1"/>
  <c r="R44" i="192"/>
  <c r="W44" i="192"/>
  <c r="T44" i="192"/>
  <c r="R24" i="192"/>
  <c r="T24" i="192"/>
  <c r="R11" i="192"/>
  <c r="S19" i="192"/>
  <c r="W7" i="192"/>
  <c r="R7" i="192"/>
  <c r="Q7" i="192"/>
  <c r="S10" i="191"/>
  <c r="Q6" i="191"/>
  <c r="E5" i="191"/>
  <c r="T8" i="191"/>
  <c r="T7" i="191" s="1"/>
  <c r="R8" i="191"/>
  <c r="R7" i="191" s="1"/>
  <c r="T46" i="191"/>
  <c r="W46" i="191" s="1"/>
  <c r="W44" i="191" s="1"/>
  <c r="R46" i="191"/>
  <c r="S46" i="191" s="1"/>
  <c r="S44" i="191" s="1"/>
  <c r="T20" i="191"/>
  <c r="W20" i="191" s="1"/>
  <c r="W18" i="191" s="1"/>
  <c r="R20" i="191"/>
  <c r="R18" i="191" s="1"/>
  <c r="Q18" i="191"/>
  <c r="R12" i="191"/>
  <c r="R11" i="191" s="1"/>
  <c r="T12" i="191"/>
  <c r="T11" i="191" s="1"/>
  <c r="Q11" i="191"/>
  <c r="W6" i="191"/>
  <c r="S11" i="190"/>
  <c r="S7" i="190"/>
  <c r="R44" i="190"/>
  <c r="R18" i="190"/>
  <c r="S19" i="190"/>
  <c r="S18" i="190" s="1"/>
  <c r="T11" i="190"/>
  <c r="T6" i="190" s="1"/>
  <c r="R11" i="190"/>
  <c r="W47" i="190"/>
  <c r="W44" i="190" s="1"/>
  <c r="T44" i="190"/>
  <c r="W18" i="190"/>
  <c r="T18" i="190"/>
  <c r="W7" i="190"/>
  <c r="W5" i="190" s="1"/>
  <c r="R7" i="190"/>
  <c r="R6" i="190" s="1"/>
  <c r="S47" i="190"/>
  <c r="S44" i="190" s="1"/>
  <c r="S19" i="189"/>
  <c r="R45" i="189"/>
  <c r="W19" i="189"/>
  <c r="T19" i="189"/>
  <c r="S46" i="189"/>
  <c r="S45" i="189" s="1"/>
  <c r="S12" i="189"/>
  <c r="R12" i="189"/>
  <c r="W45" i="189"/>
  <c r="T45" i="189"/>
  <c r="R19" i="189"/>
  <c r="R7" i="189"/>
  <c r="T12" i="189"/>
  <c r="W8" i="189"/>
  <c r="S9" i="189"/>
  <c r="S8" i="189" s="1"/>
  <c r="S7" i="189" s="1"/>
  <c r="T8" i="189"/>
  <c r="T44" i="188"/>
  <c r="Q5" i="188"/>
  <c r="T26" i="188"/>
  <c r="W26" i="188" s="1"/>
  <c r="W18" i="188" s="1"/>
  <c r="R26" i="188"/>
  <c r="S26" i="188" s="1"/>
  <c r="R44" i="188"/>
  <c r="R11" i="188"/>
  <c r="R6" i="188" s="1"/>
  <c r="W44" i="188"/>
  <c r="S44" i="188"/>
  <c r="Q18" i="188"/>
  <c r="T19" i="188"/>
  <c r="R19" i="188"/>
  <c r="S11" i="188"/>
  <c r="S6" i="188" s="1"/>
  <c r="W13" i="188"/>
  <c r="W7" i="188" s="1"/>
  <c r="T11" i="188"/>
  <c r="T6" i="188" s="1"/>
  <c r="U10" i="187"/>
  <c r="O13" i="181"/>
  <c r="O20" i="181"/>
  <c r="O12" i="184"/>
  <c r="E54" i="184"/>
  <c r="M54" i="184"/>
  <c r="O8" i="183"/>
  <c r="O7" i="183" s="1"/>
  <c r="O9" i="183"/>
  <c r="O10" i="183"/>
  <c r="O12" i="183"/>
  <c r="O13" i="183"/>
  <c r="O14" i="183"/>
  <c r="O15" i="183"/>
  <c r="O16" i="183"/>
  <c r="O17" i="183"/>
  <c r="O19" i="183"/>
  <c r="O20" i="183"/>
  <c r="O21" i="183"/>
  <c r="O22" i="183"/>
  <c r="O23" i="183"/>
  <c r="O24" i="183"/>
  <c r="O25" i="183"/>
  <c r="O26" i="183"/>
  <c r="O27" i="183"/>
  <c r="O28" i="183"/>
  <c r="O29" i="183"/>
  <c r="O30" i="183"/>
  <c r="O31" i="183"/>
  <c r="O32" i="183"/>
  <c r="O33" i="183"/>
  <c r="O34" i="183"/>
  <c r="O35" i="183"/>
  <c r="O36" i="183"/>
  <c r="O37" i="183"/>
  <c r="O38" i="183"/>
  <c r="O39" i="183"/>
  <c r="O40" i="183"/>
  <c r="O41" i="183"/>
  <c r="O42" i="183"/>
  <c r="O43" i="183"/>
  <c r="O45" i="183"/>
  <c r="O46" i="183"/>
  <c r="O47" i="183"/>
  <c r="O48" i="183"/>
  <c r="O49" i="183"/>
  <c r="O50" i="183"/>
  <c r="O51" i="183"/>
  <c r="O52" i="183"/>
  <c r="O53" i="183"/>
  <c r="O44" i="182"/>
  <c r="N44" i="182"/>
  <c r="O18" i="182"/>
  <c r="N18" i="182"/>
  <c r="O11" i="182"/>
  <c r="N11" i="182"/>
  <c r="O7" i="182"/>
  <c r="N7" i="182"/>
  <c r="O6" i="182"/>
  <c r="N6" i="182"/>
  <c r="O45" i="181"/>
  <c r="N45" i="181"/>
  <c r="O19" i="181"/>
  <c r="N19" i="181"/>
  <c r="O12" i="181"/>
  <c r="O7" i="181" s="1"/>
  <c r="N12" i="181"/>
  <c r="O8" i="181"/>
  <c r="N8" i="181"/>
  <c r="O44" i="180"/>
  <c r="N44" i="180"/>
  <c r="O18" i="180"/>
  <c r="O5" i="180" s="1"/>
  <c r="N18" i="180"/>
  <c r="N5" i="180" s="1"/>
  <c r="O11" i="180"/>
  <c r="N11" i="180"/>
  <c r="O7" i="180"/>
  <c r="N7" i="180"/>
  <c r="O6" i="180"/>
  <c r="N6" i="180"/>
  <c r="O7" i="184"/>
  <c r="O11" i="184"/>
  <c r="O18" i="184"/>
  <c r="O44" i="184"/>
  <c r="Q5" i="191" l="1"/>
  <c r="W24" i="192"/>
  <c r="R18" i="192"/>
  <c r="S6" i="190"/>
  <c r="R18" i="188"/>
  <c r="T18" i="188"/>
  <c r="S20" i="191"/>
  <c r="S18" i="191" s="1"/>
  <c r="S6" i="192"/>
  <c r="R44" i="191"/>
  <c r="S24" i="192"/>
  <c r="R5" i="190"/>
  <c r="T5" i="188"/>
  <c r="W6" i="189"/>
  <c r="T7" i="189"/>
  <c r="T6" i="189" s="1"/>
  <c r="R6" i="192"/>
  <c r="Q5" i="192"/>
  <c r="T18" i="192"/>
  <c r="T5" i="192" s="1"/>
  <c r="W5" i="191"/>
  <c r="W1" i="191" s="1"/>
  <c r="S12" i="191"/>
  <c r="S11" i="191" s="1"/>
  <c r="S8" i="191"/>
  <c r="S7" i="191" s="1"/>
  <c r="T6" i="191"/>
  <c r="T18" i="191"/>
  <c r="R6" i="191"/>
  <c r="T44" i="191"/>
  <c r="T5" i="190"/>
  <c r="S5" i="190"/>
  <c r="S6" i="189"/>
  <c r="R6" i="189"/>
  <c r="R5" i="188"/>
  <c r="W5" i="188"/>
  <c r="S19" i="188"/>
  <c r="S18" i="188" s="1"/>
  <c r="S5" i="188" s="1"/>
  <c r="N7" i="181"/>
  <c r="O5" i="182"/>
  <c r="N5" i="182"/>
  <c r="O11" i="183"/>
  <c r="O6" i="181"/>
  <c r="N6" i="181"/>
  <c r="O18" i="183"/>
  <c r="O44" i="183"/>
  <c r="O6" i="183"/>
  <c r="O6" i="184"/>
  <c r="O5" i="184" s="1"/>
  <c r="N44" i="184"/>
  <c r="N18" i="184"/>
  <c r="N11" i="184"/>
  <c r="N7" i="184"/>
  <c r="N6" i="184" s="1"/>
  <c r="N8" i="183"/>
  <c r="N9" i="183"/>
  <c r="N10" i="183"/>
  <c r="N12" i="183"/>
  <c r="N13" i="183"/>
  <c r="N14" i="183"/>
  <c r="N15" i="183"/>
  <c r="N16" i="183"/>
  <c r="N17" i="183"/>
  <c r="N19" i="183"/>
  <c r="N20" i="183"/>
  <c r="N21" i="183"/>
  <c r="N22" i="183"/>
  <c r="N23" i="183"/>
  <c r="N24" i="183"/>
  <c r="N25" i="183"/>
  <c r="N26" i="183"/>
  <c r="N27" i="183"/>
  <c r="N28" i="183"/>
  <c r="N29" i="183"/>
  <c r="N30" i="183"/>
  <c r="N31" i="183"/>
  <c r="N32" i="183"/>
  <c r="N33" i="183"/>
  <c r="N34" i="183"/>
  <c r="N35" i="183"/>
  <c r="N36" i="183"/>
  <c r="N37" i="183"/>
  <c r="N38" i="183"/>
  <c r="N39" i="183"/>
  <c r="N40" i="183"/>
  <c r="N41" i="183"/>
  <c r="N42" i="183"/>
  <c r="N43" i="183"/>
  <c r="N45" i="183"/>
  <c r="N46" i="183"/>
  <c r="N47" i="183"/>
  <c r="N48" i="183"/>
  <c r="N49" i="183"/>
  <c r="N50" i="183"/>
  <c r="N51" i="183"/>
  <c r="N52" i="183"/>
  <c r="N53" i="183"/>
  <c r="P30" i="180"/>
  <c r="P22" i="180"/>
  <c r="P19" i="180"/>
  <c r="R5" i="191" l="1"/>
  <c r="R5" i="192"/>
  <c r="S18" i="192"/>
  <c r="S5" i="192" s="1"/>
  <c r="W18" i="192"/>
  <c r="W5" i="192" s="1"/>
  <c r="S6" i="191"/>
  <c r="S5" i="191" s="1"/>
  <c r="T5" i="191"/>
  <c r="O5" i="183"/>
  <c r="N44" i="183"/>
  <c r="N18" i="183"/>
  <c r="N7" i="183"/>
  <c r="N11" i="183"/>
  <c r="N5" i="184"/>
  <c r="N6" i="183" l="1"/>
  <c r="N5" i="183" s="1"/>
  <c r="P27" i="182"/>
  <c r="P24" i="182"/>
  <c r="P21" i="182"/>
  <c r="P28" i="181"/>
  <c r="P25" i="181"/>
  <c r="P22" i="181"/>
  <c r="P54" i="181"/>
  <c r="P51" i="181"/>
  <c r="P42" i="180"/>
  <c r="P39" i="180"/>
  <c r="P33" i="180"/>
  <c r="P27" i="180"/>
  <c r="P24" i="180"/>
  <c r="P21" i="180"/>
  <c r="P53" i="180"/>
  <c r="P27" i="184"/>
  <c r="P24" i="184"/>
  <c r="P21" i="184"/>
  <c r="P50" i="184"/>
  <c r="P53" i="184"/>
  <c r="P47" i="184"/>
  <c r="M21" i="182"/>
  <c r="M22" i="181"/>
  <c r="M54" i="181"/>
  <c r="M24" i="180"/>
  <c r="M21" i="180"/>
  <c r="J10" i="184" l="1"/>
  <c r="J9" i="184"/>
  <c r="J8" i="184"/>
  <c r="G24" i="182" l="1"/>
  <c r="G21" i="182"/>
  <c r="G25" i="181"/>
  <c r="G22" i="181"/>
  <c r="G27" i="180"/>
  <c r="G24" i="180"/>
  <c r="G21" i="180"/>
  <c r="H27" i="180" l="1"/>
  <c r="H39" i="180"/>
  <c r="H43" i="180"/>
  <c r="H32" i="180"/>
  <c r="H29" i="180"/>
  <c r="H28" i="180"/>
  <c r="H26" i="180"/>
  <c r="F37" i="150" l="1"/>
  <c r="F45" i="183" l="1"/>
  <c r="G45" i="183"/>
  <c r="H45" i="183"/>
  <c r="I45" i="183"/>
  <c r="J45" i="183"/>
  <c r="K45" i="183"/>
  <c r="L45" i="183"/>
  <c r="M45" i="183"/>
  <c r="P45" i="183"/>
  <c r="Q45" i="183"/>
  <c r="F46" i="183"/>
  <c r="G46" i="183"/>
  <c r="H46" i="183"/>
  <c r="I46" i="183"/>
  <c r="J46" i="183"/>
  <c r="K46" i="183"/>
  <c r="L46" i="183"/>
  <c r="M46" i="183"/>
  <c r="P46" i="183"/>
  <c r="Q46" i="183"/>
  <c r="F47" i="183"/>
  <c r="G47" i="183"/>
  <c r="H47" i="183"/>
  <c r="I47" i="183"/>
  <c r="J47" i="183"/>
  <c r="K47" i="183"/>
  <c r="L47" i="183"/>
  <c r="M47" i="183"/>
  <c r="P47" i="183"/>
  <c r="Q47" i="183"/>
  <c r="F48" i="183"/>
  <c r="G48" i="183"/>
  <c r="H48" i="183"/>
  <c r="I48" i="183"/>
  <c r="J48" i="183"/>
  <c r="K48" i="183"/>
  <c r="L48" i="183"/>
  <c r="M48" i="183"/>
  <c r="P48" i="183"/>
  <c r="Q48" i="183"/>
  <c r="F49" i="183"/>
  <c r="G49" i="183"/>
  <c r="H49" i="183"/>
  <c r="I49" i="183"/>
  <c r="J49" i="183"/>
  <c r="K49" i="183"/>
  <c r="L49" i="183"/>
  <c r="M49" i="183"/>
  <c r="P49" i="183"/>
  <c r="Q49" i="183"/>
  <c r="F50" i="183"/>
  <c r="G50" i="183"/>
  <c r="H50" i="183"/>
  <c r="I50" i="183"/>
  <c r="J50" i="183"/>
  <c r="K50" i="183"/>
  <c r="L50" i="183"/>
  <c r="M50" i="183"/>
  <c r="P50" i="183"/>
  <c r="Q50" i="183"/>
  <c r="F51" i="183"/>
  <c r="G51" i="183"/>
  <c r="H51" i="183"/>
  <c r="I51" i="183"/>
  <c r="J51" i="183"/>
  <c r="K51" i="183"/>
  <c r="L51" i="183"/>
  <c r="M51" i="183"/>
  <c r="P51" i="183"/>
  <c r="Q51" i="183"/>
  <c r="F52" i="183"/>
  <c r="G52" i="183"/>
  <c r="H52" i="183"/>
  <c r="I52" i="183"/>
  <c r="J52" i="183"/>
  <c r="K52" i="183"/>
  <c r="L52" i="183"/>
  <c r="M52" i="183"/>
  <c r="P52" i="183"/>
  <c r="Q52" i="183"/>
  <c r="F53" i="183"/>
  <c r="G53" i="183"/>
  <c r="H53" i="183"/>
  <c r="I53" i="183"/>
  <c r="J53" i="183"/>
  <c r="K53" i="183"/>
  <c r="L53" i="183"/>
  <c r="M53" i="183"/>
  <c r="P53" i="183"/>
  <c r="Q53" i="183"/>
  <c r="E46" i="183"/>
  <c r="E47" i="183"/>
  <c r="E48" i="183"/>
  <c r="E49" i="183"/>
  <c r="E50" i="183"/>
  <c r="E51" i="183"/>
  <c r="E52" i="183"/>
  <c r="E53" i="183"/>
  <c r="E45" i="183"/>
  <c r="F19" i="183"/>
  <c r="G19" i="183"/>
  <c r="H19" i="183"/>
  <c r="I19" i="183"/>
  <c r="J19" i="183"/>
  <c r="K19" i="183"/>
  <c r="L19" i="183"/>
  <c r="M19" i="183"/>
  <c r="P19" i="183"/>
  <c r="Q19" i="183"/>
  <c r="F20" i="183"/>
  <c r="G20" i="183"/>
  <c r="H20" i="183"/>
  <c r="I20" i="183"/>
  <c r="J20" i="183"/>
  <c r="K20" i="183"/>
  <c r="L20" i="183"/>
  <c r="M20" i="183"/>
  <c r="P20" i="183"/>
  <c r="Q20" i="183"/>
  <c r="F21" i="183"/>
  <c r="G21" i="183"/>
  <c r="H21" i="183"/>
  <c r="I21" i="183"/>
  <c r="J21" i="183"/>
  <c r="K21" i="183"/>
  <c r="L21" i="183"/>
  <c r="M21" i="183"/>
  <c r="P21" i="183"/>
  <c r="Q21" i="183"/>
  <c r="F22" i="183"/>
  <c r="G22" i="183"/>
  <c r="H22" i="183"/>
  <c r="I22" i="183"/>
  <c r="J22" i="183"/>
  <c r="K22" i="183"/>
  <c r="L22" i="183"/>
  <c r="M22" i="183"/>
  <c r="P22" i="183"/>
  <c r="Q22" i="183"/>
  <c r="F23" i="183"/>
  <c r="G23" i="183"/>
  <c r="H23" i="183"/>
  <c r="I23" i="183"/>
  <c r="J23" i="183"/>
  <c r="K23" i="183"/>
  <c r="L23" i="183"/>
  <c r="M23" i="183"/>
  <c r="P23" i="183"/>
  <c r="Q23" i="183"/>
  <c r="F24" i="183"/>
  <c r="G24" i="183"/>
  <c r="H24" i="183"/>
  <c r="I24" i="183"/>
  <c r="J24" i="183"/>
  <c r="K24" i="183"/>
  <c r="L24" i="183"/>
  <c r="M24" i="183"/>
  <c r="P24" i="183"/>
  <c r="Q24" i="183"/>
  <c r="F25" i="183"/>
  <c r="G25" i="183"/>
  <c r="H25" i="183"/>
  <c r="I25" i="183"/>
  <c r="J25" i="183"/>
  <c r="K25" i="183"/>
  <c r="L25" i="183"/>
  <c r="M25" i="183"/>
  <c r="P25" i="183"/>
  <c r="Q25" i="183"/>
  <c r="F26" i="183"/>
  <c r="G26" i="183"/>
  <c r="H26" i="183"/>
  <c r="I26" i="183"/>
  <c r="J26" i="183"/>
  <c r="K26" i="183"/>
  <c r="L26" i="183"/>
  <c r="M26" i="183"/>
  <c r="P26" i="183"/>
  <c r="Q26" i="183"/>
  <c r="F27" i="183"/>
  <c r="G27" i="183"/>
  <c r="H27" i="183"/>
  <c r="I27" i="183"/>
  <c r="J27" i="183"/>
  <c r="K27" i="183"/>
  <c r="L27" i="183"/>
  <c r="M27" i="183"/>
  <c r="P27" i="183"/>
  <c r="Q27" i="183"/>
  <c r="F28" i="183"/>
  <c r="G28" i="183"/>
  <c r="H28" i="183"/>
  <c r="I28" i="183"/>
  <c r="J28" i="183"/>
  <c r="K28" i="183"/>
  <c r="L28" i="183"/>
  <c r="M28" i="183"/>
  <c r="P28" i="183"/>
  <c r="Q28" i="183"/>
  <c r="F29" i="183"/>
  <c r="G29" i="183"/>
  <c r="H29" i="183"/>
  <c r="I29" i="183"/>
  <c r="J29" i="183"/>
  <c r="K29" i="183"/>
  <c r="L29" i="183"/>
  <c r="M29" i="183"/>
  <c r="P29" i="183"/>
  <c r="Q29" i="183"/>
  <c r="F30" i="183"/>
  <c r="G30" i="183"/>
  <c r="H30" i="183"/>
  <c r="I30" i="183"/>
  <c r="J30" i="183"/>
  <c r="K30" i="183"/>
  <c r="L30" i="183"/>
  <c r="M30" i="183"/>
  <c r="P30" i="183"/>
  <c r="Q30" i="183"/>
  <c r="F31" i="183"/>
  <c r="G31" i="183"/>
  <c r="H31" i="183"/>
  <c r="I31" i="183"/>
  <c r="J31" i="183"/>
  <c r="K31" i="183"/>
  <c r="L31" i="183"/>
  <c r="M31" i="183"/>
  <c r="P31" i="183"/>
  <c r="Q31" i="183"/>
  <c r="F32" i="183"/>
  <c r="G32" i="183"/>
  <c r="H32" i="183"/>
  <c r="I32" i="183"/>
  <c r="J32" i="183"/>
  <c r="K32" i="183"/>
  <c r="L32" i="183"/>
  <c r="M32" i="183"/>
  <c r="P32" i="183"/>
  <c r="Q32" i="183"/>
  <c r="F33" i="183"/>
  <c r="G33" i="183"/>
  <c r="H33" i="183"/>
  <c r="I33" i="183"/>
  <c r="J33" i="183"/>
  <c r="K33" i="183"/>
  <c r="L33" i="183"/>
  <c r="M33" i="183"/>
  <c r="P33" i="183"/>
  <c r="Q33" i="183"/>
  <c r="F34" i="183"/>
  <c r="G34" i="183"/>
  <c r="H34" i="183"/>
  <c r="I34" i="183"/>
  <c r="J34" i="183"/>
  <c r="K34" i="183"/>
  <c r="L34" i="183"/>
  <c r="M34" i="183"/>
  <c r="P34" i="183"/>
  <c r="Q34" i="183"/>
  <c r="F35" i="183"/>
  <c r="G35" i="183"/>
  <c r="H35" i="183"/>
  <c r="I35" i="183"/>
  <c r="J35" i="183"/>
  <c r="K35" i="183"/>
  <c r="L35" i="183"/>
  <c r="M35" i="183"/>
  <c r="P35" i="183"/>
  <c r="Q35" i="183"/>
  <c r="F36" i="183"/>
  <c r="G36" i="183"/>
  <c r="H36" i="183"/>
  <c r="I36" i="183"/>
  <c r="J36" i="183"/>
  <c r="K36" i="183"/>
  <c r="L36" i="183"/>
  <c r="M36" i="183"/>
  <c r="P36" i="183"/>
  <c r="Q36" i="183"/>
  <c r="F37" i="183"/>
  <c r="G37" i="183"/>
  <c r="H37" i="183"/>
  <c r="I37" i="183"/>
  <c r="J37" i="183"/>
  <c r="K37" i="183"/>
  <c r="L37" i="183"/>
  <c r="M37" i="183"/>
  <c r="P37" i="183"/>
  <c r="Q37" i="183"/>
  <c r="F38" i="183"/>
  <c r="G38" i="183"/>
  <c r="H38" i="183"/>
  <c r="I38" i="183"/>
  <c r="J38" i="183"/>
  <c r="K38" i="183"/>
  <c r="L38" i="183"/>
  <c r="M38" i="183"/>
  <c r="P38" i="183"/>
  <c r="Q38" i="183"/>
  <c r="F39" i="183"/>
  <c r="G39" i="183"/>
  <c r="H39" i="183"/>
  <c r="I39" i="183"/>
  <c r="J39" i="183"/>
  <c r="K39" i="183"/>
  <c r="L39" i="183"/>
  <c r="M39" i="183"/>
  <c r="P39" i="183"/>
  <c r="Q39" i="183"/>
  <c r="F40" i="183"/>
  <c r="G40" i="183"/>
  <c r="H40" i="183"/>
  <c r="I40" i="183"/>
  <c r="J40" i="183"/>
  <c r="K40" i="183"/>
  <c r="L40" i="183"/>
  <c r="M40" i="183"/>
  <c r="P40" i="183"/>
  <c r="Q40" i="183"/>
  <c r="F41" i="183"/>
  <c r="G41" i="183"/>
  <c r="H41" i="183"/>
  <c r="I41" i="183"/>
  <c r="J41" i="183"/>
  <c r="K41" i="183"/>
  <c r="L41" i="183"/>
  <c r="M41" i="183"/>
  <c r="P41" i="183"/>
  <c r="Q41" i="183"/>
  <c r="F42" i="183"/>
  <c r="G42" i="183"/>
  <c r="H42" i="183"/>
  <c r="I42" i="183"/>
  <c r="J42" i="183"/>
  <c r="K42" i="183"/>
  <c r="L42" i="183"/>
  <c r="M42" i="183"/>
  <c r="P42" i="183"/>
  <c r="Q42" i="183"/>
  <c r="F43" i="183"/>
  <c r="G43" i="183"/>
  <c r="H43" i="183"/>
  <c r="I43" i="183"/>
  <c r="J43" i="183"/>
  <c r="K43" i="183"/>
  <c r="L43" i="183"/>
  <c r="M43" i="183"/>
  <c r="P43" i="183"/>
  <c r="Q43" i="183"/>
  <c r="E20" i="183"/>
  <c r="E21" i="183"/>
  <c r="E22" i="183"/>
  <c r="E23" i="183"/>
  <c r="E24" i="183"/>
  <c r="E25" i="183"/>
  <c r="E26" i="183"/>
  <c r="E27" i="183"/>
  <c r="E28" i="183"/>
  <c r="E29" i="183"/>
  <c r="E30" i="183"/>
  <c r="E31" i="183"/>
  <c r="E32" i="183"/>
  <c r="E33" i="183"/>
  <c r="E34" i="183"/>
  <c r="E35" i="183"/>
  <c r="E36" i="183"/>
  <c r="E37" i="183"/>
  <c r="E38" i="183"/>
  <c r="E39" i="183"/>
  <c r="E40" i="183"/>
  <c r="E41" i="183"/>
  <c r="E42" i="183"/>
  <c r="E43" i="183"/>
  <c r="E19" i="183"/>
  <c r="F12" i="183"/>
  <c r="G12" i="183"/>
  <c r="H12" i="183"/>
  <c r="I12" i="183"/>
  <c r="J12" i="183"/>
  <c r="K12" i="183"/>
  <c r="L12" i="183"/>
  <c r="M12" i="183"/>
  <c r="P12" i="183"/>
  <c r="Q12" i="183"/>
  <c r="F13" i="183"/>
  <c r="G13" i="183"/>
  <c r="H13" i="183"/>
  <c r="I13" i="183"/>
  <c r="J13" i="183"/>
  <c r="K13" i="183"/>
  <c r="L13" i="183"/>
  <c r="M13" i="183"/>
  <c r="P13" i="183"/>
  <c r="Q13" i="183"/>
  <c r="F14" i="183"/>
  <c r="G14" i="183"/>
  <c r="H14" i="183"/>
  <c r="I14" i="183"/>
  <c r="J14" i="183"/>
  <c r="K14" i="183"/>
  <c r="L14" i="183"/>
  <c r="M14" i="183"/>
  <c r="P14" i="183"/>
  <c r="Q14" i="183"/>
  <c r="F15" i="183"/>
  <c r="G15" i="183"/>
  <c r="H15" i="183"/>
  <c r="I15" i="183"/>
  <c r="J15" i="183"/>
  <c r="K15" i="183"/>
  <c r="L15" i="183"/>
  <c r="M15" i="183"/>
  <c r="P15" i="183"/>
  <c r="Q15" i="183"/>
  <c r="F16" i="183"/>
  <c r="G16" i="183"/>
  <c r="H16" i="183"/>
  <c r="I16" i="183"/>
  <c r="J16" i="183"/>
  <c r="K16" i="183"/>
  <c r="L16" i="183"/>
  <c r="M16" i="183"/>
  <c r="P16" i="183"/>
  <c r="Q16" i="183"/>
  <c r="F17" i="183"/>
  <c r="G17" i="183"/>
  <c r="H17" i="183"/>
  <c r="I17" i="183"/>
  <c r="J17" i="183"/>
  <c r="K17" i="183"/>
  <c r="L17" i="183"/>
  <c r="M17" i="183"/>
  <c r="P17" i="183"/>
  <c r="Q17" i="183"/>
  <c r="E13" i="183"/>
  <c r="E14" i="183"/>
  <c r="E15" i="183"/>
  <c r="E16" i="183"/>
  <c r="E17" i="183"/>
  <c r="E12" i="183"/>
  <c r="F8" i="183"/>
  <c r="G8" i="183"/>
  <c r="H8" i="183"/>
  <c r="I8" i="183"/>
  <c r="J8" i="183"/>
  <c r="K8" i="183"/>
  <c r="L8" i="183"/>
  <c r="M8" i="183"/>
  <c r="P8" i="183"/>
  <c r="Q8" i="183"/>
  <c r="F9" i="183"/>
  <c r="G9" i="183"/>
  <c r="H9" i="183"/>
  <c r="I9" i="183"/>
  <c r="J9" i="183"/>
  <c r="K9" i="183"/>
  <c r="L9" i="183"/>
  <c r="M9" i="183"/>
  <c r="P9" i="183"/>
  <c r="Q9" i="183"/>
  <c r="F10" i="183"/>
  <c r="G10" i="183"/>
  <c r="H10" i="183"/>
  <c r="I10" i="183"/>
  <c r="J10" i="183"/>
  <c r="K10" i="183"/>
  <c r="L10" i="183"/>
  <c r="M10" i="183"/>
  <c r="P10" i="183"/>
  <c r="Q10" i="183"/>
  <c r="E9" i="183"/>
  <c r="E10" i="183"/>
  <c r="E8" i="183"/>
  <c r="O10" i="179" l="1"/>
  <c r="L10" i="179"/>
  <c r="I10" i="179"/>
  <c r="F10" i="179"/>
  <c r="Q4" i="179"/>
  <c r="Q5" i="179"/>
  <c r="Q6" i="179"/>
  <c r="Q7" i="179"/>
  <c r="Q8" i="179"/>
  <c r="Q9" i="179"/>
  <c r="P10" i="179"/>
  <c r="R55" i="184"/>
  <c r="S55" i="184" s="1"/>
  <c r="U54" i="184"/>
  <c r="R53" i="184"/>
  <c r="R52" i="184"/>
  <c r="U52" i="184" s="1"/>
  <c r="X52" i="184" s="1"/>
  <c r="R51" i="184"/>
  <c r="U51" i="184" s="1"/>
  <c r="R50" i="184"/>
  <c r="R49" i="184"/>
  <c r="R48" i="184"/>
  <c r="R47" i="184"/>
  <c r="R46" i="184"/>
  <c r="U46" i="184" s="1"/>
  <c r="X46" i="184" s="1"/>
  <c r="R45" i="184"/>
  <c r="U45" i="184" s="1"/>
  <c r="Q44" i="184"/>
  <c r="P44" i="184"/>
  <c r="M44" i="184"/>
  <c r="L44" i="184"/>
  <c r="K44" i="184"/>
  <c r="J44" i="184"/>
  <c r="I44" i="184"/>
  <c r="H44" i="184"/>
  <c r="G44" i="184"/>
  <c r="F44" i="184"/>
  <c r="E44" i="184"/>
  <c r="R43" i="184"/>
  <c r="U43" i="184" s="1"/>
  <c r="R42" i="184"/>
  <c r="S42" i="184" s="1"/>
  <c r="R41" i="184"/>
  <c r="U41" i="184" s="1"/>
  <c r="X41" i="184" s="1"/>
  <c r="R40" i="184"/>
  <c r="U40" i="184" s="1"/>
  <c r="R39" i="184"/>
  <c r="R38" i="184"/>
  <c r="U38" i="184" s="1"/>
  <c r="X38" i="184" s="1"/>
  <c r="R37" i="184"/>
  <c r="U37" i="184" s="1"/>
  <c r="R36" i="184"/>
  <c r="S36" i="184" s="1"/>
  <c r="R35" i="184"/>
  <c r="U35" i="184" s="1"/>
  <c r="X35" i="184" s="1"/>
  <c r="R34" i="184"/>
  <c r="U34" i="184" s="1"/>
  <c r="R33" i="184"/>
  <c r="R32" i="184"/>
  <c r="U32" i="184" s="1"/>
  <c r="X32" i="184" s="1"/>
  <c r="R31" i="184"/>
  <c r="U31" i="184" s="1"/>
  <c r="R30" i="184"/>
  <c r="R29" i="184"/>
  <c r="R28" i="184"/>
  <c r="S28" i="184" s="1"/>
  <c r="R27" i="184"/>
  <c r="U27" i="184" s="1"/>
  <c r="X27" i="184" s="1"/>
  <c r="R26" i="184"/>
  <c r="U26" i="184" s="1"/>
  <c r="X26" i="184" s="1"/>
  <c r="R25" i="184"/>
  <c r="U25" i="184" s="1"/>
  <c r="R24" i="184"/>
  <c r="R23" i="184"/>
  <c r="R22" i="184"/>
  <c r="R21" i="184"/>
  <c r="R20" i="184"/>
  <c r="S20" i="184" s="1"/>
  <c r="R19" i="184"/>
  <c r="Q18" i="184"/>
  <c r="P18" i="184"/>
  <c r="M18" i="184"/>
  <c r="L18" i="184"/>
  <c r="K18" i="184"/>
  <c r="J18" i="184"/>
  <c r="I18" i="184"/>
  <c r="H18" i="184"/>
  <c r="G18" i="184"/>
  <c r="F18" i="184"/>
  <c r="E18" i="184"/>
  <c r="R17" i="184"/>
  <c r="R16" i="184"/>
  <c r="U16" i="184" s="1"/>
  <c r="X16" i="184" s="1"/>
  <c r="R15" i="184"/>
  <c r="U15" i="184" s="1"/>
  <c r="R14" i="184"/>
  <c r="R13" i="184"/>
  <c r="U13" i="184" s="1"/>
  <c r="X13" i="184" s="1"/>
  <c r="R12" i="184"/>
  <c r="U12" i="184" s="1"/>
  <c r="Q11" i="184"/>
  <c r="P11" i="184"/>
  <c r="M11" i="184"/>
  <c r="L11" i="184"/>
  <c r="K11" i="184"/>
  <c r="J11" i="184"/>
  <c r="I11" i="184"/>
  <c r="H11" i="184"/>
  <c r="G11" i="184"/>
  <c r="F11" i="184"/>
  <c r="E11" i="184"/>
  <c r="R10" i="184"/>
  <c r="U10" i="184" s="1"/>
  <c r="X10" i="184" s="1"/>
  <c r="R9" i="184"/>
  <c r="D9" i="184"/>
  <c r="R8" i="184"/>
  <c r="U8" i="184" s="1"/>
  <c r="Q7" i="184"/>
  <c r="P7" i="184"/>
  <c r="M7" i="184"/>
  <c r="L7" i="184"/>
  <c r="K7" i="184"/>
  <c r="J7" i="184"/>
  <c r="J6" i="184" s="1"/>
  <c r="J5" i="184" s="1"/>
  <c r="I7" i="184"/>
  <c r="I6" i="184" s="1"/>
  <c r="I5" i="184" s="1"/>
  <c r="H7" i="184"/>
  <c r="G7" i="184"/>
  <c r="F7" i="184"/>
  <c r="E7" i="184"/>
  <c r="Q6" i="184"/>
  <c r="P6" i="184"/>
  <c r="M6" i="184"/>
  <c r="L6" i="184"/>
  <c r="K6" i="184"/>
  <c r="H6" i="184"/>
  <c r="G6" i="184"/>
  <c r="G5" i="184" s="1"/>
  <c r="F6" i="184"/>
  <c r="E6" i="184"/>
  <c r="E5" i="184" s="1"/>
  <c r="Q5" i="184"/>
  <c r="P5" i="184"/>
  <c r="L5" i="184"/>
  <c r="K5" i="184"/>
  <c r="R53" i="183"/>
  <c r="R52" i="183"/>
  <c r="R51" i="183"/>
  <c r="R50" i="183"/>
  <c r="R49" i="183"/>
  <c r="R48" i="183"/>
  <c r="R47" i="183"/>
  <c r="R46" i="183"/>
  <c r="R45" i="183"/>
  <c r="Q44" i="183"/>
  <c r="P44" i="183"/>
  <c r="M44" i="183"/>
  <c r="L44" i="183"/>
  <c r="K44" i="183"/>
  <c r="J44" i="183"/>
  <c r="I44" i="183"/>
  <c r="H44" i="183"/>
  <c r="G44" i="183"/>
  <c r="F44" i="183"/>
  <c r="E44" i="183"/>
  <c r="R43" i="183"/>
  <c r="R42" i="183"/>
  <c r="R41" i="183"/>
  <c r="R40" i="183"/>
  <c r="R39" i="183"/>
  <c r="R38" i="183"/>
  <c r="R37" i="183"/>
  <c r="R36" i="183"/>
  <c r="R35" i="183"/>
  <c r="R34" i="183"/>
  <c r="R33" i="183"/>
  <c r="R32" i="183"/>
  <c r="R31" i="183"/>
  <c r="R30" i="183"/>
  <c r="R29" i="183"/>
  <c r="R28" i="183"/>
  <c r="R27" i="183"/>
  <c r="R26" i="183"/>
  <c r="R25" i="183"/>
  <c r="R24" i="183"/>
  <c r="R23" i="183"/>
  <c r="R22" i="183"/>
  <c r="R21" i="183"/>
  <c r="R20" i="183"/>
  <c r="R19" i="183"/>
  <c r="Q18" i="183"/>
  <c r="P18" i="183"/>
  <c r="M18" i="183"/>
  <c r="L18" i="183"/>
  <c r="K18" i="183"/>
  <c r="J18" i="183"/>
  <c r="I18" i="183"/>
  <c r="H18" i="183"/>
  <c r="G18" i="183"/>
  <c r="F18" i="183"/>
  <c r="E18" i="183"/>
  <c r="R17" i="183"/>
  <c r="R16" i="183"/>
  <c r="R15" i="183"/>
  <c r="R14" i="183"/>
  <c r="R13" i="183"/>
  <c r="R12" i="183"/>
  <c r="Q11" i="183"/>
  <c r="P11" i="183"/>
  <c r="M11" i="183"/>
  <c r="L11" i="183"/>
  <c r="K11" i="183"/>
  <c r="J11" i="183"/>
  <c r="I11" i="183"/>
  <c r="H11" i="183"/>
  <c r="G11" i="183"/>
  <c r="F11" i="183"/>
  <c r="E11" i="183"/>
  <c r="R10" i="183"/>
  <c r="R9" i="183"/>
  <c r="D9" i="183"/>
  <c r="R8" i="183"/>
  <c r="Q7" i="183"/>
  <c r="Q6" i="183" s="1"/>
  <c r="Q5" i="183" s="1"/>
  <c r="P7" i="183"/>
  <c r="M7" i="183"/>
  <c r="M6" i="183" s="1"/>
  <c r="L7" i="183"/>
  <c r="K7" i="183"/>
  <c r="K6" i="183" s="1"/>
  <c r="K5" i="183" s="1"/>
  <c r="J7" i="183"/>
  <c r="I7" i="183"/>
  <c r="I6" i="183" s="1"/>
  <c r="I5" i="183" s="1"/>
  <c r="H7" i="183"/>
  <c r="G7" i="183"/>
  <c r="G6" i="183" s="1"/>
  <c r="F7" i="183"/>
  <c r="E7" i="183"/>
  <c r="P6" i="183"/>
  <c r="L6" i="183"/>
  <c r="J6" i="183"/>
  <c r="H6" i="183"/>
  <c r="F6" i="183"/>
  <c r="L5" i="183"/>
  <c r="J5" i="183"/>
  <c r="R53" i="182"/>
  <c r="R52" i="182"/>
  <c r="U52" i="182" s="1"/>
  <c r="X52" i="182" s="1"/>
  <c r="R51" i="182"/>
  <c r="R50" i="182"/>
  <c r="R49" i="182"/>
  <c r="R48" i="182"/>
  <c r="R47" i="182"/>
  <c r="U47" i="182" s="1"/>
  <c r="X47" i="182" s="1"/>
  <c r="R46" i="182"/>
  <c r="R45" i="182"/>
  <c r="Q44" i="182"/>
  <c r="P44" i="182"/>
  <c r="M44" i="182"/>
  <c r="K44" i="182"/>
  <c r="J44" i="182"/>
  <c r="I44" i="182"/>
  <c r="H44" i="182"/>
  <c r="G44" i="182"/>
  <c r="F44" i="182"/>
  <c r="E44" i="182"/>
  <c r="R43" i="182"/>
  <c r="U43" i="182" s="1"/>
  <c r="R42" i="182"/>
  <c r="R41" i="182"/>
  <c r="U41" i="182" s="1"/>
  <c r="X41" i="182" s="1"/>
  <c r="R40" i="182"/>
  <c r="U40" i="182" s="1"/>
  <c r="R39" i="182"/>
  <c r="R38" i="182"/>
  <c r="U38" i="182" s="1"/>
  <c r="X38" i="182" s="1"/>
  <c r="R37" i="182"/>
  <c r="U37" i="182" s="1"/>
  <c r="R36" i="182"/>
  <c r="R35" i="182"/>
  <c r="U35" i="182" s="1"/>
  <c r="X35" i="182" s="1"/>
  <c r="R34" i="182"/>
  <c r="U34" i="182" s="1"/>
  <c r="R33" i="182"/>
  <c r="R32" i="182"/>
  <c r="U32" i="182" s="1"/>
  <c r="X32" i="182" s="1"/>
  <c r="R31" i="182"/>
  <c r="U31" i="182" s="1"/>
  <c r="R30" i="182"/>
  <c r="R29" i="182"/>
  <c r="R28" i="182"/>
  <c r="R27" i="182"/>
  <c r="R26" i="182"/>
  <c r="R25" i="182"/>
  <c r="R24" i="182"/>
  <c r="R23" i="182"/>
  <c r="U23" i="182" s="1"/>
  <c r="X23" i="182" s="1"/>
  <c r="R22" i="182"/>
  <c r="R21" i="182"/>
  <c r="R20" i="182"/>
  <c r="R19" i="182"/>
  <c r="Q18" i="182"/>
  <c r="P18" i="182"/>
  <c r="M18" i="182"/>
  <c r="K18" i="182"/>
  <c r="J18" i="182"/>
  <c r="I18" i="182"/>
  <c r="H18" i="182"/>
  <c r="G18" i="182"/>
  <c r="F18" i="182"/>
  <c r="E18" i="182"/>
  <c r="R17" i="182"/>
  <c r="S17" i="182" s="1"/>
  <c r="R16" i="182"/>
  <c r="U16" i="182" s="1"/>
  <c r="X16" i="182" s="1"/>
  <c r="R15" i="182"/>
  <c r="U15" i="182" s="1"/>
  <c r="R14" i="182"/>
  <c r="R13" i="182"/>
  <c r="R12" i="182"/>
  <c r="R11" i="182" s="1"/>
  <c r="Q11" i="182"/>
  <c r="P11" i="182"/>
  <c r="M11" i="182"/>
  <c r="K11" i="182"/>
  <c r="J11" i="182"/>
  <c r="I11" i="182"/>
  <c r="H11" i="182"/>
  <c r="G11" i="182"/>
  <c r="F11" i="182"/>
  <c r="E11" i="182"/>
  <c r="R10" i="182"/>
  <c r="U10" i="182" s="1"/>
  <c r="X10" i="182" s="1"/>
  <c r="R9" i="182"/>
  <c r="D9" i="182"/>
  <c r="R8" i="182"/>
  <c r="U8" i="182" s="1"/>
  <c r="Q7" i="182"/>
  <c r="P7" i="182"/>
  <c r="M7" i="182"/>
  <c r="K7" i="182"/>
  <c r="J7" i="182"/>
  <c r="I7" i="182"/>
  <c r="H7" i="182"/>
  <c r="G7" i="182"/>
  <c r="F7" i="182"/>
  <c r="E7" i="182"/>
  <c r="R7" i="182" s="1"/>
  <c r="Q6" i="182"/>
  <c r="P6" i="182"/>
  <c r="M6" i="182"/>
  <c r="K6" i="182"/>
  <c r="J6" i="182"/>
  <c r="I6" i="182"/>
  <c r="H6" i="182"/>
  <c r="G6" i="182"/>
  <c r="F6" i="182"/>
  <c r="E6" i="182"/>
  <c r="R6" i="182" s="1"/>
  <c r="Q5" i="182"/>
  <c r="K5" i="182"/>
  <c r="J5" i="182"/>
  <c r="I5" i="182"/>
  <c r="R54" i="181"/>
  <c r="R53" i="181"/>
  <c r="R52" i="181"/>
  <c r="R51" i="181"/>
  <c r="R50" i="181"/>
  <c r="R49" i="181"/>
  <c r="S49" i="181" s="1"/>
  <c r="R48" i="181"/>
  <c r="R47" i="181"/>
  <c r="R46" i="181"/>
  <c r="Q45" i="181"/>
  <c r="P45" i="181"/>
  <c r="M45" i="181"/>
  <c r="L45" i="181"/>
  <c r="K45" i="181"/>
  <c r="J45" i="181"/>
  <c r="I45" i="181"/>
  <c r="H45" i="181"/>
  <c r="G45" i="181"/>
  <c r="F45" i="181"/>
  <c r="E45" i="181"/>
  <c r="R44" i="181"/>
  <c r="R43" i="181"/>
  <c r="S43" i="181" s="1"/>
  <c r="R42" i="181"/>
  <c r="R41" i="181"/>
  <c r="R40" i="181"/>
  <c r="R39" i="181"/>
  <c r="R38" i="181"/>
  <c r="R37" i="181"/>
  <c r="S37" i="181" s="1"/>
  <c r="R36" i="181"/>
  <c r="R35" i="181"/>
  <c r="R34" i="181"/>
  <c r="R33" i="181"/>
  <c r="R32" i="181"/>
  <c r="R31" i="181"/>
  <c r="R30" i="181"/>
  <c r="R29" i="181"/>
  <c r="S29" i="181" s="1"/>
  <c r="R28" i="181"/>
  <c r="R27" i="181"/>
  <c r="S27" i="181" s="1"/>
  <c r="R26" i="181"/>
  <c r="R25" i="181"/>
  <c r="R24" i="181"/>
  <c r="R23" i="181"/>
  <c r="R22" i="181"/>
  <c r="R21" i="181"/>
  <c r="S21" i="181" s="1"/>
  <c r="R20" i="181"/>
  <c r="Q19" i="181"/>
  <c r="M19" i="181"/>
  <c r="L19" i="181"/>
  <c r="K19" i="181"/>
  <c r="J19" i="181"/>
  <c r="I19" i="181"/>
  <c r="H19" i="181"/>
  <c r="G19" i="181"/>
  <c r="F19" i="181"/>
  <c r="E19" i="181"/>
  <c r="R18" i="181"/>
  <c r="S18" i="181" s="1"/>
  <c r="R17" i="181"/>
  <c r="R16" i="181"/>
  <c r="R15" i="181"/>
  <c r="S15" i="181" s="1"/>
  <c r="R14" i="181"/>
  <c r="R13" i="181"/>
  <c r="S13" i="181" s="1"/>
  <c r="Q12" i="181"/>
  <c r="P12" i="181"/>
  <c r="M12" i="181"/>
  <c r="L12" i="181"/>
  <c r="K12" i="181"/>
  <c r="J12" i="181"/>
  <c r="I12" i="181"/>
  <c r="H12" i="181"/>
  <c r="G12" i="181"/>
  <c r="F12" i="181"/>
  <c r="E12" i="181"/>
  <c r="R11" i="181"/>
  <c r="R10" i="181"/>
  <c r="D10" i="181"/>
  <c r="R9" i="181"/>
  <c r="Q8" i="181"/>
  <c r="Q7" i="181" s="1"/>
  <c r="Q6" i="181" s="1"/>
  <c r="P8" i="181"/>
  <c r="M8" i="181"/>
  <c r="M7" i="181" s="1"/>
  <c r="M6" i="181" s="1"/>
  <c r="L8" i="181"/>
  <c r="K8" i="181"/>
  <c r="K7" i="181" s="1"/>
  <c r="K6" i="181" s="1"/>
  <c r="I8" i="181"/>
  <c r="I7" i="181" s="1"/>
  <c r="H8" i="181"/>
  <c r="H7" i="181" s="1"/>
  <c r="H6" i="181" s="1"/>
  <c r="G8" i="181"/>
  <c r="G7" i="181" s="1"/>
  <c r="F8" i="181"/>
  <c r="F7" i="181" s="1"/>
  <c r="E8" i="181"/>
  <c r="P7" i="181"/>
  <c r="R53" i="180"/>
  <c r="R52" i="180"/>
  <c r="R51" i="180"/>
  <c r="R50" i="180"/>
  <c r="R49" i="180"/>
  <c r="R48" i="180"/>
  <c r="S48" i="180" s="1"/>
  <c r="R47" i="180"/>
  <c r="R46" i="180"/>
  <c r="S46" i="180" s="1"/>
  <c r="R45" i="180"/>
  <c r="Q44" i="180"/>
  <c r="P44" i="180"/>
  <c r="M44" i="180"/>
  <c r="L44" i="180"/>
  <c r="K44" i="180"/>
  <c r="J44" i="180"/>
  <c r="I44" i="180"/>
  <c r="H44" i="180"/>
  <c r="G44" i="180"/>
  <c r="F44" i="180"/>
  <c r="E44" i="180"/>
  <c r="R43" i="180"/>
  <c r="R42" i="180"/>
  <c r="R41" i="180"/>
  <c r="S41" i="180" s="1"/>
  <c r="R40" i="180"/>
  <c r="S40" i="180" s="1"/>
  <c r="R39" i="180"/>
  <c r="R38" i="180"/>
  <c r="R37" i="180"/>
  <c r="R36" i="180"/>
  <c r="S36" i="180" s="1"/>
  <c r="R35" i="180"/>
  <c r="R34" i="180"/>
  <c r="R33" i="180"/>
  <c r="R32" i="180"/>
  <c r="R31" i="180"/>
  <c r="S31" i="180" s="1"/>
  <c r="R30" i="180"/>
  <c r="R29" i="180"/>
  <c r="R28" i="180"/>
  <c r="R27" i="180"/>
  <c r="R26" i="180"/>
  <c r="R25" i="180"/>
  <c r="R24" i="180"/>
  <c r="R23" i="180"/>
  <c r="S23" i="180" s="1"/>
  <c r="R22" i="180"/>
  <c r="S22" i="180" s="1"/>
  <c r="R21" i="180"/>
  <c r="R20" i="180"/>
  <c r="R19" i="180"/>
  <c r="Q18" i="180"/>
  <c r="P18" i="180"/>
  <c r="M18" i="180"/>
  <c r="L18" i="180"/>
  <c r="K18" i="180"/>
  <c r="J18" i="180"/>
  <c r="I18" i="180"/>
  <c r="H18" i="180"/>
  <c r="G18" i="180"/>
  <c r="F18" i="180"/>
  <c r="E18" i="180"/>
  <c r="R17" i="180"/>
  <c r="R16" i="180"/>
  <c r="S16" i="180" s="1"/>
  <c r="R15" i="180"/>
  <c r="S15" i="180" s="1"/>
  <c r="R14" i="180"/>
  <c r="R13" i="180"/>
  <c r="S13" i="180" s="1"/>
  <c r="R12" i="180"/>
  <c r="S12" i="180" s="1"/>
  <c r="Q11" i="180"/>
  <c r="P11" i="180"/>
  <c r="M11" i="180"/>
  <c r="L11" i="180"/>
  <c r="K11" i="180"/>
  <c r="J11" i="180"/>
  <c r="I11" i="180"/>
  <c r="H11" i="180"/>
  <c r="G11" i="180"/>
  <c r="F11" i="180"/>
  <c r="E11" i="180"/>
  <c r="R10" i="180"/>
  <c r="S10" i="180" s="1"/>
  <c r="R9" i="180"/>
  <c r="D9" i="180"/>
  <c r="R8" i="180"/>
  <c r="S8" i="180" s="1"/>
  <c r="Q7" i="180"/>
  <c r="P7" i="180"/>
  <c r="P6" i="180" s="1"/>
  <c r="P5" i="180" s="1"/>
  <c r="M7" i="180"/>
  <c r="L7" i="180"/>
  <c r="L6" i="180" s="1"/>
  <c r="L5" i="180" s="1"/>
  <c r="K7" i="180"/>
  <c r="J7" i="180"/>
  <c r="J6" i="180" s="1"/>
  <c r="J5" i="180" s="1"/>
  <c r="I7" i="180"/>
  <c r="H7" i="180"/>
  <c r="H6" i="180" s="1"/>
  <c r="H5" i="180" s="1"/>
  <c r="G7" i="180"/>
  <c r="F7" i="180"/>
  <c r="F6" i="180" s="1"/>
  <c r="F5" i="180" s="1"/>
  <c r="E7" i="180"/>
  <c r="Q6" i="180"/>
  <c r="M6" i="180"/>
  <c r="K6" i="180"/>
  <c r="I6" i="180"/>
  <c r="G6" i="180"/>
  <c r="E6" i="180"/>
  <c r="Q5" i="180"/>
  <c r="M5" i="180"/>
  <c r="K5" i="180"/>
  <c r="I5" i="180"/>
  <c r="G5" i="180"/>
  <c r="M10" i="179"/>
  <c r="J10" i="179"/>
  <c r="G10" i="179"/>
  <c r="D10" i="179"/>
  <c r="C10" i="179"/>
  <c r="N9" i="179"/>
  <c r="K9" i="179"/>
  <c r="H9" i="179"/>
  <c r="E9" i="179"/>
  <c r="N8" i="179"/>
  <c r="K8" i="179"/>
  <c r="H8" i="179"/>
  <c r="E8" i="179"/>
  <c r="N7" i="179"/>
  <c r="K7" i="179"/>
  <c r="H7" i="179"/>
  <c r="E7" i="179"/>
  <c r="N6" i="179"/>
  <c r="K6" i="179"/>
  <c r="H6" i="179"/>
  <c r="E6" i="179"/>
  <c r="N5" i="179"/>
  <c r="K5" i="179"/>
  <c r="H5" i="179"/>
  <c r="E5" i="179"/>
  <c r="R5" i="179" s="1"/>
  <c r="N4" i="179"/>
  <c r="N10" i="179" s="1"/>
  <c r="K4" i="179"/>
  <c r="K10" i="179" s="1"/>
  <c r="H4" i="179"/>
  <c r="H10" i="179" s="1"/>
  <c r="E4" i="179"/>
  <c r="U9" i="184" l="1"/>
  <c r="X9" i="184" s="1"/>
  <c r="U51" i="182"/>
  <c r="U20" i="182"/>
  <c r="U22" i="182"/>
  <c r="U19" i="182"/>
  <c r="L7" i="181"/>
  <c r="L6" i="181" s="1"/>
  <c r="Q10" i="179"/>
  <c r="F5" i="184"/>
  <c r="U14" i="182"/>
  <c r="X14" i="182" s="1"/>
  <c r="U9" i="182"/>
  <c r="X9" i="182" s="1"/>
  <c r="S9" i="182"/>
  <c r="T9" i="182" s="1"/>
  <c r="S14" i="182"/>
  <c r="T14" i="182" s="1"/>
  <c r="T17" i="182"/>
  <c r="U17" i="182"/>
  <c r="X17" i="182" s="1"/>
  <c r="G5" i="182"/>
  <c r="H5" i="182"/>
  <c r="F5" i="182"/>
  <c r="I6" i="181"/>
  <c r="R7" i="183"/>
  <c r="T8" i="180"/>
  <c r="U8" i="180"/>
  <c r="U9" i="180"/>
  <c r="X9" i="180" s="1"/>
  <c r="T13" i="180"/>
  <c r="U13" i="180"/>
  <c r="X13" i="180" s="1"/>
  <c r="T15" i="180"/>
  <c r="U15" i="180"/>
  <c r="T10" i="180"/>
  <c r="U10" i="180"/>
  <c r="X10" i="180" s="1"/>
  <c r="T12" i="180"/>
  <c r="U12" i="180"/>
  <c r="T16" i="180"/>
  <c r="U16" i="180"/>
  <c r="X16" i="180" s="1"/>
  <c r="R6" i="179"/>
  <c r="R7" i="179"/>
  <c r="P5" i="182"/>
  <c r="P5" i="183"/>
  <c r="M5" i="182"/>
  <c r="M5" i="183"/>
  <c r="M5" i="184"/>
  <c r="R7" i="184"/>
  <c r="H5" i="184"/>
  <c r="R11" i="184"/>
  <c r="R6" i="184"/>
  <c r="G6" i="181"/>
  <c r="G5" i="183"/>
  <c r="R18" i="184"/>
  <c r="E5" i="180"/>
  <c r="E5" i="182"/>
  <c r="F6" i="181"/>
  <c r="F5" i="183"/>
  <c r="R57" i="184"/>
  <c r="R12" i="181"/>
  <c r="H5" i="183"/>
  <c r="U23" i="184"/>
  <c r="X23" i="184" s="1"/>
  <c r="U29" i="184"/>
  <c r="X29" i="184" s="1"/>
  <c r="U33" i="184"/>
  <c r="X33" i="184" s="1"/>
  <c r="U39" i="184"/>
  <c r="X39" i="184" s="1"/>
  <c r="T20" i="184"/>
  <c r="U20" i="184"/>
  <c r="X20" i="184" s="1"/>
  <c r="S23" i="184"/>
  <c r="T23" i="184" s="1"/>
  <c r="T28" i="184"/>
  <c r="U28" i="184"/>
  <c r="S29" i="184"/>
  <c r="T29" i="184" s="1"/>
  <c r="S33" i="184"/>
  <c r="T33" i="184" s="1"/>
  <c r="T36" i="184"/>
  <c r="U36" i="184"/>
  <c r="X36" i="184" s="1"/>
  <c r="S39" i="184"/>
  <c r="T39" i="184" s="1"/>
  <c r="T42" i="184"/>
  <c r="U42" i="184"/>
  <c r="X42" i="184" s="1"/>
  <c r="E6" i="183"/>
  <c r="R6" i="183" s="1"/>
  <c r="U50" i="181"/>
  <c r="X50" i="181" s="1"/>
  <c r="T49" i="181"/>
  <c r="U49" i="181"/>
  <c r="S50" i="181"/>
  <c r="T50" i="181" s="1"/>
  <c r="U26" i="181"/>
  <c r="U30" i="181"/>
  <c r="X30" i="181" s="1"/>
  <c r="U34" i="181"/>
  <c r="X34" i="181" s="1"/>
  <c r="U40" i="181"/>
  <c r="X40" i="181" s="1"/>
  <c r="T21" i="181"/>
  <c r="U21" i="181"/>
  <c r="X21" i="181" s="1"/>
  <c r="S26" i="181"/>
  <c r="T26" i="181" s="1"/>
  <c r="T27" i="181"/>
  <c r="U27" i="181"/>
  <c r="X27" i="181" s="1"/>
  <c r="T29" i="181"/>
  <c r="U29" i="181"/>
  <c r="S30" i="181"/>
  <c r="T30" i="181" s="1"/>
  <c r="S34" i="181"/>
  <c r="T34" i="181" s="1"/>
  <c r="T37" i="181"/>
  <c r="U37" i="181"/>
  <c r="X37" i="181" s="1"/>
  <c r="S40" i="181"/>
  <c r="T40" i="181" s="1"/>
  <c r="T43" i="181"/>
  <c r="U43" i="181"/>
  <c r="X43" i="181" s="1"/>
  <c r="T13" i="181"/>
  <c r="U13" i="181"/>
  <c r="T15" i="181"/>
  <c r="U15" i="181"/>
  <c r="X15" i="181" s="1"/>
  <c r="T18" i="181"/>
  <c r="U18" i="181"/>
  <c r="X18" i="181" s="1"/>
  <c r="U45" i="180"/>
  <c r="U49" i="180"/>
  <c r="X49" i="180" s="1"/>
  <c r="S45" i="180"/>
  <c r="T45" i="180" s="1"/>
  <c r="T46" i="180"/>
  <c r="U46" i="180"/>
  <c r="X46" i="180" s="1"/>
  <c r="T48" i="180"/>
  <c r="U48" i="180"/>
  <c r="S49" i="180"/>
  <c r="T49" i="180" s="1"/>
  <c r="T22" i="180"/>
  <c r="U22" i="180"/>
  <c r="T36" i="180"/>
  <c r="U36" i="180"/>
  <c r="X36" i="180" s="1"/>
  <c r="T40" i="180"/>
  <c r="U40" i="180"/>
  <c r="T23" i="180"/>
  <c r="U23" i="180"/>
  <c r="X23" i="180" s="1"/>
  <c r="T31" i="180"/>
  <c r="U31" i="180"/>
  <c r="T41" i="180"/>
  <c r="U41" i="180"/>
  <c r="X41" i="180" s="1"/>
  <c r="R8" i="179"/>
  <c r="R9" i="179"/>
  <c r="E10" i="179"/>
  <c r="R4" i="179"/>
  <c r="U7" i="184"/>
  <c r="S14" i="184"/>
  <c r="T14" i="184" s="1"/>
  <c r="U14" i="184"/>
  <c r="X14" i="184" s="1"/>
  <c r="S17" i="184"/>
  <c r="T17" i="184" s="1"/>
  <c r="U17" i="184"/>
  <c r="X17" i="184" s="1"/>
  <c r="U19" i="184"/>
  <c r="U21" i="184"/>
  <c r="X21" i="184" s="1"/>
  <c r="S21" i="184"/>
  <c r="T21" i="184" s="1"/>
  <c r="U30" i="184"/>
  <c r="X30" i="184" s="1"/>
  <c r="S30" i="184"/>
  <c r="T30" i="184" s="1"/>
  <c r="U50" i="184"/>
  <c r="X50" i="184" s="1"/>
  <c r="S50" i="184"/>
  <c r="T50" i="184" s="1"/>
  <c r="S8" i="184"/>
  <c r="S9" i="184"/>
  <c r="T9" i="184" s="1"/>
  <c r="S10" i="184"/>
  <c r="T10" i="184" s="1"/>
  <c r="S12" i="184"/>
  <c r="S13" i="184"/>
  <c r="T13" i="184" s="1"/>
  <c r="S15" i="184"/>
  <c r="T15" i="184" s="1"/>
  <c r="S16" i="184"/>
  <c r="T16" i="184" s="1"/>
  <c r="S19" i="184"/>
  <c r="U22" i="184"/>
  <c r="S22" i="184"/>
  <c r="T22" i="184" s="1"/>
  <c r="U24" i="184"/>
  <c r="X24" i="184" s="1"/>
  <c r="S24" i="184"/>
  <c r="T24" i="184" s="1"/>
  <c r="U47" i="184"/>
  <c r="X47" i="184" s="1"/>
  <c r="S47" i="184"/>
  <c r="R44" i="184"/>
  <c r="T47" i="184"/>
  <c r="U53" i="184"/>
  <c r="X53" i="184" s="1"/>
  <c r="S53" i="184"/>
  <c r="T53" i="184" s="1"/>
  <c r="S48" i="184"/>
  <c r="T48" i="184" s="1"/>
  <c r="U48" i="184"/>
  <c r="S49" i="184"/>
  <c r="T49" i="184" s="1"/>
  <c r="U49" i="184"/>
  <c r="X49" i="184" s="1"/>
  <c r="T55" i="184"/>
  <c r="U55" i="184" s="1"/>
  <c r="S25" i="184"/>
  <c r="T25" i="184" s="1"/>
  <c r="S26" i="184"/>
  <c r="T26" i="184" s="1"/>
  <c r="S27" i="184"/>
  <c r="T27" i="184" s="1"/>
  <c r="S31" i="184"/>
  <c r="T31" i="184" s="1"/>
  <c r="S32" i="184"/>
  <c r="T32" i="184" s="1"/>
  <c r="S34" i="184"/>
  <c r="T34" i="184" s="1"/>
  <c r="S35" i="184"/>
  <c r="T35" i="184" s="1"/>
  <c r="S37" i="184"/>
  <c r="T37" i="184" s="1"/>
  <c r="S38" i="184"/>
  <c r="T38" i="184" s="1"/>
  <c r="S40" i="184"/>
  <c r="T40" i="184" s="1"/>
  <c r="S41" i="184"/>
  <c r="T41" i="184" s="1"/>
  <c r="S43" i="184"/>
  <c r="T43" i="184" s="1"/>
  <c r="S45" i="184"/>
  <c r="S46" i="184"/>
  <c r="T46" i="184" s="1"/>
  <c r="S51" i="184"/>
  <c r="T51" i="184" s="1"/>
  <c r="S52" i="184"/>
  <c r="T52" i="184" s="1"/>
  <c r="S54" i="184"/>
  <c r="T54" i="184" s="1"/>
  <c r="U10" i="183"/>
  <c r="X10" i="183" s="1"/>
  <c r="S10" i="183"/>
  <c r="T10" i="183" s="1"/>
  <c r="U12" i="183"/>
  <c r="S12" i="183"/>
  <c r="R11" i="183"/>
  <c r="U14" i="183"/>
  <c r="X14" i="183" s="1"/>
  <c r="S14" i="183"/>
  <c r="T14" i="183" s="1"/>
  <c r="U16" i="183"/>
  <c r="X16" i="183" s="1"/>
  <c r="S16" i="183"/>
  <c r="T16" i="183" s="1"/>
  <c r="U8" i="183"/>
  <c r="S8" i="183"/>
  <c r="U9" i="183"/>
  <c r="X9" i="183" s="1"/>
  <c r="S9" i="183"/>
  <c r="T9" i="183" s="1"/>
  <c r="U13" i="183"/>
  <c r="X13" i="183" s="1"/>
  <c r="S13" i="183"/>
  <c r="T13" i="183" s="1"/>
  <c r="U15" i="183"/>
  <c r="S15" i="183"/>
  <c r="T15" i="183" s="1"/>
  <c r="U17" i="183"/>
  <c r="X17" i="183" s="1"/>
  <c r="S17" i="183"/>
  <c r="T17" i="183" s="1"/>
  <c r="U20" i="183"/>
  <c r="X20" i="183" s="1"/>
  <c r="S20" i="183"/>
  <c r="T20" i="183" s="1"/>
  <c r="U22" i="183"/>
  <c r="S22" i="183"/>
  <c r="T22" i="183" s="1"/>
  <c r="U24" i="183"/>
  <c r="X24" i="183" s="1"/>
  <c r="S24" i="183"/>
  <c r="T24" i="183" s="1"/>
  <c r="U26" i="183"/>
  <c r="X26" i="183" s="1"/>
  <c r="S26" i="183"/>
  <c r="T26" i="183" s="1"/>
  <c r="U28" i="183"/>
  <c r="S28" i="183"/>
  <c r="T28" i="183" s="1"/>
  <c r="U30" i="183"/>
  <c r="X30" i="183" s="1"/>
  <c r="S30" i="183"/>
  <c r="T30" i="183" s="1"/>
  <c r="U32" i="183"/>
  <c r="X32" i="183" s="1"/>
  <c r="S32" i="183"/>
  <c r="T32" i="183" s="1"/>
  <c r="U34" i="183"/>
  <c r="S34" i="183"/>
  <c r="T34" i="183" s="1"/>
  <c r="U36" i="183"/>
  <c r="X36" i="183" s="1"/>
  <c r="S36" i="183"/>
  <c r="T36" i="183" s="1"/>
  <c r="U38" i="183"/>
  <c r="X38" i="183" s="1"/>
  <c r="S38" i="183"/>
  <c r="T38" i="183" s="1"/>
  <c r="U40" i="183"/>
  <c r="S40" i="183"/>
  <c r="T40" i="183" s="1"/>
  <c r="U42" i="183"/>
  <c r="X42" i="183" s="1"/>
  <c r="S42" i="183"/>
  <c r="T42" i="183" s="1"/>
  <c r="U46" i="183"/>
  <c r="X46" i="183" s="1"/>
  <c r="S46" i="183"/>
  <c r="T46" i="183" s="1"/>
  <c r="U48" i="183"/>
  <c r="S48" i="183"/>
  <c r="T48" i="183" s="1"/>
  <c r="U50" i="183"/>
  <c r="X50" i="183" s="1"/>
  <c r="S50" i="183"/>
  <c r="T50" i="183" s="1"/>
  <c r="U52" i="183"/>
  <c r="X52" i="183" s="1"/>
  <c r="S52" i="183"/>
  <c r="T52" i="183" s="1"/>
  <c r="R18" i="183"/>
  <c r="U19" i="183"/>
  <c r="S19" i="183"/>
  <c r="T19" i="183" s="1"/>
  <c r="U21" i="183"/>
  <c r="X21" i="183" s="1"/>
  <c r="S21" i="183"/>
  <c r="T21" i="183" s="1"/>
  <c r="U23" i="183"/>
  <c r="X23" i="183" s="1"/>
  <c r="S23" i="183"/>
  <c r="T23" i="183" s="1"/>
  <c r="U25" i="183"/>
  <c r="S25" i="183"/>
  <c r="T25" i="183" s="1"/>
  <c r="U27" i="183"/>
  <c r="X27" i="183" s="1"/>
  <c r="S27" i="183"/>
  <c r="T27" i="183" s="1"/>
  <c r="U29" i="183"/>
  <c r="X29" i="183" s="1"/>
  <c r="S29" i="183"/>
  <c r="T29" i="183" s="1"/>
  <c r="U31" i="183"/>
  <c r="S31" i="183"/>
  <c r="T31" i="183" s="1"/>
  <c r="U33" i="183"/>
  <c r="X33" i="183" s="1"/>
  <c r="S33" i="183"/>
  <c r="T33" i="183" s="1"/>
  <c r="U35" i="183"/>
  <c r="X35" i="183" s="1"/>
  <c r="S35" i="183"/>
  <c r="T35" i="183" s="1"/>
  <c r="U37" i="183"/>
  <c r="S37" i="183"/>
  <c r="T37" i="183" s="1"/>
  <c r="U39" i="183"/>
  <c r="X39" i="183" s="1"/>
  <c r="S39" i="183"/>
  <c r="T39" i="183" s="1"/>
  <c r="U41" i="183"/>
  <c r="X41" i="183" s="1"/>
  <c r="S41" i="183"/>
  <c r="T41" i="183" s="1"/>
  <c r="U43" i="183"/>
  <c r="S43" i="183"/>
  <c r="T43" i="183" s="1"/>
  <c r="U45" i="183"/>
  <c r="S45" i="183"/>
  <c r="T45" i="183" s="1"/>
  <c r="R44" i="183"/>
  <c r="U47" i="183"/>
  <c r="X47" i="183" s="1"/>
  <c r="S47" i="183"/>
  <c r="T47" i="183" s="1"/>
  <c r="U49" i="183"/>
  <c r="X49" i="183" s="1"/>
  <c r="S49" i="183"/>
  <c r="T49" i="183" s="1"/>
  <c r="U51" i="183"/>
  <c r="S51" i="183"/>
  <c r="T51" i="183" s="1"/>
  <c r="U53" i="183"/>
  <c r="X53" i="183" s="1"/>
  <c r="S53" i="183"/>
  <c r="T53" i="183" s="1"/>
  <c r="U27" i="182"/>
  <c r="S27" i="182"/>
  <c r="U30" i="182"/>
  <c r="X30" i="182" s="1"/>
  <c r="S30" i="182"/>
  <c r="T30" i="182" s="1"/>
  <c r="U53" i="182"/>
  <c r="S53" i="182"/>
  <c r="S8" i="182"/>
  <c r="S7" i="182" s="1"/>
  <c r="S10" i="182"/>
  <c r="T10" i="182" s="1"/>
  <c r="U12" i="182"/>
  <c r="S12" i="182"/>
  <c r="U13" i="182"/>
  <c r="X13" i="182" s="1"/>
  <c r="X7" i="182" s="1"/>
  <c r="S13" i="182"/>
  <c r="T13" i="182" s="1"/>
  <c r="U21" i="182"/>
  <c r="S21" i="182"/>
  <c r="R18" i="182"/>
  <c r="U24" i="182"/>
  <c r="X24" i="182" s="1"/>
  <c r="S24" i="182"/>
  <c r="T24" i="182" s="1"/>
  <c r="U50" i="182"/>
  <c r="X50" i="182" s="1"/>
  <c r="S50" i="182"/>
  <c r="T50" i="182" s="1"/>
  <c r="R44" i="182"/>
  <c r="S25" i="182"/>
  <c r="T25" i="182" s="1"/>
  <c r="U25" i="182"/>
  <c r="S26" i="182"/>
  <c r="T26" i="182" s="1"/>
  <c r="U26" i="182"/>
  <c r="X26" i="182" s="1"/>
  <c r="S28" i="182"/>
  <c r="T28" i="182" s="1"/>
  <c r="U28" i="182"/>
  <c r="S29" i="182"/>
  <c r="T29" i="182" s="1"/>
  <c r="U29" i="182"/>
  <c r="X29" i="182" s="1"/>
  <c r="S33" i="182"/>
  <c r="T33" i="182" s="1"/>
  <c r="U33" i="182"/>
  <c r="X33" i="182" s="1"/>
  <c r="S36" i="182"/>
  <c r="T36" i="182" s="1"/>
  <c r="U36" i="182"/>
  <c r="X36" i="182" s="1"/>
  <c r="S39" i="182"/>
  <c r="T39" i="182" s="1"/>
  <c r="U39" i="182"/>
  <c r="X39" i="182" s="1"/>
  <c r="S42" i="182"/>
  <c r="T42" i="182" s="1"/>
  <c r="U42" i="182"/>
  <c r="X42" i="182" s="1"/>
  <c r="S45" i="182"/>
  <c r="U45" i="182"/>
  <c r="S46" i="182"/>
  <c r="T46" i="182" s="1"/>
  <c r="U46" i="182"/>
  <c r="X46" i="182" s="1"/>
  <c r="S48" i="182"/>
  <c r="T48" i="182" s="1"/>
  <c r="U48" i="182"/>
  <c r="S49" i="182"/>
  <c r="T49" i="182" s="1"/>
  <c r="U49" i="182"/>
  <c r="X49" i="182" s="1"/>
  <c r="S15" i="182"/>
  <c r="T15" i="182" s="1"/>
  <c r="S16" i="182"/>
  <c r="T16" i="182" s="1"/>
  <c r="S19" i="182"/>
  <c r="S20" i="182"/>
  <c r="S22" i="182"/>
  <c r="S23" i="182"/>
  <c r="T23" i="182" s="1"/>
  <c r="S31" i="182"/>
  <c r="T31" i="182" s="1"/>
  <c r="S32" i="182"/>
  <c r="T32" i="182" s="1"/>
  <c r="S34" i="182"/>
  <c r="T34" i="182" s="1"/>
  <c r="S35" i="182"/>
  <c r="T35" i="182" s="1"/>
  <c r="S37" i="182"/>
  <c r="T37" i="182" s="1"/>
  <c r="S38" i="182"/>
  <c r="T38" i="182" s="1"/>
  <c r="S40" i="182"/>
  <c r="T40" i="182" s="1"/>
  <c r="S41" i="182"/>
  <c r="T41" i="182" s="1"/>
  <c r="S43" i="182"/>
  <c r="T43" i="182" s="1"/>
  <c r="S47" i="182"/>
  <c r="T47" i="182" s="1"/>
  <c r="S51" i="182"/>
  <c r="S52" i="182"/>
  <c r="T52" i="182" s="1"/>
  <c r="U11" i="181"/>
  <c r="X11" i="181" s="1"/>
  <c r="S11" i="181"/>
  <c r="T11" i="181" s="1"/>
  <c r="U9" i="181"/>
  <c r="S9" i="181"/>
  <c r="U10" i="181"/>
  <c r="X10" i="181" s="1"/>
  <c r="S10" i="181"/>
  <c r="T10" i="181" s="1"/>
  <c r="U25" i="181"/>
  <c r="X25" i="181" s="1"/>
  <c r="S25" i="181"/>
  <c r="T25" i="181" s="1"/>
  <c r="U28" i="181"/>
  <c r="X28" i="181" s="1"/>
  <c r="S28" i="181"/>
  <c r="T28" i="181" s="1"/>
  <c r="U31" i="181"/>
  <c r="X31" i="181" s="1"/>
  <c r="S31" i="181"/>
  <c r="T31" i="181" s="1"/>
  <c r="U48" i="181"/>
  <c r="X48" i="181" s="1"/>
  <c r="S48" i="181"/>
  <c r="T48" i="181" s="1"/>
  <c r="U51" i="181"/>
  <c r="X51" i="181" s="1"/>
  <c r="S51" i="181"/>
  <c r="T51" i="181" s="1"/>
  <c r="U54" i="181"/>
  <c r="X54" i="181" s="1"/>
  <c r="S54" i="181"/>
  <c r="T54" i="181" s="1"/>
  <c r="E7" i="181"/>
  <c r="J8" i="181"/>
  <c r="J7" i="181" s="1"/>
  <c r="J6" i="181" s="1"/>
  <c r="U14" i="181"/>
  <c r="S14" i="181"/>
  <c r="U16" i="181"/>
  <c r="S16" i="181"/>
  <c r="T16" i="181" s="1"/>
  <c r="U17" i="181"/>
  <c r="X17" i="181" s="1"/>
  <c r="S17" i="181"/>
  <c r="T17" i="181" s="1"/>
  <c r="U20" i="181"/>
  <c r="S20" i="181"/>
  <c r="T20" i="181" s="1"/>
  <c r="R19" i="181"/>
  <c r="U22" i="181"/>
  <c r="S22" i="181"/>
  <c r="T22" i="181" s="1"/>
  <c r="P19" i="181"/>
  <c r="P6" i="181" s="1"/>
  <c r="S23" i="181"/>
  <c r="T23" i="181" s="1"/>
  <c r="U23" i="181"/>
  <c r="S24" i="181"/>
  <c r="T24" i="181" s="1"/>
  <c r="U24" i="181"/>
  <c r="X24" i="181" s="1"/>
  <c r="S32" i="181"/>
  <c r="T32" i="181" s="1"/>
  <c r="U32" i="181"/>
  <c r="S33" i="181"/>
  <c r="T33" i="181" s="1"/>
  <c r="U33" i="181"/>
  <c r="X33" i="181" s="1"/>
  <c r="S35" i="181"/>
  <c r="T35" i="181" s="1"/>
  <c r="U35" i="181"/>
  <c r="S36" i="181"/>
  <c r="T36" i="181" s="1"/>
  <c r="U36" i="181"/>
  <c r="X36" i="181" s="1"/>
  <c r="S38" i="181"/>
  <c r="T38" i="181" s="1"/>
  <c r="U38" i="181"/>
  <c r="S39" i="181"/>
  <c r="T39" i="181" s="1"/>
  <c r="U39" i="181"/>
  <c r="X39" i="181" s="1"/>
  <c r="S41" i="181"/>
  <c r="T41" i="181" s="1"/>
  <c r="U41" i="181"/>
  <c r="S42" i="181"/>
  <c r="T42" i="181" s="1"/>
  <c r="U42" i="181"/>
  <c r="X42" i="181" s="1"/>
  <c r="S44" i="181"/>
  <c r="T44" i="181" s="1"/>
  <c r="U44" i="181"/>
  <c r="R45" i="181"/>
  <c r="S46" i="181"/>
  <c r="U46" i="181"/>
  <c r="S47" i="181"/>
  <c r="T47" i="181" s="1"/>
  <c r="U47" i="181"/>
  <c r="X47" i="181" s="1"/>
  <c r="S52" i="181"/>
  <c r="T52" i="181" s="1"/>
  <c r="U52" i="181"/>
  <c r="S53" i="181"/>
  <c r="T53" i="181" s="1"/>
  <c r="U53" i="181"/>
  <c r="X53" i="181" s="1"/>
  <c r="R5" i="180"/>
  <c r="R6" i="180"/>
  <c r="R7" i="180"/>
  <c r="R18" i="180"/>
  <c r="U21" i="180"/>
  <c r="X21" i="180" s="1"/>
  <c r="S21" i="180"/>
  <c r="T21" i="180" s="1"/>
  <c r="U24" i="180"/>
  <c r="X24" i="180" s="1"/>
  <c r="S24" i="180"/>
  <c r="T24" i="180" s="1"/>
  <c r="U26" i="180"/>
  <c r="X26" i="180" s="1"/>
  <c r="S26" i="180"/>
  <c r="T26" i="180" s="1"/>
  <c r="U30" i="180"/>
  <c r="X30" i="180" s="1"/>
  <c r="S30" i="180"/>
  <c r="T30" i="180" s="1"/>
  <c r="U43" i="180"/>
  <c r="S43" i="180"/>
  <c r="T43" i="180" s="1"/>
  <c r="S9" i="180"/>
  <c r="S7" i="180" s="1"/>
  <c r="U27" i="180"/>
  <c r="X27" i="180" s="1"/>
  <c r="S27" i="180"/>
  <c r="T27" i="180" s="1"/>
  <c r="U29" i="180"/>
  <c r="X29" i="180" s="1"/>
  <c r="S29" i="180"/>
  <c r="T29" i="180" s="1"/>
  <c r="U33" i="180"/>
  <c r="X33" i="180" s="1"/>
  <c r="S33" i="180"/>
  <c r="T33" i="180" s="1"/>
  <c r="U39" i="180"/>
  <c r="X39" i="180" s="1"/>
  <c r="S39" i="180"/>
  <c r="T39" i="180" s="1"/>
  <c r="U42" i="180"/>
  <c r="X42" i="180" s="1"/>
  <c r="S42" i="180"/>
  <c r="T42" i="180" s="1"/>
  <c r="U50" i="180"/>
  <c r="X50" i="180" s="1"/>
  <c r="S50" i="180"/>
  <c r="R44" i="180"/>
  <c r="T50" i="180"/>
  <c r="R11" i="180"/>
  <c r="S14" i="180"/>
  <c r="U14" i="180"/>
  <c r="S17" i="180"/>
  <c r="T17" i="180" s="1"/>
  <c r="U17" i="180"/>
  <c r="X17" i="180" s="1"/>
  <c r="S19" i="180"/>
  <c r="U19" i="180"/>
  <c r="S20" i="180"/>
  <c r="T20" i="180" s="1"/>
  <c r="U20" i="180"/>
  <c r="X20" i="180" s="1"/>
  <c r="S25" i="180"/>
  <c r="T25" i="180" s="1"/>
  <c r="U25" i="180"/>
  <c r="S28" i="180"/>
  <c r="T28" i="180" s="1"/>
  <c r="U28" i="180"/>
  <c r="S32" i="180"/>
  <c r="T32" i="180" s="1"/>
  <c r="U32" i="180"/>
  <c r="X32" i="180" s="1"/>
  <c r="S34" i="180"/>
  <c r="T34" i="180" s="1"/>
  <c r="U34" i="180"/>
  <c r="S35" i="180"/>
  <c r="T35" i="180" s="1"/>
  <c r="U35" i="180"/>
  <c r="X35" i="180" s="1"/>
  <c r="S37" i="180"/>
  <c r="T37" i="180" s="1"/>
  <c r="U37" i="180"/>
  <c r="S38" i="180"/>
  <c r="T38" i="180" s="1"/>
  <c r="U38" i="180"/>
  <c r="X38" i="180" s="1"/>
  <c r="S47" i="180"/>
  <c r="T47" i="180" s="1"/>
  <c r="U47" i="180"/>
  <c r="X47" i="180" s="1"/>
  <c r="S51" i="180"/>
  <c r="T51" i="180" s="1"/>
  <c r="U51" i="180"/>
  <c r="S52" i="180"/>
  <c r="T52" i="180" s="1"/>
  <c r="U52" i="180"/>
  <c r="X52" i="180" s="1"/>
  <c r="S53" i="180"/>
  <c r="T53" i="180" s="1"/>
  <c r="U53" i="180"/>
  <c r="X53" i="180" s="1"/>
  <c r="R10" i="179"/>
  <c r="T53" i="182" l="1"/>
  <c r="X53" i="182"/>
  <c r="T51" i="182"/>
  <c r="T27" i="182"/>
  <c r="X27" i="182"/>
  <c r="T20" i="182"/>
  <c r="T21" i="182"/>
  <c r="T22" i="182"/>
  <c r="X21" i="182"/>
  <c r="X20" i="182"/>
  <c r="U7" i="182"/>
  <c r="U7" i="180"/>
  <c r="R5" i="182"/>
  <c r="R5" i="184"/>
  <c r="X18" i="184"/>
  <c r="E5" i="183"/>
  <c r="R5" i="183" s="1"/>
  <c r="X44" i="184"/>
  <c r="X7" i="184"/>
  <c r="S7" i="183"/>
  <c r="U18" i="182"/>
  <c r="X18" i="182"/>
  <c r="U8" i="181"/>
  <c r="X44" i="180"/>
  <c r="S44" i="184"/>
  <c r="T45" i="184"/>
  <c r="T44" i="184" s="1"/>
  <c r="S7" i="184"/>
  <c r="U18" i="184"/>
  <c r="T8" i="184"/>
  <c r="T7" i="184" s="1"/>
  <c r="U11" i="184"/>
  <c r="U44" i="184"/>
  <c r="S18" i="184"/>
  <c r="S11" i="184"/>
  <c r="T19" i="184"/>
  <c r="T18" i="184" s="1"/>
  <c r="T12" i="184"/>
  <c r="T11" i="184" s="1"/>
  <c r="U6" i="184"/>
  <c r="S44" i="183"/>
  <c r="S18" i="183"/>
  <c r="X44" i="183"/>
  <c r="T8" i="183"/>
  <c r="T7" i="183" s="1"/>
  <c r="U7" i="183"/>
  <c r="S11" i="183"/>
  <c r="T12" i="183"/>
  <c r="T11" i="183" s="1"/>
  <c r="T44" i="183"/>
  <c r="U44" i="183"/>
  <c r="U18" i="183"/>
  <c r="T18" i="183"/>
  <c r="X18" i="183"/>
  <c r="X6" i="183"/>
  <c r="S6" i="183"/>
  <c r="U11" i="183"/>
  <c r="S44" i="182"/>
  <c r="S11" i="182"/>
  <c r="T12" i="182"/>
  <c r="T11" i="182" s="1"/>
  <c r="T45" i="182"/>
  <c r="T44" i="182" s="1"/>
  <c r="S18" i="182"/>
  <c r="X44" i="182"/>
  <c r="U44" i="182"/>
  <c r="T19" i="182"/>
  <c r="U11" i="182"/>
  <c r="U6" i="182" s="1"/>
  <c r="S6" i="182"/>
  <c r="T8" i="182"/>
  <c r="T7" i="182" s="1"/>
  <c r="T6" i="182" s="1"/>
  <c r="X45" i="181"/>
  <c r="U45" i="181"/>
  <c r="X22" i="181"/>
  <c r="X19" i="181" s="1"/>
  <c r="T19" i="181"/>
  <c r="U19" i="181"/>
  <c r="X14" i="181"/>
  <c r="X8" i="181" s="1"/>
  <c r="U12" i="181"/>
  <c r="U7" i="181" s="1"/>
  <c r="E6" i="181"/>
  <c r="R7" i="181"/>
  <c r="R8" i="181"/>
  <c r="S45" i="181"/>
  <c r="T46" i="181"/>
  <c r="T45" i="181" s="1"/>
  <c r="S19" i="181"/>
  <c r="T14" i="181"/>
  <c r="T12" i="181" s="1"/>
  <c r="S12" i="181"/>
  <c r="S8" i="181"/>
  <c r="T9" i="181"/>
  <c r="T8" i="181" s="1"/>
  <c r="T44" i="180"/>
  <c r="S18" i="180"/>
  <c r="S11" i="180"/>
  <c r="S6" i="180" s="1"/>
  <c r="T19" i="180"/>
  <c r="T18" i="180" s="1"/>
  <c r="U44" i="180"/>
  <c r="T9" i="180"/>
  <c r="T7" i="180" s="1"/>
  <c r="X18" i="180"/>
  <c r="U18" i="180"/>
  <c r="X14" i="180"/>
  <c r="X7" i="180" s="1"/>
  <c r="U11" i="180"/>
  <c r="S44" i="180"/>
  <c r="T14" i="180"/>
  <c r="T11" i="180" s="1"/>
  <c r="N21" i="174"/>
  <c r="N19" i="174"/>
  <c r="N19" i="176"/>
  <c r="T18" i="182" l="1"/>
  <c r="U6" i="180"/>
  <c r="U5" i="180" s="1"/>
  <c r="U5" i="184"/>
  <c r="U6" i="181"/>
  <c r="X5" i="182"/>
  <c r="R6" i="181"/>
  <c r="X5" i="184"/>
  <c r="X5" i="180"/>
  <c r="U5" i="182"/>
  <c r="S5" i="182"/>
  <c r="X6" i="181"/>
  <c r="S7" i="181"/>
  <c r="S5" i="183"/>
  <c r="X5" i="183"/>
  <c r="T5" i="182"/>
  <c r="S6" i="181"/>
  <c r="T7" i="181"/>
  <c r="T6" i="181" s="1"/>
  <c r="S5" i="180"/>
  <c r="T6" i="184"/>
  <c r="T5" i="184" s="1"/>
  <c r="S6" i="184"/>
  <c r="S5" i="184" s="1"/>
  <c r="T6" i="183"/>
  <c r="T5" i="183" s="1"/>
  <c r="U6" i="183"/>
  <c r="U5" i="183" s="1"/>
  <c r="T6" i="180"/>
  <c r="T5" i="180" s="1"/>
  <c r="N21" i="176"/>
  <c r="K9" i="172" l="1"/>
  <c r="K8" i="172"/>
  <c r="K7" i="172"/>
  <c r="K6" i="172"/>
  <c r="K5" i="172"/>
  <c r="K4" i="172"/>
  <c r="H9" i="172"/>
  <c r="H8" i="172"/>
  <c r="H7" i="172"/>
  <c r="H6" i="172"/>
  <c r="H5" i="172"/>
  <c r="H4" i="172"/>
  <c r="E5" i="172"/>
  <c r="E6" i="172"/>
  <c r="E7" i="172"/>
  <c r="E8" i="172"/>
  <c r="E9" i="172"/>
  <c r="E4" i="172"/>
  <c r="D10" i="172"/>
  <c r="F10" i="172"/>
  <c r="G10" i="172"/>
  <c r="I10" i="172"/>
  <c r="J10" i="172"/>
  <c r="K10" i="172"/>
  <c r="L10" i="172"/>
  <c r="C10" i="172"/>
  <c r="V13" i="170"/>
  <c r="V14" i="170"/>
  <c r="V15" i="170"/>
  <c r="V16" i="170"/>
  <c r="V17" i="170"/>
  <c r="V12" i="170"/>
  <c r="V13" i="162"/>
  <c r="V14" i="162"/>
  <c r="V15" i="162"/>
  <c r="V16" i="162"/>
  <c r="V17" i="162"/>
  <c r="V12" i="162"/>
  <c r="V13" i="156"/>
  <c r="V14" i="156"/>
  <c r="V15" i="156"/>
  <c r="V16" i="156"/>
  <c r="V17" i="156"/>
  <c r="V12" i="156"/>
  <c r="M24" i="176"/>
  <c r="M21" i="176"/>
  <c r="M25" i="175"/>
  <c r="M22" i="175"/>
  <c r="M48" i="175"/>
  <c r="M27" i="174"/>
  <c r="M21" i="174"/>
  <c r="M24" i="178"/>
  <c r="M21" i="178"/>
  <c r="M47" i="178"/>
  <c r="M10" i="172" l="1"/>
  <c r="H10" i="172"/>
  <c r="E10" i="172"/>
  <c r="J11" i="175"/>
  <c r="J10" i="175"/>
  <c r="J9" i="175"/>
  <c r="J10" i="178"/>
  <c r="J9" i="178"/>
  <c r="J8" i="178"/>
  <c r="F27" i="176"/>
  <c r="F24" i="176"/>
  <c r="F21" i="176"/>
  <c r="F50" i="176"/>
  <c r="F28" i="175"/>
  <c r="F25" i="175"/>
  <c r="F22" i="175"/>
  <c r="F54" i="175"/>
  <c r="F51" i="175"/>
  <c r="F48" i="175"/>
  <c r="F39" i="174"/>
  <c r="F33" i="174"/>
  <c r="F27" i="174"/>
  <c r="F24" i="174"/>
  <c r="F21" i="174"/>
  <c r="F53" i="174"/>
  <c r="F50" i="174"/>
  <c r="N30" i="178"/>
  <c r="N22" i="178"/>
  <c r="N19" i="178"/>
  <c r="N30" i="176"/>
  <c r="N22" i="176"/>
  <c r="N31" i="175"/>
  <c r="N23" i="175"/>
  <c r="N20" i="175"/>
  <c r="N22" i="175"/>
  <c r="N21" i="178"/>
  <c r="O44" i="178"/>
  <c r="O18" i="178"/>
  <c r="O11" i="178"/>
  <c r="O8" i="177"/>
  <c r="O7" i="177" s="1"/>
  <c r="O9" i="177"/>
  <c r="O10" i="177"/>
  <c r="O12" i="177"/>
  <c r="O11" i="177" s="1"/>
  <c r="O13" i="177"/>
  <c r="O14" i="177"/>
  <c r="O15" i="177"/>
  <c r="O16" i="177"/>
  <c r="O17" i="177"/>
  <c r="O19" i="177"/>
  <c r="O20" i="177"/>
  <c r="O18" i="177" s="1"/>
  <c r="O21" i="177"/>
  <c r="O22" i="177"/>
  <c r="O23" i="177"/>
  <c r="O24" i="177"/>
  <c r="O25" i="177"/>
  <c r="O26" i="177"/>
  <c r="O27" i="177"/>
  <c r="O28" i="177"/>
  <c r="O29" i="177"/>
  <c r="O30" i="177"/>
  <c r="O31" i="177"/>
  <c r="O32" i="177"/>
  <c r="O33" i="177"/>
  <c r="O34" i="177"/>
  <c r="O35" i="177"/>
  <c r="O36" i="177"/>
  <c r="O37" i="177"/>
  <c r="O38" i="177"/>
  <c r="O39" i="177"/>
  <c r="O40" i="177"/>
  <c r="O41" i="177"/>
  <c r="O42" i="177"/>
  <c r="O43" i="177"/>
  <c r="O45" i="177"/>
  <c r="O44" i="177" s="1"/>
  <c r="O46" i="177"/>
  <c r="O47" i="177"/>
  <c r="O48" i="177"/>
  <c r="O49" i="177"/>
  <c r="O50" i="177"/>
  <c r="O51" i="177"/>
  <c r="O52" i="177"/>
  <c r="O53" i="177"/>
  <c r="P55" i="178"/>
  <c r="P54" i="178"/>
  <c r="P53" i="178"/>
  <c r="P52" i="178"/>
  <c r="P51" i="178"/>
  <c r="P50" i="178"/>
  <c r="P49" i="178"/>
  <c r="P48" i="178"/>
  <c r="P47" i="178"/>
  <c r="P46" i="178"/>
  <c r="P45" i="178"/>
  <c r="P43" i="178"/>
  <c r="P42" i="178"/>
  <c r="P41" i="178"/>
  <c r="P40" i="178"/>
  <c r="P39" i="178"/>
  <c r="P38" i="178"/>
  <c r="P37" i="178"/>
  <c r="P36" i="178"/>
  <c r="P35" i="178"/>
  <c r="P34" i="178"/>
  <c r="P33" i="178"/>
  <c r="P32" i="178"/>
  <c r="P31" i="178"/>
  <c r="P30" i="178"/>
  <c r="P29" i="178"/>
  <c r="P28" i="178"/>
  <c r="P27" i="178"/>
  <c r="P26" i="178"/>
  <c r="P25" i="178"/>
  <c r="P24" i="178"/>
  <c r="P23" i="178"/>
  <c r="P22" i="178"/>
  <c r="P21" i="178"/>
  <c r="P20" i="178"/>
  <c r="P19" i="178"/>
  <c r="P17" i="178"/>
  <c r="P16" i="178"/>
  <c r="P15" i="178"/>
  <c r="P14" i="178"/>
  <c r="P13" i="178"/>
  <c r="P12" i="178"/>
  <c r="P10" i="178"/>
  <c r="P9" i="178"/>
  <c r="P8" i="178"/>
  <c r="O7" i="178"/>
  <c r="O6" i="178" s="1"/>
  <c r="P41" i="177"/>
  <c r="P40" i="177"/>
  <c r="P35" i="177"/>
  <c r="P34" i="177"/>
  <c r="P53" i="176"/>
  <c r="P52" i="176"/>
  <c r="P51" i="176"/>
  <c r="P50" i="176"/>
  <c r="P49" i="176"/>
  <c r="P48" i="176"/>
  <c r="P47" i="176"/>
  <c r="P46" i="176"/>
  <c r="P45" i="176"/>
  <c r="P43" i="176"/>
  <c r="P42" i="176"/>
  <c r="P41" i="176"/>
  <c r="P40" i="176"/>
  <c r="P39" i="176"/>
  <c r="P38" i="176"/>
  <c r="P37" i="176"/>
  <c r="P36" i="176"/>
  <c r="P35" i="176"/>
  <c r="P34" i="176"/>
  <c r="P33" i="176"/>
  <c r="P32" i="176"/>
  <c r="P31" i="176"/>
  <c r="P30" i="176"/>
  <c r="P29" i="176"/>
  <c r="P28" i="176"/>
  <c r="P27" i="176"/>
  <c r="P26" i="176"/>
  <c r="P25" i="176"/>
  <c r="P24" i="176"/>
  <c r="P23" i="176"/>
  <c r="P22" i="176"/>
  <c r="P21" i="176"/>
  <c r="P20" i="176"/>
  <c r="P19" i="176"/>
  <c r="P17" i="176"/>
  <c r="P16" i="176"/>
  <c r="P15" i="176"/>
  <c r="P14" i="176"/>
  <c r="P13" i="176"/>
  <c r="P12" i="176"/>
  <c r="P11" i="176" s="1"/>
  <c r="P10" i="176"/>
  <c r="P9" i="176"/>
  <c r="P8" i="176"/>
  <c r="P7" i="176"/>
  <c r="P6" i="176"/>
  <c r="O44" i="176"/>
  <c r="O18" i="176"/>
  <c r="O11" i="176"/>
  <c r="O7" i="176"/>
  <c r="O6" i="176" s="1"/>
  <c r="O45" i="175"/>
  <c r="O19" i="175"/>
  <c r="O12" i="175"/>
  <c r="O7" i="175" s="1"/>
  <c r="O8" i="175"/>
  <c r="P54" i="175"/>
  <c r="P53" i="175"/>
  <c r="P52" i="175"/>
  <c r="P51" i="175"/>
  <c r="P50" i="175"/>
  <c r="P49" i="175"/>
  <c r="P48" i="175"/>
  <c r="P47" i="175"/>
  <c r="P46" i="175"/>
  <c r="P44" i="175"/>
  <c r="P43" i="175"/>
  <c r="P42" i="175"/>
  <c r="P41" i="175"/>
  <c r="P40" i="175"/>
  <c r="P39" i="175"/>
  <c r="P38" i="175"/>
  <c r="P37" i="175"/>
  <c r="P36" i="175"/>
  <c r="P35" i="175"/>
  <c r="P34" i="175"/>
  <c r="P33" i="175"/>
  <c r="P32" i="175"/>
  <c r="P31" i="175"/>
  <c r="P30" i="175"/>
  <c r="P29" i="175"/>
  <c r="P28" i="175"/>
  <c r="P27" i="175"/>
  <c r="P26" i="175"/>
  <c r="P25" i="175"/>
  <c r="P24" i="175"/>
  <c r="P23" i="175"/>
  <c r="P22" i="175"/>
  <c r="P21" i="175"/>
  <c r="P20" i="175"/>
  <c r="P18" i="175"/>
  <c r="P17" i="175"/>
  <c r="P16" i="175"/>
  <c r="P15" i="175"/>
  <c r="P14" i="175"/>
  <c r="P13" i="175"/>
  <c r="P11" i="175"/>
  <c r="P10" i="175"/>
  <c r="P9" i="175"/>
  <c r="O44" i="174"/>
  <c r="O18" i="174"/>
  <c r="O11" i="174"/>
  <c r="O7" i="174"/>
  <c r="P46" i="174"/>
  <c r="P47" i="174"/>
  <c r="P48" i="174"/>
  <c r="P49" i="174"/>
  <c r="P50" i="174"/>
  <c r="P51" i="174"/>
  <c r="P52" i="174"/>
  <c r="P53" i="174"/>
  <c r="P45" i="174"/>
  <c r="P43" i="174"/>
  <c r="P42" i="174"/>
  <c r="P41" i="174"/>
  <c r="P40" i="174"/>
  <c r="P39" i="174"/>
  <c r="P38" i="174"/>
  <c r="P37" i="174"/>
  <c r="P36" i="174"/>
  <c r="P35" i="174"/>
  <c r="P34" i="174"/>
  <c r="P33" i="174"/>
  <c r="P32" i="174"/>
  <c r="P31" i="174"/>
  <c r="P30" i="174"/>
  <c r="P29" i="174"/>
  <c r="P28" i="174"/>
  <c r="P27" i="174"/>
  <c r="P26" i="174"/>
  <c r="P25" i="174"/>
  <c r="P24" i="174"/>
  <c r="P23" i="174"/>
  <c r="P22" i="174"/>
  <c r="P21" i="174"/>
  <c r="P20" i="174"/>
  <c r="P19" i="174"/>
  <c r="P13" i="174"/>
  <c r="P14" i="174"/>
  <c r="P15" i="174"/>
  <c r="P16" i="174"/>
  <c r="P17" i="174"/>
  <c r="P12" i="174"/>
  <c r="P9" i="174"/>
  <c r="P10" i="174"/>
  <c r="P8" i="174"/>
  <c r="P7" i="174"/>
  <c r="N21" i="170"/>
  <c r="P44" i="176" l="1"/>
  <c r="P45" i="175"/>
  <c r="P44" i="178"/>
  <c r="P11" i="178"/>
  <c r="P18" i="176"/>
  <c r="P19" i="175"/>
  <c r="P18" i="178"/>
  <c r="O6" i="177"/>
  <c r="O5" i="177" s="1"/>
  <c r="P12" i="175"/>
  <c r="O5" i="178"/>
  <c r="O5" i="176"/>
  <c r="O6" i="175"/>
  <c r="O6" i="174"/>
  <c r="O5" i="174"/>
  <c r="P6" i="174"/>
  <c r="G24" i="176" l="1"/>
  <c r="G21" i="176"/>
  <c r="G25" i="175"/>
  <c r="G22" i="175"/>
  <c r="G51" i="175"/>
  <c r="G48" i="175"/>
  <c r="G39" i="174"/>
  <c r="G27" i="174"/>
  <c r="G24" i="174"/>
  <c r="G21" i="174"/>
  <c r="N27" i="176" l="1"/>
  <c r="N24" i="176"/>
  <c r="N53" i="176"/>
  <c r="N54" i="175"/>
  <c r="N28" i="175"/>
  <c r="N25" i="175"/>
  <c r="N51" i="175"/>
  <c r="N48" i="175"/>
  <c r="N42" i="174"/>
  <c r="N39" i="174"/>
  <c r="N33" i="174"/>
  <c r="N30" i="174"/>
  <c r="N27" i="174"/>
  <c r="N24" i="174"/>
  <c r="N27" i="178"/>
  <c r="N24" i="178"/>
  <c r="N53" i="178"/>
  <c r="N50" i="178"/>
  <c r="N47" i="178"/>
  <c r="E24" i="176"/>
  <c r="E21" i="176"/>
  <c r="E53" i="176"/>
  <c r="E25" i="175"/>
  <c r="E22" i="175"/>
  <c r="E54" i="175"/>
  <c r="E48" i="175"/>
  <c r="E39" i="174"/>
  <c r="E27" i="174"/>
  <c r="E24" i="174"/>
  <c r="E21" i="174"/>
  <c r="E24" i="178"/>
  <c r="E21" i="178"/>
  <c r="E53" i="178"/>
  <c r="E47" i="178"/>
  <c r="H43" i="174" l="1"/>
  <c r="H32" i="174"/>
  <c r="H30" i="174"/>
  <c r="H29" i="174"/>
  <c r="H27" i="174"/>
  <c r="H26" i="174"/>
  <c r="H25" i="174"/>
  <c r="H39" i="174"/>
  <c r="H28" i="174"/>
  <c r="Q55" i="178" l="1"/>
  <c r="Q53" i="178"/>
  <c r="Q52" i="178"/>
  <c r="S51" i="178"/>
  <c r="S45" i="178"/>
  <c r="M44" i="178"/>
  <c r="L44" i="178"/>
  <c r="K44" i="178"/>
  <c r="J44" i="178"/>
  <c r="I44" i="178"/>
  <c r="H44" i="178"/>
  <c r="G44" i="178"/>
  <c r="F44" i="178"/>
  <c r="E44" i="178"/>
  <c r="Q39" i="178"/>
  <c r="Q38" i="178"/>
  <c r="Q37" i="178"/>
  <c r="Q35" i="178"/>
  <c r="Q34" i="178"/>
  <c r="Q32" i="178"/>
  <c r="Q31" i="178"/>
  <c r="Q27" i="178"/>
  <c r="S26" i="178"/>
  <c r="V26" i="178" s="1"/>
  <c r="Q25" i="178"/>
  <c r="S20" i="178"/>
  <c r="V20" i="178" s="1"/>
  <c r="Q19" i="178"/>
  <c r="M18" i="178"/>
  <c r="L18" i="178"/>
  <c r="K18" i="178"/>
  <c r="J18" i="178"/>
  <c r="I18" i="178"/>
  <c r="H18" i="178"/>
  <c r="G18" i="178"/>
  <c r="F18" i="178"/>
  <c r="E18" i="178"/>
  <c r="Q17" i="178"/>
  <c r="Q15" i="178"/>
  <c r="Q13" i="178"/>
  <c r="Q12" i="178"/>
  <c r="N11" i="178"/>
  <c r="M11" i="178"/>
  <c r="L11" i="178"/>
  <c r="K11" i="178"/>
  <c r="K6" i="178" s="1"/>
  <c r="K5" i="178" s="1"/>
  <c r="J11" i="178"/>
  <c r="I11" i="178"/>
  <c r="H11" i="178"/>
  <c r="G11" i="178"/>
  <c r="F11" i="178"/>
  <c r="F6" i="178" s="1"/>
  <c r="E11" i="178"/>
  <c r="D9" i="178"/>
  <c r="N7" i="178"/>
  <c r="M7" i="178"/>
  <c r="L7" i="178"/>
  <c r="K7" i="178"/>
  <c r="J7" i="178"/>
  <c r="I7" i="178"/>
  <c r="H7" i="178"/>
  <c r="G7" i="178"/>
  <c r="F7" i="178"/>
  <c r="E7" i="178"/>
  <c r="L6" i="178"/>
  <c r="J6" i="178"/>
  <c r="I6" i="178"/>
  <c r="I5" i="178" s="1"/>
  <c r="E6" i="178"/>
  <c r="L5" i="178"/>
  <c r="J5" i="178"/>
  <c r="F45" i="177"/>
  <c r="G45" i="177"/>
  <c r="H45" i="177"/>
  <c r="I45" i="177"/>
  <c r="J45" i="177"/>
  <c r="K45" i="177"/>
  <c r="L45" i="177"/>
  <c r="M45" i="177"/>
  <c r="N45" i="177"/>
  <c r="F46" i="177"/>
  <c r="G46" i="177"/>
  <c r="H46" i="177"/>
  <c r="I46" i="177"/>
  <c r="J46" i="177"/>
  <c r="K46" i="177"/>
  <c r="L46" i="177"/>
  <c r="M46" i="177"/>
  <c r="N46" i="177"/>
  <c r="F47" i="177"/>
  <c r="G47" i="177"/>
  <c r="H47" i="177"/>
  <c r="I47" i="177"/>
  <c r="J47" i="177"/>
  <c r="K47" i="177"/>
  <c r="L47" i="177"/>
  <c r="M47" i="177"/>
  <c r="N47" i="177"/>
  <c r="F48" i="177"/>
  <c r="G48" i="177"/>
  <c r="H48" i="177"/>
  <c r="I48" i="177"/>
  <c r="J48" i="177"/>
  <c r="K48" i="177"/>
  <c r="L48" i="177"/>
  <c r="M48" i="177"/>
  <c r="N48" i="177"/>
  <c r="F49" i="177"/>
  <c r="G49" i="177"/>
  <c r="H49" i="177"/>
  <c r="I49" i="177"/>
  <c r="J49" i="177"/>
  <c r="K49" i="177"/>
  <c r="L49" i="177"/>
  <c r="M49" i="177"/>
  <c r="N49" i="177"/>
  <c r="F50" i="177"/>
  <c r="G50" i="177"/>
  <c r="H50" i="177"/>
  <c r="I50" i="177"/>
  <c r="J50" i="177"/>
  <c r="K50" i="177"/>
  <c r="L50" i="177"/>
  <c r="M50" i="177"/>
  <c r="N50" i="177"/>
  <c r="F51" i="177"/>
  <c r="G51" i="177"/>
  <c r="H51" i="177"/>
  <c r="I51" i="177"/>
  <c r="J51" i="177"/>
  <c r="K51" i="177"/>
  <c r="L51" i="177"/>
  <c r="M51" i="177"/>
  <c r="N51" i="177"/>
  <c r="F52" i="177"/>
  <c r="P52" i="177" s="1"/>
  <c r="G52" i="177"/>
  <c r="H52" i="177"/>
  <c r="I52" i="177"/>
  <c r="J52" i="177"/>
  <c r="K52" i="177"/>
  <c r="L52" i="177"/>
  <c r="M52" i="177"/>
  <c r="N52" i="177"/>
  <c r="F53" i="177"/>
  <c r="G53" i="177"/>
  <c r="H53" i="177"/>
  <c r="I53" i="177"/>
  <c r="J53" i="177"/>
  <c r="K53" i="177"/>
  <c r="L53" i="177"/>
  <c r="M53" i="177"/>
  <c r="N53" i="177"/>
  <c r="E46" i="177"/>
  <c r="E47" i="177"/>
  <c r="E48" i="177"/>
  <c r="E49" i="177"/>
  <c r="E50" i="177"/>
  <c r="E51" i="177"/>
  <c r="E52" i="177"/>
  <c r="E53" i="177"/>
  <c r="E45" i="177"/>
  <c r="F19" i="177"/>
  <c r="G19" i="177"/>
  <c r="H19" i="177"/>
  <c r="I19" i="177"/>
  <c r="J19" i="177"/>
  <c r="K19" i="177"/>
  <c r="L19" i="177"/>
  <c r="M19" i="177"/>
  <c r="N19" i="177"/>
  <c r="F20" i="177"/>
  <c r="G20" i="177"/>
  <c r="H20" i="177"/>
  <c r="I20" i="177"/>
  <c r="J20" i="177"/>
  <c r="K20" i="177"/>
  <c r="L20" i="177"/>
  <c r="M20" i="177"/>
  <c r="N20" i="177"/>
  <c r="F21" i="177"/>
  <c r="G21" i="177"/>
  <c r="H21" i="177"/>
  <c r="I21" i="177"/>
  <c r="J21" i="177"/>
  <c r="K21" i="177"/>
  <c r="L21" i="177"/>
  <c r="M21" i="177"/>
  <c r="N21" i="177"/>
  <c r="F22" i="177"/>
  <c r="G22" i="177"/>
  <c r="H22" i="177"/>
  <c r="I22" i="177"/>
  <c r="J22" i="177"/>
  <c r="K22" i="177"/>
  <c r="L22" i="177"/>
  <c r="M22" i="177"/>
  <c r="N22" i="177"/>
  <c r="F23" i="177"/>
  <c r="G23" i="177"/>
  <c r="H23" i="177"/>
  <c r="I23" i="177"/>
  <c r="J23" i="177"/>
  <c r="K23" i="177"/>
  <c r="L23" i="177"/>
  <c r="M23" i="177"/>
  <c r="N23" i="177"/>
  <c r="F24" i="177"/>
  <c r="G24" i="177"/>
  <c r="H24" i="177"/>
  <c r="I24" i="177"/>
  <c r="J24" i="177"/>
  <c r="K24" i="177"/>
  <c r="L24" i="177"/>
  <c r="M24" i="177"/>
  <c r="N24" i="177"/>
  <c r="F25" i="177"/>
  <c r="P25" i="177" s="1"/>
  <c r="G25" i="177"/>
  <c r="H25" i="177"/>
  <c r="I25" i="177"/>
  <c r="J25" i="177"/>
  <c r="K25" i="177"/>
  <c r="L25" i="177"/>
  <c r="M25" i="177"/>
  <c r="N25" i="177"/>
  <c r="F26" i="177"/>
  <c r="P26" i="177" s="1"/>
  <c r="G26" i="177"/>
  <c r="H26" i="177"/>
  <c r="I26" i="177"/>
  <c r="J26" i="177"/>
  <c r="K26" i="177"/>
  <c r="L26" i="177"/>
  <c r="M26" i="177"/>
  <c r="N26" i="177"/>
  <c r="F27" i="177"/>
  <c r="G27" i="177"/>
  <c r="H27" i="177"/>
  <c r="I27" i="177"/>
  <c r="J27" i="177"/>
  <c r="K27" i="177"/>
  <c r="L27" i="177"/>
  <c r="M27" i="177"/>
  <c r="N27" i="177"/>
  <c r="F28" i="177"/>
  <c r="P28" i="177" s="1"/>
  <c r="G28" i="177"/>
  <c r="H28" i="177"/>
  <c r="I28" i="177"/>
  <c r="J28" i="177"/>
  <c r="K28" i="177"/>
  <c r="L28" i="177"/>
  <c r="M28" i="177"/>
  <c r="N28" i="177"/>
  <c r="F29" i="177"/>
  <c r="P29" i="177" s="1"/>
  <c r="G29" i="177"/>
  <c r="H29" i="177"/>
  <c r="I29" i="177"/>
  <c r="J29" i="177"/>
  <c r="K29" i="177"/>
  <c r="L29" i="177"/>
  <c r="M29" i="177"/>
  <c r="N29" i="177"/>
  <c r="F30" i="177"/>
  <c r="G30" i="177"/>
  <c r="H30" i="177"/>
  <c r="I30" i="177"/>
  <c r="J30" i="177"/>
  <c r="K30" i="177"/>
  <c r="L30" i="177"/>
  <c r="M30" i="177"/>
  <c r="N30" i="177"/>
  <c r="F31" i="177"/>
  <c r="P31" i="177" s="1"/>
  <c r="G31" i="177"/>
  <c r="H31" i="177"/>
  <c r="I31" i="177"/>
  <c r="J31" i="177"/>
  <c r="K31" i="177"/>
  <c r="L31" i="177"/>
  <c r="M31" i="177"/>
  <c r="N31" i="177"/>
  <c r="F32" i="177"/>
  <c r="P32" i="177" s="1"/>
  <c r="G32" i="177"/>
  <c r="H32" i="177"/>
  <c r="I32" i="177"/>
  <c r="J32" i="177"/>
  <c r="K32" i="177"/>
  <c r="L32" i="177"/>
  <c r="M32" i="177"/>
  <c r="N32" i="177"/>
  <c r="F33" i="177"/>
  <c r="G33" i="177"/>
  <c r="H33" i="177"/>
  <c r="I33" i="177"/>
  <c r="J33" i="177"/>
  <c r="K33" i="177"/>
  <c r="L33" i="177"/>
  <c r="M33" i="177"/>
  <c r="N33" i="177"/>
  <c r="F34" i="177"/>
  <c r="G34" i="177"/>
  <c r="H34" i="177"/>
  <c r="I34" i="177"/>
  <c r="J34" i="177"/>
  <c r="K34" i="177"/>
  <c r="L34" i="177"/>
  <c r="M34" i="177"/>
  <c r="N34" i="177"/>
  <c r="F35" i="177"/>
  <c r="G35" i="177"/>
  <c r="H35" i="177"/>
  <c r="I35" i="177"/>
  <c r="J35" i="177"/>
  <c r="K35" i="177"/>
  <c r="L35" i="177"/>
  <c r="M35" i="177"/>
  <c r="N35" i="177"/>
  <c r="F36" i="177"/>
  <c r="P36" i="177" s="1"/>
  <c r="G36" i="177"/>
  <c r="H36" i="177"/>
  <c r="I36" i="177"/>
  <c r="J36" i="177"/>
  <c r="K36" i="177"/>
  <c r="L36" i="177"/>
  <c r="M36" i="177"/>
  <c r="N36" i="177"/>
  <c r="F37" i="177"/>
  <c r="P37" i="177" s="1"/>
  <c r="G37" i="177"/>
  <c r="H37" i="177"/>
  <c r="I37" i="177"/>
  <c r="J37" i="177"/>
  <c r="K37" i="177"/>
  <c r="L37" i="177"/>
  <c r="M37" i="177"/>
  <c r="N37" i="177"/>
  <c r="F38" i="177"/>
  <c r="P38" i="177" s="1"/>
  <c r="G38" i="177"/>
  <c r="H38" i="177"/>
  <c r="I38" i="177"/>
  <c r="J38" i="177"/>
  <c r="K38" i="177"/>
  <c r="L38" i="177"/>
  <c r="M38" i="177"/>
  <c r="N38" i="177"/>
  <c r="F39" i="177"/>
  <c r="P39" i="177" s="1"/>
  <c r="G39" i="177"/>
  <c r="H39" i="177"/>
  <c r="I39" i="177"/>
  <c r="J39" i="177"/>
  <c r="K39" i="177"/>
  <c r="L39" i="177"/>
  <c r="M39" i="177"/>
  <c r="N39" i="177"/>
  <c r="F40" i="177"/>
  <c r="G40" i="177"/>
  <c r="H40" i="177"/>
  <c r="I40" i="177"/>
  <c r="J40" i="177"/>
  <c r="K40" i="177"/>
  <c r="L40" i="177"/>
  <c r="M40" i="177"/>
  <c r="N40" i="177"/>
  <c r="F41" i="177"/>
  <c r="G41" i="177"/>
  <c r="H41" i="177"/>
  <c r="I41" i="177"/>
  <c r="J41" i="177"/>
  <c r="K41" i="177"/>
  <c r="L41" i="177"/>
  <c r="M41" i="177"/>
  <c r="N41" i="177"/>
  <c r="F42" i="177"/>
  <c r="P42" i="177" s="1"/>
  <c r="G42" i="177"/>
  <c r="H42" i="177"/>
  <c r="I42" i="177"/>
  <c r="J42" i="177"/>
  <c r="K42" i="177"/>
  <c r="L42" i="177"/>
  <c r="M42" i="177"/>
  <c r="N42" i="177"/>
  <c r="F43" i="177"/>
  <c r="G43" i="177"/>
  <c r="H43" i="177"/>
  <c r="I43" i="177"/>
  <c r="J43" i="177"/>
  <c r="K43" i="177"/>
  <c r="L43" i="177"/>
  <c r="M43" i="177"/>
  <c r="N43" i="177"/>
  <c r="E20" i="177"/>
  <c r="E21" i="177"/>
  <c r="E22" i="177"/>
  <c r="E23" i="177"/>
  <c r="E24" i="177"/>
  <c r="E25" i="177"/>
  <c r="E26" i="177"/>
  <c r="E27" i="177"/>
  <c r="E28" i="177"/>
  <c r="E29" i="177"/>
  <c r="E30" i="177"/>
  <c r="E31" i="177"/>
  <c r="E32" i="177"/>
  <c r="E33" i="177"/>
  <c r="E34" i="177"/>
  <c r="E35" i="177"/>
  <c r="E36" i="177"/>
  <c r="E37" i="177"/>
  <c r="E38" i="177"/>
  <c r="E39" i="177"/>
  <c r="E40" i="177"/>
  <c r="E41" i="177"/>
  <c r="E42" i="177"/>
  <c r="E43" i="177"/>
  <c r="E19" i="177"/>
  <c r="F12" i="177"/>
  <c r="G12" i="177"/>
  <c r="H12" i="177"/>
  <c r="I12" i="177"/>
  <c r="J12" i="177"/>
  <c r="K12" i="177"/>
  <c r="L12" i="177"/>
  <c r="M12" i="177"/>
  <c r="N12" i="177"/>
  <c r="F13" i="177"/>
  <c r="G13" i="177"/>
  <c r="H13" i="177"/>
  <c r="I13" i="177"/>
  <c r="J13" i="177"/>
  <c r="K13" i="177"/>
  <c r="L13" i="177"/>
  <c r="M13" i="177"/>
  <c r="N13" i="177"/>
  <c r="F14" i="177"/>
  <c r="G14" i="177"/>
  <c r="H14" i="177"/>
  <c r="I14" i="177"/>
  <c r="J14" i="177"/>
  <c r="K14" i="177"/>
  <c r="L14" i="177"/>
  <c r="M14" i="177"/>
  <c r="N14" i="177"/>
  <c r="F15" i="177"/>
  <c r="G15" i="177"/>
  <c r="H15" i="177"/>
  <c r="I15" i="177"/>
  <c r="J15" i="177"/>
  <c r="K15" i="177"/>
  <c r="L15" i="177"/>
  <c r="M15" i="177"/>
  <c r="N15" i="177"/>
  <c r="F16" i="177"/>
  <c r="G16" i="177"/>
  <c r="H16" i="177"/>
  <c r="I16" i="177"/>
  <c r="J16" i="177"/>
  <c r="K16" i="177"/>
  <c r="L16" i="177"/>
  <c r="M16" i="177"/>
  <c r="N16" i="177"/>
  <c r="F17" i="177"/>
  <c r="G17" i="177"/>
  <c r="H17" i="177"/>
  <c r="I17" i="177"/>
  <c r="J17" i="177"/>
  <c r="K17" i="177"/>
  <c r="L17" i="177"/>
  <c r="M17" i="177"/>
  <c r="N17" i="177"/>
  <c r="E13" i="177"/>
  <c r="E14" i="177"/>
  <c r="E15" i="177"/>
  <c r="E16" i="177"/>
  <c r="E17" i="177"/>
  <c r="E12" i="177"/>
  <c r="F8" i="177"/>
  <c r="G8" i="177"/>
  <c r="H8" i="177"/>
  <c r="I8" i="177"/>
  <c r="P8" i="177" s="1"/>
  <c r="J8" i="177"/>
  <c r="K8" i="177"/>
  <c r="L8" i="177"/>
  <c r="M8" i="177"/>
  <c r="N8" i="177"/>
  <c r="F9" i="177"/>
  <c r="G9" i="177"/>
  <c r="H9" i="177"/>
  <c r="I9" i="177"/>
  <c r="J9" i="177"/>
  <c r="K9" i="177"/>
  <c r="L9" i="177"/>
  <c r="M9" i="177"/>
  <c r="N9" i="177"/>
  <c r="F10" i="177"/>
  <c r="G10" i="177"/>
  <c r="H10" i="177"/>
  <c r="I10" i="177"/>
  <c r="P10" i="177" s="1"/>
  <c r="J10" i="177"/>
  <c r="K10" i="177"/>
  <c r="L10" i="177"/>
  <c r="M10" i="177"/>
  <c r="N10" i="177"/>
  <c r="E9" i="177"/>
  <c r="E10" i="177"/>
  <c r="E8" i="177"/>
  <c r="N44" i="177"/>
  <c r="M44" i="177"/>
  <c r="L44" i="177"/>
  <c r="K44" i="177"/>
  <c r="J44" i="177"/>
  <c r="I44" i="177"/>
  <c r="H44" i="177"/>
  <c r="G44" i="177"/>
  <c r="F44" i="177"/>
  <c r="E44" i="177"/>
  <c r="N18" i="177"/>
  <c r="M18" i="177"/>
  <c r="L18" i="177"/>
  <c r="K18" i="177"/>
  <c r="J18" i="177"/>
  <c r="I18" i="177"/>
  <c r="H18" i="177"/>
  <c r="G18" i="177"/>
  <c r="F18" i="177"/>
  <c r="L11" i="177"/>
  <c r="J11" i="177"/>
  <c r="F11" i="177"/>
  <c r="M11" i="177"/>
  <c r="K11" i="177"/>
  <c r="I11" i="177"/>
  <c r="M7" i="177"/>
  <c r="K7" i="177"/>
  <c r="I7" i="177"/>
  <c r="G7" i="177"/>
  <c r="E7" i="177"/>
  <c r="D9" i="177"/>
  <c r="N7" i="177"/>
  <c r="L7" i="177"/>
  <c r="L6" i="177" s="1"/>
  <c r="L5" i="177" s="1"/>
  <c r="J7" i="177"/>
  <c r="J6" i="177" s="1"/>
  <c r="J5" i="177" s="1"/>
  <c r="H7" i="177"/>
  <c r="F7" i="177"/>
  <c r="K6" i="177" l="1"/>
  <c r="K5" i="177" s="1"/>
  <c r="P20" i="177"/>
  <c r="P53" i="177"/>
  <c r="P49" i="177"/>
  <c r="P48" i="177"/>
  <c r="P47" i="177"/>
  <c r="P46" i="177"/>
  <c r="P45" i="177"/>
  <c r="P17" i="177"/>
  <c r="P16" i="177"/>
  <c r="P15" i="177"/>
  <c r="P14" i="177"/>
  <c r="P13" i="177"/>
  <c r="P12" i="177"/>
  <c r="M6" i="177"/>
  <c r="P43" i="177"/>
  <c r="P33" i="177"/>
  <c r="P30" i="177"/>
  <c r="P27" i="177"/>
  <c r="P24" i="177"/>
  <c r="P23" i="177"/>
  <c r="P22" i="177"/>
  <c r="M5" i="177"/>
  <c r="P21" i="177"/>
  <c r="P19" i="177"/>
  <c r="P51" i="177"/>
  <c r="P50" i="177"/>
  <c r="M6" i="178"/>
  <c r="M5" i="178" s="1"/>
  <c r="P9" i="177"/>
  <c r="I6" i="177"/>
  <c r="I5" i="177" s="1"/>
  <c r="P7" i="177"/>
  <c r="P7" i="178"/>
  <c r="P11" i="177"/>
  <c r="F6" i="177"/>
  <c r="F5" i="177"/>
  <c r="F5" i="178"/>
  <c r="G6" i="178"/>
  <c r="H6" i="178"/>
  <c r="N6" i="178"/>
  <c r="G11" i="177"/>
  <c r="G6" i="177" s="1"/>
  <c r="G5" i="177" s="1"/>
  <c r="G5" i="178"/>
  <c r="N11" i="177"/>
  <c r="N6" i="177" s="1"/>
  <c r="N5" i="177" s="1"/>
  <c r="S17" i="177"/>
  <c r="V17" i="177" s="1"/>
  <c r="S16" i="177"/>
  <c r="V16" i="177" s="1"/>
  <c r="E11" i="177"/>
  <c r="E18" i="177"/>
  <c r="E5" i="178"/>
  <c r="Q51" i="178"/>
  <c r="H5" i="178"/>
  <c r="Q26" i="178"/>
  <c r="H11" i="177"/>
  <c r="H6" i="177" s="1"/>
  <c r="H5" i="177" s="1"/>
  <c r="Q45" i="178"/>
  <c r="S46" i="178"/>
  <c r="V46" i="178" s="1"/>
  <c r="Q46" i="178"/>
  <c r="R46" i="178" s="1"/>
  <c r="R52" i="178"/>
  <c r="S52" i="178"/>
  <c r="V52" i="178" s="1"/>
  <c r="R19" i="178"/>
  <c r="S19" i="178"/>
  <c r="Q20" i="178"/>
  <c r="R20" i="178" s="1"/>
  <c r="S32" i="178"/>
  <c r="V32" i="178" s="1"/>
  <c r="S34" i="178"/>
  <c r="S38" i="178"/>
  <c r="V38" i="178" s="1"/>
  <c r="S42" i="178"/>
  <c r="V42" i="178" s="1"/>
  <c r="R25" i="178"/>
  <c r="S25" i="178"/>
  <c r="R31" i="178"/>
  <c r="S31" i="178"/>
  <c r="R35" i="178"/>
  <c r="S35" i="178"/>
  <c r="V35" i="178" s="1"/>
  <c r="R37" i="178"/>
  <c r="S37" i="178"/>
  <c r="Q42" i="178"/>
  <c r="R42" i="178" s="1"/>
  <c r="R12" i="178"/>
  <c r="S12" i="178"/>
  <c r="S16" i="178"/>
  <c r="V16" i="178" s="1"/>
  <c r="R13" i="178"/>
  <c r="S13" i="178"/>
  <c r="R15" i="178"/>
  <c r="S15" i="178"/>
  <c r="Q16" i="178"/>
  <c r="R16" i="178" s="1"/>
  <c r="Q8" i="178"/>
  <c r="S8" i="178"/>
  <c r="Q9" i="178"/>
  <c r="R9" i="178" s="1"/>
  <c r="S9" i="178"/>
  <c r="V9" i="178" s="1"/>
  <c r="Q10" i="178"/>
  <c r="R10" i="178" s="1"/>
  <c r="S10" i="178"/>
  <c r="V10" i="178" s="1"/>
  <c r="V13" i="178"/>
  <c r="Q14" i="178"/>
  <c r="Q11" i="178" s="1"/>
  <c r="S14" i="178"/>
  <c r="S22" i="178"/>
  <c r="Q22" i="178"/>
  <c r="R22" i="178" s="1"/>
  <c r="S23" i="178"/>
  <c r="V23" i="178" s="1"/>
  <c r="Q23" i="178"/>
  <c r="R23" i="178" s="1"/>
  <c r="S24" i="178"/>
  <c r="V24" i="178" s="1"/>
  <c r="Q24" i="178"/>
  <c r="R24" i="178" s="1"/>
  <c r="R26" i="178"/>
  <c r="S28" i="178"/>
  <c r="Q28" i="178"/>
  <c r="R28" i="178" s="1"/>
  <c r="S29" i="178"/>
  <c r="V29" i="178" s="1"/>
  <c r="Q29" i="178"/>
  <c r="R29" i="178" s="1"/>
  <c r="S30" i="178"/>
  <c r="V30" i="178" s="1"/>
  <c r="Q30" i="178"/>
  <c r="R30" i="178" s="1"/>
  <c r="R32" i="178"/>
  <c r="R34" i="178"/>
  <c r="S36" i="178"/>
  <c r="V36" i="178" s="1"/>
  <c r="Q36" i="178"/>
  <c r="R36" i="178" s="1"/>
  <c r="R38" i="178"/>
  <c r="S40" i="178"/>
  <c r="Q40" i="178"/>
  <c r="R40" i="178" s="1"/>
  <c r="S41" i="178"/>
  <c r="V41" i="178" s="1"/>
  <c r="Q41" i="178"/>
  <c r="R41" i="178" s="1"/>
  <c r="S43" i="178"/>
  <c r="Q43" i="178"/>
  <c r="R43" i="178" s="1"/>
  <c r="R45" i="178"/>
  <c r="N44" i="178"/>
  <c r="R51" i="178"/>
  <c r="R53" i="178"/>
  <c r="S53" i="178"/>
  <c r="V53" i="178" s="1"/>
  <c r="R55" i="178"/>
  <c r="R17" i="178"/>
  <c r="S17" i="178"/>
  <c r="N18" i="178"/>
  <c r="N5" i="178" s="1"/>
  <c r="P5" i="178" s="1"/>
  <c r="R27" i="178"/>
  <c r="S27" i="178"/>
  <c r="V27" i="178" s="1"/>
  <c r="S33" i="178"/>
  <c r="V33" i="178" s="1"/>
  <c r="Q33" i="178"/>
  <c r="R33" i="178" s="1"/>
  <c r="R39" i="178"/>
  <c r="S39" i="178"/>
  <c r="V39" i="178" s="1"/>
  <c r="S48" i="178"/>
  <c r="Q48" i="178"/>
  <c r="R48" i="178" s="1"/>
  <c r="S49" i="178"/>
  <c r="V49" i="178" s="1"/>
  <c r="Q49" i="178"/>
  <c r="R49" i="178" s="1"/>
  <c r="S50" i="178"/>
  <c r="V50" i="178" s="1"/>
  <c r="Q50" i="178"/>
  <c r="R50" i="178" s="1"/>
  <c r="S54" i="178"/>
  <c r="Q54" i="178"/>
  <c r="S55" i="178"/>
  <c r="E6" i="177"/>
  <c r="E5" i="177" s="1"/>
  <c r="S8" i="177"/>
  <c r="Q8" i="177"/>
  <c r="S12" i="177"/>
  <c r="Q12" i="177"/>
  <c r="R12" i="177" s="1"/>
  <c r="S13" i="177"/>
  <c r="V13" i="177" s="1"/>
  <c r="Q13" i="177"/>
  <c r="R13" i="177" s="1"/>
  <c r="S14" i="177"/>
  <c r="V14" i="177" s="1"/>
  <c r="Q14" i="177"/>
  <c r="R14" i="177" s="1"/>
  <c r="S15" i="177"/>
  <c r="Q15" i="177"/>
  <c r="R15" i="177" s="1"/>
  <c r="Q16" i="177"/>
  <c r="R16" i="177" s="1"/>
  <c r="Q17" i="177"/>
  <c r="R17" i="177" s="1"/>
  <c r="S10" i="177"/>
  <c r="V10" i="177" s="1"/>
  <c r="Q10" i="177"/>
  <c r="R10" i="177" s="1"/>
  <c r="S19" i="177"/>
  <c r="Q19" i="177"/>
  <c r="S20" i="177"/>
  <c r="V20" i="177" s="1"/>
  <c r="Q20" i="177"/>
  <c r="R20" i="177" s="1"/>
  <c r="S21" i="177"/>
  <c r="V21" i="177" s="1"/>
  <c r="Q21" i="177"/>
  <c r="R21" i="177" s="1"/>
  <c r="S22" i="177"/>
  <c r="Q22" i="177"/>
  <c r="R22" i="177" s="1"/>
  <c r="S23" i="177"/>
  <c r="V23" i="177" s="1"/>
  <c r="Q23" i="177"/>
  <c r="R23" i="177" s="1"/>
  <c r="S24" i="177"/>
  <c r="V24" i="177" s="1"/>
  <c r="Q24" i="177"/>
  <c r="R24" i="177" s="1"/>
  <c r="S25" i="177"/>
  <c r="Q25" i="177"/>
  <c r="R25" i="177" s="1"/>
  <c r="S26" i="177"/>
  <c r="V26" i="177" s="1"/>
  <c r="Q26" i="177"/>
  <c r="R26" i="177" s="1"/>
  <c r="S27" i="177"/>
  <c r="V27" i="177" s="1"/>
  <c r="Q27" i="177"/>
  <c r="R27" i="177" s="1"/>
  <c r="S28" i="177"/>
  <c r="Q28" i="177"/>
  <c r="R28" i="177" s="1"/>
  <c r="S29" i="177"/>
  <c r="V29" i="177" s="1"/>
  <c r="Q29" i="177"/>
  <c r="R29" i="177" s="1"/>
  <c r="S30" i="177"/>
  <c r="V30" i="177" s="1"/>
  <c r="Q30" i="177"/>
  <c r="R30" i="177" s="1"/>
  <c r="S31" i="177"/>
  <c r="Q31" i="177"/>
  <c r="R31" i="177" s="1"/>
  <c r="S32" i="177"/>
  <c r="V32" i="177" s="1"/>
  <c r="Q32" i="177"/>
  <c r="R32" i="177" s="1"/>
  <c r="S33" i="177"/>
  <c r="V33" i="177" s="1"/>
  <c r="Q33" i="177"/>
  <c r="R33" i="177" s="1"/>
  <c r="S34" i="177"/>
  <c r="Q34" i="177"/>
  <c r="R34" i="177" s="1"/>
  <c r="S35" i="177"/>
  <c r="V35" i="177" s="1"/>
  <c r="Q35" i="177"/>
  <c r="R35" i="177" s="1"/>
  <c r="S36" i="177"/>
  <c r="V36" i="177" s="1"/>
  <c r="Q36" i="177"/>
  <c r="R36" i="177" s="1"/>
  <c r="S37" i="177"/>
  <c r="Q37" i="177"/>
  <c r="R37" i="177" s="1"/>
  <c r="S38" i="177"/>
  <c r="V38" i="177" s="1"/>
  <c r="Q38" i="177"/>
  <c r="R38" i="177" s="1"/>
  <c r="S39" i="177"/>
  <c r="V39" i="177" s="1"/>
  <c r="Q39" i="177"/>
  <c r="R39" i="177" s="1"/>
  <c r="S40" i="177"/>
  <c r="Q40" i="177"/>
  <c r="R40" i="177" s="1"/>
  <c r="S41" i="177"/>
  <c r="V41" i="177" s="1"/>
  <c r="Q41" i="177"/>
  <c r="R41" i="177" s="1"/>
  <c r="S42" i="177"/>
  <c r="V42" i="177" s="1"/>
  <c r="Q42" i="177"/>
  <c r="R42" i="177" s="1"/>
  <c r="S43" i="177"/>
  <c r="Q43" i="177"/>
  <c r="R43" i="177" s="1"/>
  <c r="S45" i="177"/>
  <c r="Q45" i="177"/>
  <c r="R45" i="177" s="1"/>
  <c r="S46" i="177"/>
  <c r="V46" i="177" s="1"/>
  <c r="Q46" i="177"/>
  <c r="R46" i="177" s="1"/>
  <c r="S47" i="177"/>
  <c r="V47" i="177" s="1"/>
  <c r="Q47" i="177"/>
  <c r="R47" i="177" s="1"/>
  <c r="S48" i="177"/>
  <c r="Q48" i="177"/>
  <c r="R48" i="177" s="1"/>
  <c r="S49" i="177"/>
  <c r="V49" i="177" s="1"/>
  <c r="Q49" i="177"/>
  <c r="R49" i="177" s="1"/>
  <c r="S50" i="177"/>
  <c r="V50" i="177" s="1"/>
  <c r="Q50" i="177"/>
  <c r="R50" i="177" s="1"/>
  <c r="S51" i="177"/>
  <c r="Q51" i="177"/>
  <c r="R51" i="177" s="1"/>
  <c r="S52" i="177"/>
  <c r="V52" i="177" s="1"/>
  <c r="Q52" i="177"/>
  <c r="R52" i="177" s="1"/>
  <c r="S53" i="177"/>
  <c r="V53" i="177" s="1"/>
  <c r="Q53" i="177"/>
  <c r="R53" i="177" s="1"/>
  <c r="J36" i="150"/>
  <c r="J35" i="150"/>
  <c r="I35" i="150"/>
  <c r="P6" i="177" l="1"/>
  <c r="P5" i="177"/>
  <c r="P18" i="177"/>
  <c r="P44" i="177"/>
  <c r="P6" i="178"/>
  <c r="P57" i="178"/>
  <c r="Q47" i="178"/>
  <c r="Q44" i="178" s="1"/>
  <c r="S47" i="178"/>
  <c r="V14" i="178"/>
  <c r="S11" i="178"/>
  <c r="S7" i="178"/>
  <c r="S21" i="178"/>
  <c r="Q21" i="178"/>
  <c r="Q18" i="178" s="1"/>
  <c r="V17" i="178"/>
  <c r="Q7" i="178"/>
  <c r="Q6" i="178" s="1"/>
  <c r="R54" i="178"/>
  <c r="R14" i="178"/>
  <c r="R11" i="178" s="1"/>
  <c r="R8" i="178"/>
  <c r="R7" i="178" s="1"/>
  <c r="V44" i="177"/>
  <c r="S44" i="177"/>
  <c r="Q18" i="177"/>
  <c r="R19" i="177"/>
  <c r="R18" i="177" s="1"/>
  <c r="Q11" i="177"/>
  <c r="R44" i="177"/>
  <c r="Q44" i="177"/>
  <c r="V18" i="177"/>
  <c r="S18" i="177"/>
  <c r="S9" i="177"/>
  <c r="V9" i="177" s="1"/>
  <c r="V6" i="177" s="1"/>
  <c r="Q9" i="177"/>
  <c r="Q7" i="177" s="1"/>
  <c r="Q6" i="177" s="1"/>
  <c r="Q5" i="177" s="1"/>
  <c r="R11" i="177"/>
  <c r="S11" i="177"/>
  <c r="R8" i="177"/>
  <c r="W13" i="147"/>
  <c r="W14" i="147"/>
  <c r="W15" i="147"/>
  <c r="W16" i="147"/>
  <c r="W17" i="147"/>
  <c r="W12" i="147"/>
  <c r="V13" i="147"/>
  <c r="V14" i="147"/>
  <c r="V15" i="147"/>
  <c r="V16" i="147"/>
  <c r="V17" i="147"/>
  <c r="V12" i="147"/>
  <c r="V7" i="178" l="1"/>
  <c r="R9" i="177"/>
  <c r="R7" i="177" s="1"/>
  <c r="R6" i="177" s="1"/>
  <c r="R5" i="177" s="1"/>
  <c r="Q5" i="178"/>
  <c r="S6" i="178"/>
  <c r="V5" i="177"/>
  <c r="R21" i="178"/>
  <c r="R18" i="178" s="1"/>
  <c r="V47" i="178"/>
  <c r="V44" i="178" s="1"/>
  <c r="S44" i="178"/>
  <c r="R6" i="178"/>
  <c r="V21" i="178"/>
  <c r="V18" i="178" s="1"/>
  <c r="S18" i="178"/>
  <c r="R47" i="178"/>
  <c r="R44" i="178" s="1"/>
  <c r="S7" i="177"/>
  <c r="S6" i="177" s="1"/>
  <c r="S5" i="177" s="1"/>
  <c r="Q49" i="176"/>
  <c r="Q48" i="176"/>
  <c r="Q46" i="176"/>
  <c r="Q45" i="176"/>
  <c r="N44" i="176"/>
  <c r="M44" i="176"/>
  <c r="K44" i="176"/>
  <c r="J44" i="176"/>
  <c r="I44" i="176"/>
  <c r="H44" i="176"/>
  <c r="G44" i="176"/>
  <c r="F44" i="176"/>
  <c r="E44" i="176"/>
  <c r="Q40" i="176"/>
  <c r="Q38" i="176"/>
  <c r="Q34" i="176"/>
  <c r="Q32" i="176"/>
  <c r="Q26" i="176"/>
  <c r="Q22" i="176"/>
  <c r="N18" i="176"/>
  <c r="M18" i="176"/>
  <c r="K18" i="176"/>
  <c r="J18" i="176"/>
  <c r="I18" i="176"/>
  <c r="H18" i="176"/>
  <c r="G18" i="176"/>
  <c r="F18" i="176"/>
  <c r="E18" i="176"/>
  <c r="S17" i="176"/>
  <c r="V17" i="176" s="1"/>
  <c r="Q17" i="176"/>
  <c r="R17" i="176"/>
  <c r="S14" i="176"/>
  <c r="V14" i="176" s="1"/>
  <c r="Q14" i="176"/>
  <c r="R14" i="176" s="1"/>
  <c r="N11" i="176"/>
  <c r="M11" i="176"/>
  <c r="K11" i="176"/>
  <c r="J11" i="176"/>
  <c r="I11" i="176"/>
  <c r="H11" i="176"/>
  <c r="G11" i="176"/>
  <c r="F11" i="176"/>
  <c r="E11" i="176"/>
  <c r="S9" i="176"/>
  <c r="V9" i="176" s="1"/>
  <c r="Q9" i="176"/>
  <c r="R9" i="176"/>
  <c r="D9" i="176"/>
  <c r="S8" i="176"/>
  <c r="N7" i="176"/>
  <c r="N6" i="176" s="1"/>
  <c r="M7" i="176"/>
  <c r="K7" i="176"/>
  <c r="K6" i="176" s="1"/>
  <c r="K5" i="176" s="1"/>
  <c r="J7" i="176"/>
  <c r="I7" i="176"/>
  <c r="I6" i="176" s="1"/>
  <c r="I5" i="176" s="1"/>
  <c r="H7" i="176"/>
  <c r="G7" i="176"/>
  <c r="G6" i="176" s="1"/>
  <c r="F7" i="176"/>
  <c r="E7" i="176"/>
  <c r="E6" i="176" s="1"/>
  <c r="M6" i="176"/>
  <c r="J6" i="176"/>
  <c r="H6" i="176"/>
  <c r="F6" i="176"/>
  <c r="M5" i="176"/>
  <c r="J5" i="176"/>
  <c r="Q46" i="175"/>
  <c r="N45" i="175"/>
  <c r="M45" i="175"/>
  <c r="L45" i="175"/>
  <c r="K45" i="175"/>
  <c r="J45" i="175"/>
  <c r="I45" i="175"/>
  <c r="H45" i="175"/>
  <c r="G45" i="175"/>
  <c r="F45" i="175"/>
  <c r="E45" i="175"/>
  <c r="Q34" i="175"/>
  <c r="Q30" i="175"/>
  <c r="N19" i="175"/>
  <c r="Q21" i="175"/>
  <c r="M19" i="175"/>
  <c r="L19" i="175"/>
  <c r="K19" i="175"/>
  <c r="J19" i="175"/>
  <c r="I19" i="175"/>
  <c r="H19" i="175"/>
  <c r="G19" i="175"/>
  <c r="F19" i="175"/>
  <c r="E19" i="175"/>
  <c r="S18" i="175"/>
  <c r="V18" i="175" s="1"/>
  <c r="Q15" i="175"/>
  <c r="S14" i="175"/>
  <c r="V14" i="175" s="1"/>
  <c r="Q13" i="175"/>
  <c r="N12" i="175"/>
  <c r="M12" i="175"/>
  <c r="M7" i="175" s="1"/>
  <c r="M6" i="175" s="1"/>
  <c r="L12" i="175"/>
  <c r="K12" i="175"/>
  <c r="J12" i="175"/>
  <c r="I12" i="175"/>
  <c r="H12" i="175"/>
  <c r="G12" i="175"/>
  <c r="F12" i="175"/>
  <c r="F7" i="175" s="1"/>
  <c r="E12" i="175"/>
  <c r="S11" i="175"/>
  <c r="V11" i="175" s="1"/>
  <c r="S10" i="175"/>
  <c r="V10" i="175" s="1"/>
  <c r="D10" i="175"/>
  <c r="S9" i="175"/>
  <c r="N8" i="175"/>
  <c r="M8" i="175"/>
  <c r="L8" i="175"/>
  <c r="K8" i="175"/>
  <c r="J8" i="175"/>
  <c r="I8" i="175"/>
  <c r="P8" i="175" s="1"/>
  <c r="H8" i="175"/>
  <c r="G8" i="175"/>
  <c r="F8" i="175"/>
  <c r="E8" i="175"/>
  <c r="L7" i="175"/>
  <c r="K7" i="175"/>
  <c r="J7" i="175"/>
  <c r="J6" i="175" s="1"/>
  <c r="I7" i="175"/>
  <c r="H7" i="175"/>
  <c r="G7" i="175"/>
  <c r="G6" i="175" s="1"/>
  <c r="L6" i="175"/>
  <c r="K6" i="175"/>
  <c r="I6" i="175"/>
  <c r="Q49" i="174"/>
  <c r="Q48" i="174"/>
  <c r="Q46" i="174"/>
  <c r="Q45" i="174"/>
  <c r="N44" i="174"/>
  <c r="M44" i="174"/>
  <c r="L44" i="174"/>
  <c r="K44" i="174"/>
  <c r="J44" i="174"/>
  <c r="I44" i="174"/>
  <c r="H44" i="174"/>
  <c r="G44" i="174"/>
  <c r="F44" i="174"/>
  <c r="E44" i="174"/>
  <c r="Q36" i="174"/>
  <c r="N18" i="174"/>
  <c r="M18" i="174"/>
  <c r="L18" i="174"/>
  <c r="K18" i="174"/>
  <c r="J18" i="174"/>
  <c r="I18" i="174"/>
  <c r="H18" i="174"/>
  <c r="G18" i="174"/>
  <c r="F18" i="174"/>
  <c r="E18" i="174"/>
  <c r="Q16" i="174"/>
  <c r="Q15" i="174"/>
  <c r="S14" i="174"/>
  <c r="Q13" i="174"/>
  <c r="Q12" i="174"/>
  <c r="N11" i="174"/>
  <c r="M11" i="174"/>
  <c r="M6" i="174" s="1"/>
  <c r="L11" i="174"/>
  <c r="K11" i="174"/>
  <c r="K6" i="174" s="1"/>
  <c r="K5" i="174" s="1"/>
  <c r="J11" i="174"/>
  <c r="I11" i="174"/>
  <c r="I6" i="174" s="1"/>
  <c r="I5" i="174" s="1"/>
  <c r="H11" i="174"/>
  <c r="G11" i="174"/>
  <c r="G6" i="174" s="1"/>
  <c r="F11" i="174"/>
  <c r="E11" i="174"/>
  <c r="E6" i="174" s="1"/>
  <c r="S10" i="174"/>
  <c r="V10" i="174" s="1"/>
  <c r="Q9" i="174"/>
  <c r="R9" i="174"/>
  <c r="D9" i="174"/>
  <c r="S9" i="174" s="1"/>
  <c r="V9" i="174" s="1"/>
  <c r="S8" i="174"/>
  <c r="N7" i="174"/>
  <c r="M7" i="174"/>
  <c r="L7" i="174"/>
  <c r="K7" i="174"/>
  <c r="J7" i="174"/>
  <c r="I7" i="174"/>
  <c r="H7" i="174"/>
  <c r="G7" i="174"/>
  <c r="F7" i="174"/>
  <c r="E7" i="174"/>
  <c r="N6" i="174"/>
  <c r="L6" i="174"/>
  <c r="J6" i="174"/>
  <c r="H6" i="174"/>
  <c r="F6" i="174"/>
  <c r="F5" i="174" s="1"/>
  <c r="L5" i="174"/>
  <c r="J5" i="174"/>
  <c r="H5" i="174"/>
  <c r="N9" i="172"/>
  <c r="O9" i="172" s="1"/>
  <c r="N8" i="172"/>
  <c r="O8" i="172" s="1"/>
  <c r="N7" i="172"/>
  <c r="O7" i="172" s="1"/>
  <c r="N6" i="172"/>
  <c r="O6" i="172" s="1"/>
  <c r="N5" i="172"/>
  <c r="O5" i="172" s="1"/>
  <c r="N4" i="172"/>
  <c r="O4" i="172" l="1"/>
  <c r="N10" i="172"/>
  <c r="O10" i="172"/>
  <c r="F5" i="176"/>
  <c r="P7" i="175"/>
  <c r="F6" i="175"/>
  <c r="N7" i="175"/>
  <c r="H6" i="175"/>
  <c r="E7" i="175"/>
  <c r="E6" i="175" s="1"/>
  <c r="E5" i="174"/>
  <c r="N5" i="174"/>
  <c r="G5" i="174"/>
  <c r="M5" i="174"/>
  <c r="G5" i="176"/>
  <c r="N5" i="176"/>
  <c r="N6" i="175"/>
  <c r="P6" i="175" s="1"/>
  <c r="E5" i="176"/>
  <c r="S5" i="178"/>
  <c r="H5" i="176"/>
  <c r="V5" i="178"/>
  <c r="R5" i="178"/>
  <c r="R46" i="176"/>
  <c r="S46" i="176"/>
  <c r="V46" i="176" s="1"/>
  <c r="R48" i="176"/>
  <c r="S48" i="176"/>
  <c r="R45" i="176"/>
  <c r="S45" i="176"/>
  <c r="R49" i="176"/>
  <c r="S49" i="176"/>
  <c r="V49" i="176" s="1"/>
  <c r="S23" i="176"/>
  <c r="V23" i="176" s="1"/>
  <c r="S25" i="176"/>
  <c r="S31" i="176"/>
  <c r="S35" i="176"/>
  <c r="V35" i="176" s="1"/>
  <c r="S37" i="176"/>
  <c r="S41" i="176"/>
  <c r="V41" i="176" s="1"/>
  <c r="S43" i="176"/>
  <c r="R22" i="176"/>
  <c r="S22" i="176"/>
  <c r="Q23" i="176"/>
  <c r="R23" i="176" s="1"/>
  <c r="Q25" i="176"/>
  <c r="R25" i="176" s="1"/>
  <c r="R26" i="176"/>
  <c r="S26" i="176"/>
  <c r="V26" i="176" s="1"/>
  <c r="Q31" i="176"/>
  <c r="R31" i="176" s="1"/>
  <c r="R32" i="176"/>
  <c r="S32" i="176"/>
  <c r="V32" i="176" s="1"/>
  <c r="R34" i="176"/>
  <c r="S34" i="176"/>
  <c r="Q35" i="176"/>
  <c r="R35" i="176" s="1"/>
  <c r="Q37" i="176"/>
  <c r="R37" i="176" s="1"/>
  <c r="R38" i="176"/>
  <c r="S38" i="176"/>
  <c r="V38" i="176" s="1"/>
  <c r="R40" i="176"/>
  <c r="S40" i="176"/>
  <c r="Q41" i="176"/>
  <c r="R41" i="176" s="1"/>
  <c r="Q43" i="176"/>
  <c r="R43" i="176" s="1"/>
  <c r="S21" i="176"/>
  <c r="Q21" i="176"/>
  <c r="R21" i="176" s="1"/>
  <c r="S24" i="176"/>
  <c r="V24" i="176" s="1"/>
  <c r="Q24" i="176"/>
  <c r="R24" i="176" s="1"/>
  <c r="S27" i="176"/>
  <c r="V27" i="176" s="1"/>
  <c r="Q27" i="176"/>
  <c r="R27" i="176" s="1"/>
  <c r="Q8" i="176"/>
  <c r="R8" i="176" s="1"/>
  <c r="S10" i="176"/>
  <c r="Q10" i="176"/>
  <c r="R10" i="176" s="1"/>
  <c r="S39" i="176"/>
  <c r="V39" i="176" s="1"/>
  <c r="Q39" i="176"/>
  <c r="R39" i="176" s="1"/>
  <c r="S50" i="176"/>
  <c r="V50" i="176" s="1"/>
  <c r="Q50" i="176"/>
  <c r="R50" i="176" s="1"/>
  <c r="Q12" i="176"/>
  <c r="S12" i="176"/>
  <c r="Q13" i="176"/>
  <c r="R13" i="176" s="1"/>
  <c r="S13" i="176"/>
  <c r="V13" i="176" s="1"/>
  <c r="Q15" i="176"/>
  <c r="R15" i="176" s="1"/>
  <c r="S15" i="176"/>
  <c r="Q16" i="176"/>
  <c r="R16" i="176" s="1"/>
  <c r="S16" i="176"/>
  <c r="V16" i="176" s="1"/>
  <c r="Q19" i="176"/>
  <c r="S19" i="176"/>
  <c r="Q20" i="176"/>
  <c r="R20" i="176" s="1"/>
  <c r="S20" i="176"/>
  <c r="V20" i="176" s="1"/>
  <c r="Q28" i="176"/>
  <c r="R28" i="176" s="1"/>
  <c r="S28" i="176"/>
  <c r="Q29" i="176"/>
  <c r="R29" i="176" s="1"/>
  <c r="S29" i="176"/>
  <c r="V29" i="176" s="1"/>
  <c r="Q30" i="176"/>
  <c r="R30" i="176" s="1"/>
  <c r="S30" i="176"/>
  <c r="V30" i="176" s="1"/>
  <c r="Q33" i="176"/>
  <c r="R33" i="176" s="1"/>
  <c r="S33" i="176"/>
  <c r="V33" i="176" s="1"/>
  <c r="Q36" i="176"/>
  <c r="R36" i="176" s="1"/>
  <c r="S36" i="176"/>
  <c r="V36" i="176" s="1"/>
  <c r="Q42" i="176"/>
  <c r="R42" i="176" s="1"/>
  <c r="S42" i="176"/>
  <c r="V42" i="176" s="1"/>
  <c r="Q47" i="176"/>
  <c r="S47" i="176"/>
  <c r="V47" i="176" s="1"/>
  <c r="Q51" i="176"/>
  <c r="R51" i="176" s="1"/>
  <c r="S51" i="176"/>
  <c r="Q52" i="176"/>
  <c r="R52" i="176" s="1"/>
  <c r="S52" i="176"/>
  <c r="V52" i="176" s="1"/>
  <c r="Q53" i="176"/>
  <c r="R53" i="176" s="1"/>
  <c r="S53" i="176"/>
  <c r="V53" i="176" s="1"/>
  <c r="S47" i="175"/>
  <c r="V47" i="175" s="1"/>
  <c r="R46" i="175"/>
  <c r="S46" i="175"/>
  <c r="Q47" i="175"/>
  <c r="R47" i="175" s="1"/>
  <c r="S20" i="175"/>
  <c r="S29" i="175"/>
  <c r="S37" i="175"/>
  <c r="V37" i="175" s="1"/>
  <c r="S43" i="175"/>
  <c r="V43" i="175" s="1"/>
  <c r="Q20" i="175"/>
  <c r="R20" i="175" s="1"/>
  <c r="R21" i="175"/>
  <c r="S21" i="175"/>
  <c r="V21" i="175" s="1"/>
  <c r="Q29" i="175"/>
  <c r="R29" i="175" s="1"/>
  <c r="R30" i="175"/>
  <c r="S30" i="175"/>
  <c r="V30" i="175" s="1"/>
  <c r="R34" i="175"/>
  <c r="S34" i="175"/>
  <c r="V34" i="175" s="1"/>
  <c r="Q37" i="175"/>
  <c r="R37" i="175" s="1"/>
  <c r="Q43" i="175"/>
  <c r="R43" i="175" s="1"/>
  <c r="R13" i="175"/>
  <c r="S13" i="175"/>
  <c r="Q14" i="175"/>
  <c r="R14" i="175" s="1"/>
  <c r="S15" i="175"/>
  <c r="V15" i="175" s="1"/>
  <c r="Q18" i="175"/>
  <c r="S8" i="175"/>
  <c r="S16" i="175"/>
  <c r="Q16" i="175"/>
  <c r="R16" i="175" s="1"/>
  <c r="S17" i="175"/>
  <c r="V17" i="175" s="1"/>
  <c r="Q17" i="175"/>
  <c r="R17" i="175" s="1"/>
  <c r="S25" i="175"/>
  <c r="V25" i="175" s="1"/>
  <c r="Q25" i="175"/>
  <c r="R25" i="175" s="1"/>
  <c r="S40" i="175"/>
  <c r="V40" i="175" s="1"/>
  <c r="Q40" i="175"/>
  <c r="R40" i="175" s="1"/>
  <c r="S48" i="175"/>
  <c r="V48" i="175" s="1"/>
  <c r="Q48" i="175"/>
  <c r="R48" i="175" s="1"/>
  <c r="S54" i="175"/>
  <c r="V54" i="175" s="1"/>
  <c r="Q54" i="175"/>
  <c r="R54" i="175" s="1"/>
  <c r="Q9" i="175"/>
  <c r="Q10" i="175"/>
  <c r="R10" i="175" s="1"/>
  <c r="Q11" i="175"/>
  <c r="R11" i="175" s="1"/>
  <c r="R15" i="175"/>
  <c r="R18" i="175"/>
  <c r="S22" i="175"/>
  <c r="V22" i="175" s="1"/>
  <c r="Q22" i="175"/>
  <c r="R22" i="175" s="1"/>
  <c r="S28" i="175"/>
  <c r="V28" i="175" s="1"/>
  <c r="Q28" i="175"/>
  <c r="R28" i="175" s="1"/>
  <c r="S31" i="175"/>
  <c r="V31" i="175" s="1"/>
  <c r="Q31" i="175"/>
  <c r="R31" i="175" s="1"/>
  <c r="S51" i="175"/>
  <c r="V51" i="175" s="1"/>
  <c r="Q51" i="175"/>
  <c r="R51" i="175" s="1"/>
  <c r="Q23" i="175"/>
  <c r="R23" i="175" s="1"/>
  <c r="S23" i="175"/>
  <c r="Q24" i="175"/>
  <c r="R24" i="175" s="1"/>
  <c r="S24" i="175"/>
  <c r="V24" i="175" s="1"/>
  <c r="Q26" i="175"/>
  <c r="R26" i="175" s="1"/>
  <c r="S26" i="175"/>
  <c r="Q27" i="175"/>
  <c r="R27" i="175" s="1"/>
  <c r="S27" i="175"/>
  <c r="V27" i="175" s="1"/>
  <c r="Q32" i="175"/>
  <c r="R32" i="175" s="1"/>
  <c r="S32" i="175"/>
  <c r="Q33" i="175"/>
  <c r="R33" i="175" s="1"/>
  <c r="S33" i="175"/>
  <c r="V33" i="175" s="1"/>
  <c r="Q35" i="175"/>
  <c r="R35" i="175" s="1"/>
  <c r="S35" i="175"/>
  <c r="Q36" i="175"/>
  <c r="R36" i="175" s="1"/>
  <c r="S36" i="175"/>
  <c r="V36" i="175" s="1"/>
  <c r="Q38" i="175"/>
  <c r="R38" i="175" s="1"/>
  <c r="S38" i="175"/>
  <c r="Q39" i="175"/>
  <c r="R39" i="175" s="1"/>
  <c r="S39" i="175"/>
  <c r="V39" i="175" s="1"/>
  <c r="Q41" i="175"/>
  <c r="R41" i="175" s="1"/>
  <c r="S41" i="175"/>
  <c r="Q42" i="175"/>
  <c r="R42" i="175" s="1"/>
  <c r="S42" i="175"/>
  <c r="V42" i="175" s="1"/>
  <c r="Q44" i="175"/>
  <c r="R44" i="175" s="1"/>
  <c r="S44" i="175"/>
  <c r="Q49" i="175"/>
  <c r="S49" i="175"/>
  <c r="Q50" i="175"/>
  <c r="R50" i="175" s="1"/>
  <c r="S50" i="175"/>
  <c r="V50" i="175" s="1"/>
  <c r="Q52" i="175"/>
  <c r="R52" i="175" s="1"/>
  <c r="S52" i="175"/>
  <c r="Q53" i="175"/>
  <c r="R53" i="175" s="1"/>
  <c r="S53" i="175"/>
  <c r="V53" i="175" s="1"/>
  <c r="R46" i="174"/>
  <c r="S46" i="174"/>
  <c r="V46" i="174" s="1"/>
  <c r="R48" i="174"/>
  <c r="S48" i="174"/>
  <c r="R45" i="174"/>
  <c r="S45" i="174"/>
  <c r="R49" i="174"/>
  <c r="S49" i="174"/>
  <c r="V49" i="174" s="1"/>
  <c r="R36" i="174"/>
  <c r="S36" i="174"/>
  <c r="V36" i="174" s="1"/>
  <c r="R12" i="174"/>
  <c r="S12" i="174"/>
  <c r="R16" i="174"/>
  <c r="S16" i="174"/>
  <c r="V16" i="174" s="1"/>
  <c r="R13" i="174"/>
  <c r="S13" i="174"/>
  <c r="V13" i="174" s="1"/>
  <c r="R15" i="174"/>
  <c r="S15" i="174"/>
  <c r="S7" i="174"/>
  <c r="V14" i="174"/>
  <c r="S17" i="174"/>
  <c r="V17" i="174" s="1"/>
  <c r="Q17" i="174"/>
  <c r="R17" i="174" s="1"/>
  <c r="S27" i="174"/>
  <c r="V27" i="174" s="1"/>
  <c r="Q27" i="174"/>
  <c r="R27" i="174" s="1"/>
  <c r="S28" i="174"/>
  <c r="Q28" i="174"/>
  <c r="R28" i="174" s="1"/>
  <c r="S32" i="174"/>
  <c r="V32" i="174" s="1"/>
  <c r="Q32" i="174"/>
  <c r="R32" i="174" s="1"/>
  <c r="S50" i="174"/>
  <c r="V50" i="174" s="1"/>
  <c r="Q50" i="174"/>
  <c r="P44" i="174"/>
  <c r="R50" i="174"/>
  <c r="S53" i="174"/>
  <c r="V53" i="174" s="1"/>
  <c r="Q53" i="174"/>
  <c r="R53" i="174" s="1"/>
  <c r="Q8" i="174"/>
  <c r="Q7" i="174" s="1"/>
  <c r="Q10" i="174"/>
  <c r="R10" i="174" s="1"/>
  <c r="P11" i="174"/>
  <c r="Q14" i="174"/>
  <c r="Q11" i="174" s="1"/>
  <c r="S21" i="174"/>
  <c r="V21" i="174" s="1"/>
  <c r="Q21" i="174"/>
  <c r="R21" i="174" s="1"/>
  <c r="P18" i="174"/>
  <c r="S24" i="174"/>
  <c r="V24" i="174" s="1"/>
  <c r="Q24" i="174"/>
  <c r="R24" i="174" s="1"/>
  <c r="S25" i="174"/>
  <c r="Q25" i="174"/>
  <c r="R25" i="174" s="1"/>
  <c r="S30" i="174"/>
  <c r="V30" i="174" s="1"/>
  <c r="Q30" i="174"/>
  <c r="R30" i="174" s="1"/>
  <c r="S33" i="174"/>
  <c r="V33" i="174" s="1"/>
  <c r="Q33" i="174"/>
  <c r="R33" i="174" s="1"/>
  <c r="S39" i="174"/>
  <c r="V39" i="174" s="1"/>
  <c r="Q39" i="174"/>
  <c r="R39" i="174" s="1"/>
  <c r="Q19" i="174"/>
  <c r="S19" i="174"/>
  <c r="Q22" i="174"/>
  <c r="R22" i="174" s="1"/>
  <c r="S22" i="174"/>
  <c r="Q26" i="174"/>
  <c r="R26" i="174" s="1"/>
  <c r="S26" i="174"/>
  <c r="V26" i="174" s="1"/>
  <c r="Q29" i="174"/>
  <c r="R29" i="174" s="1"/>
  <c r="S29" i="174"/>
  <c r="V29" i="174" s="1"/>
  <c r="Q31" i="174"/>
  <c r="R31" i="174" s="1"/>
  <c r="S31" i="174"/>
  <c r="Q34" i="174"/>
  <c r="R34" i="174" s="1"/>
  <c r="S34" i="174"/>
  <c r="Q35" i="174"/>
  <c r="R35" i="174" s="1"/>
  <c r="S35" i="174"/>
  <c r="V35" i="174" s="1"/>
  <c r="Q37" i="174"/>
  <c r="R37" i="174" s="1"/>
  <c r="S37" i="174"/>
  <c r="Q38" i="174"/>
  <c r="R38" i="174" s="1"/>
  <c r="S38" i="174"/>
  <c r="V38" i="174" s="1"/>
  <c r="Q40" i="174"/>
  <c r="R40" i="174" s="1"/>
  <c r="S40" i="174"/>
  <c r="Q41" i="174"/>
  <c r="R41" i="174" s="1"/>
  <c r="S41" i="174"/>
  <c r="V41" i="174" s="1"/>
  <c r="Q42" i="174"/>
  <c r="R42" i="174" s="1"/>
  <c r="S42" i="174"/>
  <c r="V42" i="174" s="1"/>
  <c r="Q43" i="174"/>
  <c r="R43" i="174" s="1"/>
  <c r="S43" i="174"/>
  <c r="Q47" i="174"/>
  <c r="S47" i="174"/>
  <c r="V47" i="174" s="1"/>
  <c r="Q51" i="174"/>
  <c r="R51" i="174" s="1"/>
  <c r="S51" i="174"/>
  <c r="Q52" i="174"/>
  <c r="R52" i="174" s="1"/>
  <c r="S52" i="174"/>
  <c r="V52" i="174" s="1"/>
  <c r="R19" i="174"/>
  <c r="Q20" i="174"/>
  <c r="R20" i="174" s="1"/>
  <c r="S20" i="174"/>
  <c r="V20" i="174" s="1"/>
  <c r="Q23" i="174"/>
  <c r="R23" i="174" s="1"/>
  <c r="S23" i="174"/>
  <c r="V23" i="174" s="1"/>
  <c r="H33" i="150"/>
  <c r="V21" i="176" l="1"/>
  <c r="W22" i="175"/>
  <c r="P5" i="174"/>
  <c r="P5" i="176"/>
  <c r="R7" i="176"/>
  <c r="V7" i="174"/>
  <c r="V44" i="176"/>
  <c r="Q44" i="176"/>
  <c r="Q18" i="176"/>
  <c r="S11" i="176"/>
  <c r="R19" i="176"/>
  <c r="R18" i="176" s="1"/>
  <c r="V10" i="176"/>
  <c r="V7" i="176" s="1"/>
  <c r="S7" i="176"/>
  <c r="S6" i="176" s="1"/>
  <c r="R47" i="176"/>
  <c r="R44" i="176" s="1"/>
  <c r="V18" i="176"/>
  <c r="S18" i="176"/>
  <c r="Q11" i="176"/>
  <c r="Q7" i="176"/>
  <c r="S44" i="176"/>
  <c r="R12" i="176"/>
  <c r="R11" i="176" s="1"/>
  <c r="R6" i="176" s="1"/>
  <c r="V45" i="175"/>
  <c r="Q45" i="175"/>
  <c r="S19" i="175"/>
  <c r="V19" i="175"/>
  <c r="Q19" i="175"/>
  <c r="R12" i="175"/>
  <c r="V8" i="175"/>
  <c r="R19" i="175"/>
  <c r="Q8" i="175"/>
  <c r="S45" i="175"/>
  <c r="Q12" i="175"/>
  <c r="R9" i="175"/>
  <c r="R8" i="175" s="1"/>
  <c r="R49" i="175"/>
  <c r="R45" i="175" s="1"/>
  <c r="S12" i="175"/>
  <c r="S7" i="175" s="1"/>
  <c r="Q44" i="174"/>
  <c r="V44" i="174"/>
  <c r="Q6" i="174"/>
  <c r="V18" i="174"/>
  <c r="R18" i="174"/>
  <c r="Q18" i="174"/>
  <c r="R47" i="174"/>
  <c r="R44" i="174" s="1"/>
  <c r="R14" i="174"/>
  <c r="R11" i="174" s="1"/>
  <c r="R8" i="174"/>
  <c r="R7" i="174" s="1"/>
  <c r="S18" i="174"/>
  <c r="S44" i="174"/>
  <c r="S11" i="174"/>
  <c r="S6" i="174" s="1"/>
  <c r="R5" i="176" l="1"/>
  <c r="Q6" i="176"/>
  <c r="V6" i="175"/>
  <c r="V5" i="174"/>
  <c r="S6" i="175"/>
  <c r="R7" i="175"/>
  <c r="Q5" i="174"/>
  <c r="Q5" i="176"/>
  <c r="S5" i="176"/>
  <c r="V5" i="176"/>
  <c r="Q7" i="175"/>
  <c r="Q6" i="175" s="1"/>
  <c r="R6" i="175"/>
  <c r="S5" i="174"/>
  <c r="R6" i="174"/>
  <c r="R5" i="174" s="1"/>
  <c r="W5" i="169"/>
  <c r="U5" i="167" l="1"/>
  <c r="N21" i="171" l="1"/>
  <c r="N22" i="168"/>
  <c r="J28" i="150"/>
  <c r="I28" i="150"/>
  <c r="W19" i="167"/>
  <c r="X19" i="167"/>
  <c r="Y19" i="167"/>
  <c r="Z19" i="167"/>
  <c r="AA19" i="167"/>
  <c r="AB19" i="167"/>
  <c r="AC19" i="167"/>
  <c r="AD19" i="167"/>
  <c r="AE19" i="167"/>
  <c r="W20" i="167"/>
  <c r="X20" i="167"/>
  <c r="Y20" i="167"/>
  <c r="Z20" i="167"/>
  <c r="AA20" i="167"/>
  <c r="AB20" i="167"/>
  <c r="AC20" i="167"/>
  <c r="AD20" i="167"/>
  <c r="AE20" i="167"/>
  <c r="Y21" i="167"/>
  <c r="Z21" i="167"/>
  <c r="AA21" i="167"/>
  <c r="AB21" i="167"/>
  <c r="AC21" i="167"/>
  <c r="W22" i="167"/>
  <c r="X22" i="167"/>
  <c r="Y22" i="167"/>
  <c r="Z22" i="167"/>
  <c r="AA22" i="167"/>
  <c r="AB22" i="167"/>
  <c r="AC22" i="167"/>
  <c r="AD22" i="167"/>
  <c r="AE22" i="167"/>
  <c r="W23" i="167"/>
  <c r="X23" i="167"/>
  <c r="Y23" i="167"/>
  <c r="Z23" i="167"/>
  <c r="AA23" i="167"/>
  <c r="AB23" i="167"/>
  <c r="AC23" i="167"/>
  <c r="AD23" i="167"/>
  <c r="AE23" i="167"/>
  <c r="X24" i="167"/>
  <c r="Y24" i="167"/>
  <c r="Z24" i="167"/>
  <c r="AA24" i="167"/>
  <c r="AB24" i="167"/>
  <c r="AC24" i="167"/>
  <c r="AD24" i="167"/>
  <c r="V20" i="167"/>
  <c r="V22" i="167"/>
  <c r="V23" i="167"/>
  <c r="V19" i="167"/>
  <c r="M21" i="171" l="1"/>
  <c r="M22" i="168"/>
  <c r="M48" i="168"/>
  <c r="M27" i="167"/>
  <c r="M21" i="167"/>
  <c r="AD21" i="167" s="1"/>
  <c r="G39" i="171"/>
  <c r="G27" i="171"/>
  <c r="G24" i="171"/>
  <c r="G21" i="171"/>
  <c r="G40" i="168"/>
  <c r="G28" i="168"/>
  <c r="G25" i="168"/>
  <c r="G22" i="168"/>
  <c r="G54" i="168"/>
  <c r="G51" i="168"/>
  <c r="G48" i="168"/>
  <c r="G27" i="167"/>
  <c r="G21" i="167"/>
  <c r="X21" i="167" s="1"/>
  <c r="E24" i="171"/>
  <c r="E21" i="171"/>
  <c r="E25" i="168"/>
  <c r="E22" i="168"/>
  <c r="E51" i="168"/>
  <c r="E48" i="168"/>
  <c r="E39" i="167"/>
  <c r="E27" i="167"/>
  <c r="E24" i="167"/>
  <c r="V24" i="167" s="1"/>
  <c r="E21" i="167"/>
  <c r="V21" i="167" s="1"/>
  <c r="E53" i="167"/>
  <c r="F27" i="171" l="1"/>
  <c r="F24" i="171"/>
  <c r="F21" i="171"/>
  <c r="F53" i="171"/>
  <c r="F50" i="171"/>
  <c r="F28" i="168"/>
  <c r="F25" i="168"/>
  <c r="F22" i="168"/>
  <c r="F54" i="168"/>
  <c r="F51" i="168"/>
  <c r="F48" i="168"/>
  <c r="F39" i="167"/>
  <c r="F33" i="167"/>
  <c r="F27" i="167"/>
  <c r="F24" i="167"/>
  <c r="W24" i="167" s="1"/>
  <c r="F21" i="167"/>
  <c r="W21" i="167" s="1"/>
  <c r="F53" i="167"/>
  <c r="F50" i="167"/>
  <c r="F30" i="150" l="1"/>
  <c r="J10" i="170" l="1"/>
  <c r="J9" i="170"/>
  <c r="J8" i="170"/>
  <c r="J11" i="168"/>
  <c r="J10" i="168"/>
  <c r="J9" i="168"/>
  <c r="N39" i="170" l="1"/>
  <c r="N30" i="170"/>
  <c r="N27" i="170"/>
  <c r="N24" i="170"/>
  <c r="N53" i="170"/>
  <c r="N50" i="170"/>
  <c r="N47" i="170"/>
  <c r="N39" i="171"/>
  <c r="N30" i="171"/>
  <c r="N27" i="171"/>
  <c r="N24" i="171"/>
  <c r="O53" i="171"/>
  <c r="O52" i="171"/>
  <c r="O51" i="171"/>
  <c r="O50" i="171"/>
  <c r="O49" i="171"/>
  <c r="P49" i="171" s="1"/>
  <c r="O48" i="171"/>
  <c r="O47" i="171"/>
  <c r="O46" i="171"/>
  <c r="P45" i="171"/>
  <c r="O45" i="171"/>
  <c r="N44" i="171"/>
  <c r="M44" i="171"/>
  <c r="K44" i="171"/>
  <c r="J44" i="171"/>
  <c r="I44" i="171"/>
  <c r="H44" i="171"/>
  <c r="G44" i="171"/>
  <c r="F44" i="171"/>
  <c r="E44" i="171"/>
  <c r="O43" i="171"/>
  <c r="P43" i="171" s="1"/>
  <c r="O42" i="171"/>
  <c r="O41" i="171"/>
  <c r="P41" i="171" s="1"/>
  <c r="P40" i="171"/>
  <c r="O40" i="171"/>
  <c r="O39" i="171"/>
  <c r="P38" i="171"/>
  <c r="O38" i="171"/>
  <c r="O37" i="171"/>
  <c r="P37" i="171" s="1"/>
  <c r="O36" i="171"/>
  <c r="O35" i="171"/>
  <c r="P35" i="171" s="1"/>
  <c r="P34" i="171"/>
  <c r="O34" i="171"/>
  <c r="O33" i="171"/>
  <c r="O32" i="171"/>
  <c r="O31" i="171"/>
  <c r="O30" i="171"/>
  <c r="O29" i="171"/>
  <c r="P29" i="171" s="1"/>
  <c r="O28" i="171"/>
  <c r="O27" i="171"/>
  <c r="O26" i="171"/>
  <c r="O25" i="171"/>
  <c r="P25" i="171" s="1"/>
  <c r="O24" i="171"/>
  <c r="O23" i="171"/>
  <c r="O22" i="171"/>
  <c r="O21" i="171"/>
  <c r="O20" i="171"/>
  <c r="O19" i="171"/>
  <c r="P19" i="171" s="1"/>
  <c r="N18" i="171"/>
  <c r="N5" i="171" s="1"/>
  <c r="M18" i="171"/>
  <c r="M5" i="171" s="1"/>
  <c r="K18" i="171"/>
  <c r="J18" i="171"/>
  <c r="I18" i="171"/>
  <c r="H18" i="171"/>
  <c r="G18" i="171"/>
  <c r="F18" i="171"/>
  <c r="F5" i="171" s="1"/>
  <c r="E18" i="171"/>
  <c r="E5" i="171" s="1"/>
  <c r="O17" i="171"/>
  <c r="R16" i="171"/>
  <c r="U16" i="171" s="1"/>
  <c r="P16" i="171"/>
  <c r="O16" i="171"/>
  <c r="Q16" i="171" s="1"/>
  <c r="R15" i="171"/>
  <c r="P15" i="171"/>
  <c r="O15" i="171"/>
  <c r="Q15" i="171" s="1"/>
  <c r="O14" i="171"/>
  <c r="R13" i="171"/>
  <c r="U13" i="171" s="1"/>
  <c r="P13" i="171"/>
  <c r="O13" i="171"/>
  <c r="Q13" i="171" s="1"/>
  <c r="R12" i="171"/>
  <c r="P12" i="171"/>
  <c r="O12" i="171"/>
  <c r="Q12" i="171" s="1"/>
  <c r="O11" i="171"/>
  <c r="N11" i="171"/>
  <c r="M11" i="171"/>
  <c r="K11" i="171"/>
  <c r="J11" i="171"/>
  <c r="I11" i="171"/>
  <c r="H11" i="171"/>
  <c r="G11" i="171"/>
  <c r="F11" i="171"/>
  <c r="E11" i="171"/>
  <c r="R10" i="171"/>
  <c r="U10" i="171" s="1"/>
  <c r="P10" i="171"/>
  <c r="O10" i="171"/>
  <c r="Q10" i="171" s="1"/>
  <c r="O9" i="171"/>
  <c r="D9" i="171"/>
  <c r="P8" i="171"/>
  <c r="O8" i="171"/>
  <c r="R8" i="171" s="1"/>
  <c r="O7" i="171"/>
  <c r="N7" i="171"/>
  <c r="M7" i="171"/>
  <c r="K7" i="171"/>
  <c r="J7" i="171"/>
  <c r="I7" i="171"/>
  <c r="H7" i="171"/>
  <c r="G7" i="171"/>
  <c r="F7" i="171"/>
  <c r="E7" i="171"/>
  <c r="O6" i="171"/>
  <c r="N6" i="171"/>
  <c r="M6" i="171"/>
  <c r="K6" i="171"/>
  <c r="J6" i="171"/>
  <c r="I6" i="171"/>
  <c r="H6" i="171"/>
  <c r="G6" i="171"/>
  <c r="F6" i="171"/>
  <c r="E6" i="171"/>
  <c r="K5" i="171"/>
  <c r="J5" i="171"/>
  <c r="I5" i="171"/>
  <c r="N40" i="168"/>
  <c r="N31" i="168"/>
  <c r="N28" i="168"/>
  <c r="N25" i="168"/>
  <c r="N54" i="168"/>
  <c r="N51" i="168"/>
  <c r="N48" i="168"/>
  <c r="N42" i="167"/>
  <c r="N39" i="167"/>
  <c r="N33" i="167"/>
  <c r="N30" i="167"/>
  <c r="N27" i="167"/>
  <c r="N21" i="167"/>
  <c r="AE21" i="167" s="1"/>
  <c r="N24" i="167"/>
  <c r="AE24" i="167" s="1"/>
  <c r="N53" i="167"/>
  <c r="G5" i="171" l="1"/>
  <c r="H5" i="171"/>
  <c r="R46" i="171"/>
  <c r="U46" i="171" s="1"/>
  <c r="R48" i="171"/>
  <c r="Q45" i="171"/>
  <c r="R45" i="171"/>
  <c r="P46" i="171"/>
  <c r="Q46" i="171" s="1"/>
  <c r="P48" i="171"/>
  <c r="Q48" i="171" s="1"/>
  <c r="Q49" i="171"/>
  <c r="R49" i="171"/>
  <c r="U49" i="171" s="1"/>
  <c r="R20" i="171"/>
  <c r="U20" i="171" s="1"/>
  <c r="R26" i="171"/>
  <c r="U26" i="171" s="1"/>
  <c r="R28" i="171"/>
  <c r="Q34" i="171"/>
  <c r="R34" i="171"/>
  <c r="Q38" i="171"/>
  <c r="R38" i="171"/>
  <c r="U38" i="171" s="1"/>
  <c r="Q40" i="171"/>
  <c r="R40" i="171"/>
  <c r="Q19" i="171"/>
  <c r="R19" i="171"/>
  <c r="P20" i="171"/>
  <c r="Q20" i="171" s="1"/>
  <c r="Q25" i="171"/>
  <c r="R25" i="171"/>
  <c r="P26" i="171"/>
  <c r="Q26" i="171" s="1"/>
  <c r="P28" i="171"/>
  <c r="Q28" i="171" s="1"/>
  <c r="Q29" i="171"/>
  <c r="R29" i="171"/>
  <c r="U29" i="171" s="1"/>
  <c r="Q35" i="171"/>
  <c r="R35" i="171"/>
  <c r="U35" i="171" s="1"/>
  <c r="Q37" i="171"/>
  <c r="R37" i="171"/>
  <c r="Q41" i="171"/>
  <c r="R41" i="171"/>
  <c r="U41" i="171" s="1"/>
  <c r="Q43" i="171"/>
  <c r="R43" i="171"/>
  <c r="R50" i="171"/>
  <c r="U50" i="171" s="1"/>
  <c r="P50" i="171"/>
  <c r="O44" i="171"/>
  <c r="Q50" i="171"/>
  <c r="R53" i="171"/>
  <c r="U53" i="171" s="1"/>
  <c r="P53" i="171"/>
  <c r="Q53" i="171" s="1"/>
  <c r="R21" i="171"/>
  <c r="U21" i="171" s="1"/>
  <c r="P21" i="171"/>
  <c r="O18" i="171"/>
  <c r="Q21" i="171"/>
  <c r="R24" i="171"/>
  <c r="U24" i="171" s="1"/>
  <c r="P24" i="171"/>
  <c r="Q24" i="171" s="1"/>
  <c r="R27" i="171"/>
  <c r="U27" i="171" s="1"/>
  <c r="P27" i="171"/>
  <c r="Q27" i="171" s="1"/>
  <c r="R30" i="171"/>
  <c r="U30" i="171" s="1"/>
  <c r="P30" i="171"/>
  <c r="Q30" i="171" s="1"/>
  <c r="Q8" i="171"/>
  <c r="P9" i="171"/>
  <c r="P7" i="171" s="1"/>
  <c r="R9" i="171"/>
  <c r="U9" i="171" s="1"/>
  <c r="P14" i="171"/>
  <c r="R14" i="171"/>
  <c r="P17" i="171"/>
  <c r="Q17" i="171" s="1"/>
  <c r="R17" i="171"/>
  <c r="U17" i="171" s="1"/>
  <c r="P22" i="171"/>
  <c r="Q22" i="171" s="1"/>
  <c r="R22" i="171"/>
  <c r="P23" i="171"/>
  <c r="Q23" i="171" s="1"/>
  <c r="R23" i="171"/>
  <c r="U23" i="171" s="1"/>
  <c r="P31" i="171"/>
  <c r="Q31" i="171" s="1"/>
  <c r="R31" i="171"/>
  <c r="P32" i="171"/>
  <c r="Q32" i="171" s="1"/>
  <c r="R32" i="171"/>
  <c r="U32" i="171" s="1"/>
  <c r="P33" i="171"/>
  <c r="Q33" i="171" s="1"/>
  <c r="R33" i="171"/>
  <c r="U33" i="171" s="1"/>
  <c r="P36" i="171"/>
  <c r="Q36" i="171" s="1"/>
  <c r="R36" i="171"/>
  <c r="U36" i="171" s="1"/>
  <c r="P39" i="171"/>
  <c r="Q39" i="171" s="1"/>
  <c r="R39" i="171"/>
  <c r="U39" i="171" s="1"/>
  <c r="P42" i="171"/>
  <c r="Q42" i="171" s="1"/>
  <c r="R42" i="171"/>
  <c r="U42" i="171" s="1"/>
  <c r="P47" i="171"/>
  <c r="Q47" i="171" s="1"/>
  <c r="R47" i="171"/>
  <c r="U47" i="171" s="1"/>
  <c r="P51" i="171"/>
  <c r="Q51" i="171" s="1"/>
  <c r="R51" i="171"/>
  <c r="P52" i="171"/>
  <c r="Q52" i="171" s="1"/>
  <c r="R52" i="171"/>
  <c r="U52" i="171" s="1"/>
  <c r="F9" i="150"/>
  <c r="F18" i="150"/>
  <c r="O5" i="171" l="1"/>
  <c r="U44" i="171"/>
  <c r="U18" i="171"/>
  <c r="P18" i="171"/>
  <c r="Q18" i="171"/>
  <c r="Q44" i="171"/>
  <c r="P11" i="171"/>
  <c r="P6" i="171"/>
  <c r="R44" i="171"/>
  <c r="R7" i="171"/>
  <c r="R6" i="171" s="1"/>
  <c r="P44" i="171"/>
  <c r="U14" i="171"/>
  <c r="R11" i="171"/>
  <c r="U7" i="171"/>
  <c r="R18" i="171"/>
  <c r="Q14" i="171"/>
  <c r="Q11" i="171" s="1"/>
  <c r="Q9" i="171"/>
  <c r="Q7" i="171" s="1"/>
  <c r="Q6" i="171" s="1"/>
  <c r="Q5" i="171" l="1"/>
  <c r="U5" i="171"/>
  <c r="R5" i="171"/>
  <c r="P5" i="171"/>
  <c r="H43" i="167" l="1"/>
  <c r="H30" i="167"/>
  <c r="H29" i="167"/>
  <c r="H28" i="167"/>
  <c r="H27" i="167"/>
  <c r="H26" i="167"/>
  <c r="H25" i="167"/>
  <c r="H33" i="167"/>
  <c r="H32" i="167"/>
  <c r="H39" i="167"/>
  <c r="O55" i="170" l="1"/>
  <c r="P55" i="170" s="1"/>
  <c r="O54" i="170"/>
  <c r="O53" i="170"/>
  <c r="O52" i="170"/>
  <c r="P52" i="170" s="1"/>
  <c r="O51" i="170"/>
  <c r="P51" i="170" s="1"/>
  <c r="O50" i="170"/>
  <c r="O49" i="170"/>
  <c r="P49" i="170" s="1"/>
  <c r="O48" i="170"/>
  <c r="P48" i="170" s="1"/>
  <c r="O47" i="170"/>
  <c r="O46" i="170"/>
  <c r="P46" i="170" s="1"/>
  <c r="O45" i="170"/>
  <c r="P45" i="170" s="1"/>
  <c r="N44" i="170"/>
  <c r="M44" i="170"/>
  <c r="L44" i="170"/>
  <c r="K44" i="170"/>
  <c r="J44" i="170"/>
  <c r="I44" i="170"/>
  <c r="H44" i="170"/>
  <c r="G44" i="170"/>
  <c r="F44" i="170"/>
  <c r="E44" i="170"/>
  <c r="O43" i="170"/>
  <c r="O42" i="170"/>
  <c r="R42" i="170" s="1"/>
  <c r="U42" i="170" s="1"/>
  <c r="O41" i="170"/>
  <c r="O40" i="170"/>
  <c r="O39" i="170"/>
  <c r="P39" i="170" s="1"/>
  <c r="O38" i="170"/>
  <c r="O37" i="170"/>
  <c r="O36" i="170"/>
  <c r="R36" i="170" s="1"/>
  <c r="U36" i="170" s="1"/>
  <c r="O35" i="170"/>
  <c r="O34" i="170"/>
  <c r="O33" i="170"/>
  <c r="P33" i="170" s="1"/>
  <c r="O32" i="170"/>
  <c r="O31" i="170"/>
  <c r="O30" i="170"/>
  <c r="R30" i="170" s="1"/>
  <c r="U30" i="170" s="1"/>
  <c r="O29" i="170"/>
  <c r="O28" i="170"/>
  <c r="O27" i="170"/>
  <c r="P27" i="170" s="1"/>
  <c r="O26" i="170"/>
  <c r="O25" i="170"/>
  <c r="O23" i="170"/>
  <c r="P23" i="170" s="1"/>
  <c r="O22" i="170"/>
  <c r="P22" i="170" s="1"/>
  <c r="O21" i="170"/>
  <c r="O20" i="170"/>
  <c r="P20" i="170" s="1"/>
  <c r="O19" i="170"/>
  <c r="P19" i="170" s="1"/>
  <c r="M18" i="170"/>
  <c r="L18" i="170"/>
  <c r="K18" i="170"/>
  <c r="J18" i="170"/>
  <c r="I18" i="170"/>
  <c r="H18" i="170"/>
  <c r="G18" i="170"/>
  <c r="F18" i="170"/>
  <c r="E18" i="170"/>
  <c r="O17" i="170"/>
  <c r="P17" i="170" s="1"/>
  <c r="O16" i="170"/>
  <c r="O15" i="170"/>
  <c r="O14" i="170"/>
  <c r="O13" i="170"/>
  <c r="O12" i="170"/>
  <c r="M11" i="170"/>
  <c r="M6" i="170" s="1"/>
  <c r="L11" i="170"/>
  <c r="K11" i="170"/>
  <c r="J11" i="170"/>
  <c r="I11" i="170"/>
  <c r="H11" i="170"/>
  <c r="G11" i="170"/>
  <c r="G6" i="170" s="1"/>
  <c r="F11" i="170"/>
  <c r="E11" i="170"/>
  <c r="E6" i="170" s="1"/>
  <c r="E5" i="170" s="1"/>
  <c r="O10" i="170"/>
  <c r="O9" i="170"/>
  <c r="D9" i="170"/>
  <c r="O8" i="170"/>
  <c r="N7" i="170"/>
  <c r="M7" i="170"/>
  <c r="L7" i="170"/>
  <c r="K7" i="170"/>
  <c r="J7" i="170"/>
  <c r="I7" i="170"/>
  <c r="H7" i="170"/>
  <c r="G7" i="170"/>
  <c r="F7" i="170"/>
  <c r="E7" i="170"/>
  <c r="L6" i="170"/>
  <c r="L5" i="170" s="1"/>
  <c r="K6" i="170"/>
  <c r="J6" i="170"/>
  <c r="J5" i="170" s="1"/>
  <c r="I6" i="170"/>
  <c r="H6" i="170"/>
  <c r="H5" i="170" s="1"/>
  <c r="F6" i="170"/>
  <c r="F5" i="170" s="1"/>
  <c r="K5" i="170"/>
  <c r="I5" i="170"/>
  <c r="F45" i="169"/>
  <c r="G45" i="169"/>
  <c r="H45" i="169"/>
  <c r="I45" i="169"/>
  <c r="J45" i="169"/>
  <c r="K45" i="169"/>
  <c r="L45" i="169"/>
  <c r="M45" i="169"/>
  <c r="N45" i="169"/>
  <c r="F46" i="169"/>
  <c r="G46" i="169"/>
  <c r="H46" i="169"/>
  <c r="I46" i="169"/>
  <c r="J46" i="169"/>
  <c r="K46" i="169"/>
  <c r="L46" i="169"/>
  <c r="M46" i="169"/>
  <c r="N46" i="169"/>
  <c r="F47" i="169"/>
  <c r="G47" i="169"/>
  <c r="H47" i="169"/>
  <c r="I47" i="169"/>
  <c r="J47" i="169"/>
  <c r="K47" i="169"/>
  <c r="L47" i="169"/>
  <c r="M47" i="169"/>
  <c r="N47" i="169"/>
  <c r="F48" i="169"/>
  <c r="G48" i="169"/>
  <c r="H48" i="169"/>
  <c r="I48" i="169"/>
  <c r="J48" i="169"/>
  <c r="K48" i="169"/>
  <c r="L48" i="169"/>
  <c r="M48" i="169"/>
  <c r="N48" i="169"/>
  <c r="F49" i="169"/>
  <c r="G49" i="169"/>
  <c r="H49" i="169"/>
  <c r="I49" i="169"/>
  <c r="J49" i="169"/>
  <c r="K49" i="169"/>
  <c r="L49" i="169"/>
  <c r="M49" i="169"/>
  <c r="N49" i="169"/>
  <c r="F50" i="169"/>
  <c r="G50" i="169"/>
  <c r="H50" i="169"/>
  <c r="I50" i="169"/>
  <c r="J50" i="169"/>
  <c r="K50" i="169"/>
  <c r="L50" i="169"/>
  <c r="M50" i="169"/>
  <c r="N50" i="169"/>
  <c r="F51" i="169"/>
  <c r="G51" i="169"/>
  <c r="H51" i="169"/>
  <c r="I51" i="169"/>
  <c r="J51" i="169"/>
  <c r="K51" i="169"/>
  <c r="L51" i="169"/>
  <c r="M51" i="169"/>
  <c r="N51" i="169"/>
  <c r="F52" i="169"/>
  <c r="G52" i="169"/>
  <c r="H52" i="169"/>
  <c r="I52" i="169"/>
  <c r="J52" i="169"/>
  <c r="K52" i="169"/>
  <c r="L52" i="169"/>
  <c r="M52" i="169"/>
  <c r="N52" i="169"/>
  <c r="F53" i="169"/>
  <c r="G53" i="169"/>
  <c r="H53" i="169"/>
  <c r="I53" i="169"/>
  <c r="J53" i="169"/>
  <c r="K53" i="169"/>
  <c r="L53" i="169"/>
  <c r="M53" i="169"/>
  <c r="N53" i="169"/>
  <c r="E46" i="169"/>
  <c r="E47" i="169"/>
  <c r="E48" i="169"/>
  <c r="E49" i="169"/>
  <c r="E50" i="169"/>
  <c r="E51" i="169"/>
  <c r="E52" i="169"/>
  <c r="E53" i="169"/>
  <c r="E45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31" i="169"/>
  <c r="N32" i="169"/>
  <c r="N33" i="169"/>
  <c r="N34" i="169"/>
  <c r="N35" i="169"/>
  <c r="N36" i="169"/>
  <c r="N37" i="169"/>
  <c r="N38" i="169"/>
  <c r="N39" i="169"/>
  <c r="N40" i="169"/>
  <c r="N41" i="169"/>
  <c r="N42" i="169"/>
  <c r="N43" i="169"/>
  <c r="F19" i="169"/>
  <c r="G19" i="169"/>
  <c r="H19" i="169"/>
  <c r="I19" i="169"/>
  <c r="J19" i="169"/>
  <c r="K19" i="169"/>
  <c r="L19" i="169"/>
  <c r="M19" i="169"/>
  <c r="F20" i="169"/>
  <c r="G20" i="169"/>
  <c r="H20" i="169"/>
  <c r="I20" i="169"/>
  <c r="J20" i="169"/>
  <c r="K20" i="169"/>
  <c r="L20" i="169"/>
  <c r="M20" i="169"/>
  <c r="F21" i="169"/>
  <c r="G21" i="169"/>
  <c r="H21" i="169"/>
  <c r="I21" i="169"/>
  <c r="J21" i="169"/>
  <c r="K21" i="169"/>
  <c r="L21" i="169"/>
  <c r="M21" i="169"/>
  <c r="F22" i="169"/>
  <c r="G22" i="169"/>
  <c r="H22" i="169"/>
  <c r="I22" i="169"/>
  <c r="J22" i="169"/>
  <c r="K22" i="169"/>
  <c r="L22" i="169"/>
  <c r="M22" i="169"/>
  <c r="F23" i="169"/>
  <c r="G23" i="169"/>
  <c r="H23" i="169"/>
  <c r="I23" i="169"/>
  <c r="J23" i="169"/>
  <c r="K23" i="169"/>
  <c r="L23" i="169"/>
  <c r="M23" i="169"/>
  <c r="F24" i="169"/>
  <c r="G24" i="169"/>
  <c r="H24" i="169"/>
  <c r="I24" i="169"/>
  <c r="J24" i="169"/>
  <c r="K24" i="169"/>
  <c r="L24" i="169"/>
  <c r="M24" i="169"/>
  <c r="F25" i="169"/>
  <c r="G25" i="169"/>
  <c r="H25" i="169"/>
  <c r="I25" i="169"/>
  <c r="J25" i="169"/>
  <c r="K25" i="169"/>
  <c r="L25" i="169"/>
  <c r="M25" i="169"/>
  <c r="F26" i="169"/>
  <c r="G26" i="169"/>
  <c r="H26" i="169"/>
  <c r="I26" i="169"/>
  <c r="J26" i="169"/>
  <c r="K26" i="169"/>
  <c r="L26" i="169"/>
  <c r="M26" i="169"/>
  <c r="F27" i="169"/>
  <c r="G27" i="169"/>
  <c r="H27" i="169"/>
  <c r="I27" i="169"/>
  <c r="J27" i="169"/>
  <c r="K27" i="169"/>
  <c r="L27" i="169"/>
  <c r="M27" i="169"/>
  <c r="F28" i="169"/>
  <c r="G28" i="169"/>
  <c r="H28" i="169"/>
  <c r="I28" i="169"/>
  <c r="J28" i="169"/>
  <c r="K28" i="169"/>
  <c r="L28" i="169"/>
  <c r="M28" i="169"/>
  <c r="F29" i="169"/>
  <c r="G29" i="169"/>
  <c r="H29" i="169"/>
  <c r="I29" i="169"/>
  <c r="J29" i="169"/>
  <c r="K29" i="169"/>
  <c r="L29" i="169"/>
  <c r="M29" i="169"/>
  <c r="F30" i="169"/>
  <c r="G30" i="169"/>
  <c r="H30" i="169"/>
  <c r="I30" i="169"/>
  <c r="J30" i="169"/>
  <c r="K30" i="169"/>
  <c r="L30" i="169"/>
  <c r="M30" i="169"/>
  <c r="F31" i="169"/>
  <c r="G31" i="169"/>
  <c r="H31" i="169"/>
  <c r="I31" i="169"/>
  <c r="J31" i="169"/>
  <c r="K31" i="169"/>
  <c r="L31" i="169"/>
  <c r="M31" i="169"/>
  <c r="F32" i="169"/>
  <c r="G32" i="169"/>
  <c r="H32" i="169"/>
  <c r="I32" i="169"/>
  <c r="J32" i="169"/>
  <c r="K32" i="169"/>
  <c r="L32" i="169"/>
  <c r="M32" i="169"/>
  <c r="F33" i="169"/>
  <c r="G33" i="169"/>
  <c r="H33" i="169"/>
  <c r="I33" i="169"/>
  <c r="J33" i="169"/>
  <c r="K33" i="169"/>
  <c r="L33" i="169"/>
  <c r="M33" i="169"/>
  <c r="F34" i="169"/>
  <c r="G34" i="169"/>
  <c r="H34" i="169"/>
  <c r="I34" i="169"/>
  <c r="J34" i="169"/>
  <c r="K34" i="169"/>
  <c r="L34" i="169"/>
  <c r="M34" i="169"/>
  <c r="F35" i="169"/>
  <c r="G35" i="169"/>
  <c r="H35" i="169"/>
  <c r="I35" i="169"/>
  <c r="J35" i="169"/>
  <c r="K35" i="169"/>
  <c r="L35" i="169"/>
  <c r="M35" i="169"/>
  <c r="F36" i="169"/>
  <c r="G36" i="169"/>
  <c r="H36" i="169"/>
  <c r="I36" i="169"/>
  <c r="J36" i="169"/>
  <c r="K36" i="169"/>
  <c r="L36" i="169"/>
  <c r="M36" i="169"/>
  <c r="F37" i="169"/>
  <c r="G37" i="169"/>
  <c r="H37" i="169"/>
  <c r="I37" i="169"/>
  <c r="J37" i="169"/>
  <c r="K37" i="169"/>
  <c r="L37" i="169"/>
  <c r="M37" i="169"/>
  <c r="F38" i="169"/>
  <c r="G38" i="169"/>
  <c r="H38" i="169"/>
  <c r="I38" i="169"/>
  <c r="J38" i="169"/>
  <c r="K38" i="169"/>
  <c r="L38" i="169"/>
  <c r="M38" i="169"/>
  <c r="F39" i="169"/>
  <c r="G39" i="169"/>
  <c r="H39" i="169"/>
  <c r="I39" i="169"/>
  <c r="J39" i="169"/>
  <c r="K39" i="169"/>
  <c r="L39" i="169"/>
  <c r="M39" i="169"/>
  <c r="F40" i="169"/>
  <c r="G40" i="169"/>
  <c r="H40" i="169"/>
  <c r="I40" i="169"/>
  <c r="J40" i="169"/>
  <c r="K40" i="169"/>
  <c r="L40" i="169"/>
  <c r="M40" i="169"/>
  <c r="F41" i="169"/>
  <c r="G41" i="169"/>
  <c r="H41" i="169"/>
  <c r="I41" i="169"/>
  <c r="J41" i="169"/>
  <c r="K41" i="169"/>
  <c r="L41" i="169"/>
  <c r="M41" i="169"/>
  <c r="F42" i="169"/>
  <c r="G42" i="169"/>
  <c r="H42" i="169"/>
  <c r="I42" i="169"/>
  <c r="J42" i="169"/>
  <c r="K42" i="169"/>
  <c r="L42" i="169"/>
  <c r="M42" i="169"/>
  <c r="F43" i="169"/>
  <c r="G43" i="169"/>
  <c r="H43" i="169"/>
  <c r="I43" i="169"/>
  <c r="J43" i="169"/>
  <c r="K43" i="169"/>
  <c r="L43" i="169"/>
  <c r="M43" i="169"/>
  <c r="E20" i="169"/>
  <c r="E21" i="169"/>
  <c r="E22" i="169"/>
  <c r="E23" i="169"/>
  <c r="E24" i="169"/>
  <c r="E25" i="169"/>
  <c r="E26" i="169"/>
  <c r="E27" i="169"/>
  <c r="E28" i="169"/>
  <c r="E29" i="169"/>
  <c r="E30" i="169"/>
  <c r="E31" i="169"/>
  <c r="E32" i="169"/>
  <c r="E33" i="169"/>
  <c r="E34" i="169"/>
  <c r="E35" i="169"/>
  <c r="E36" i="169"/>
  <c r="E37" i="169"/>
  <c r="E38" i="169"/>
  <c r="O38" i="169" s="1"/>
  <c r="E39" i="169"/>
  <c r="O39" i="169" s="1"/>
  <c r="E40" i="169"/>
  <c r="E41" i="169"/>
  <c r="E42" i="169"/>
  <c r="E43" i="169"/>
  <c r="O43" i="169" s="1"/>
  <c r="E19" i="169"/>
  <c r="F12" i="169"/>
  <c r="G12" i="169"/>
  <c r="H12" i="169"/>
  <c r="I12" i="169"/>
  <c r="J12" i="169"/>
  <c r="K12" i="169"/>
  <c r="L12" i="169"/>
  <c r="M12" i="169"/>
  <c r="N12" i="169"/>
  <c r="F13" i="169"/>
  <c r="G13" i="169"/>
  <c r="H13" i="169"/>
  <c r="I13" i="169"/>
  <c r="J13" i="169"/>
  <c r="K13" i="169"/>
  <c r="L13" i="169"/>
  <c r="M13" i="169"/>
  <c r="N13" i="169"/>
  <c r="F14" i="169"/>
  <c r="G14" i="169"/>
  <c r="H14" i="169"/>
  <c r="I14" i="169"/>
  <c r="J14" i="169"/>
  <c r="K14" i="169"/>
  <c r="L14" i="169"/>
  <c r="M14" i="169"/>
  <c r="N14" i="169"/>
  <c r="F15" i="169"/>
  <c r="G15" i="169"/>
  <c r="H15" i="169"/>
  <c r="I15" i="169"/>
  <c r="J15" i="169"/>
  <c r="K15" i="169"/>
  <c r="L15" i="169"/>
  <c r="M15" i="169"/>
  <c r="N15" i="169"/>
  <c r="F16" i="169"/>
  <c r="G16" i="169"/>
  <c r="H16" i="169"/>
  <c r="I16" i="169"/>
  <c r="J16" i="169"/>
  <c r="K16" i="169"/>
  <c r="L16" i="169"/>
  <c r="M16" i="169"/>
  <c r="N16" i="169"/>
  <c r="F17" i="169"/>
  <c r="G17" i="169"/>
  <c r="H17" i="169"/>
  <c r="I17" i="169"/>
  <c r="J17" i="169"/>
  <c r="K17" i="169"/>
  <c r="L17" i="169"/>
  <c r="M17" i="169"/>
  <c r="N17" i="169"/>
  <c r="E13" i="169"/>
  <c r="E14" i="169"/>
  <c r="E15" i="169"/>
  <c r="E16" i="169"/>
  <c r="O16" i="169" s="1"/>
  <c r="E17" i="169"/>
  <c r="E12" i="169"/>
  <c r="F8" i="169"/>
  <c r="G8" i="169"/>
  <c r="H8" i="169"/>
  <c r="I8" i="169"/>
  <c r="J8" i="169"/>
  <c r="K8" i="169"/>
  <c r="L8" i="169"/>
  <c r="M8" i="169"/>
  <c r="N8" i="169"/>
  <c r="F9" i="169"/>
  <c r="G9" i="169"/>
  <c r="H9" i="169"/>
  <c r="I9" i="169"/>
  <c r="J9" i="169"/>
  <c r="K9" i="169"/>
  <c r="L9" i="169"/>
  <c r="M9" i="169"/>
  <c r="N9" i="169"/>
  <c r="F10" i="169"/>
  <c r="G10" i="169"/>
  <c r="H10" i="169"/>
  <c r="I10" i="169"/>
  <c r="J10" i="169"/>
  <c r="K10" i="169"/>
  <c r="L10" i="169"/>
  <c r="M10" i="169"/>
  <c r="N10" i="169"/>
  <c r="E9" i="169"/>
  <c r="E10" i="169"/>
  <c r="E8" i="169"/>
  <c r="L44" i="169"/>
  <c r="K44" i="169"/>
  <c r="J44" i="169"/>
  <c r="I44" i="169"/>
  <c r="H44" i="169"/>
  <c r="F44" i="169"/>
  <c r="E44" i="169"/>
  <c r="O41" i="169"/>
  <c r="O40" i="169"/>
  <c r="O36" i="169"/>
  <c r="O35" i="169"/>
  <c r="O34" i="169"/>
  <c r="O33" i="169"/>
  <c r="O32" i="169"/>
  <c r="O29" i="169"/>
  <c r="O28" i="169"/>
  <c r="O27" i="169"/>
  <c r="O25" i="169"/>
  <c r="O24" i="169"/>
  <c r="O23" i="169"/>
  <c r="O20" i="169"/>
  <c r="N18" i="169"/>
  <c r="M18" i="169"/>
  <c r="L18" i="169"/>
  <c r="K18" i="169"/>
  <c r="J18" i="169"/>
  <c r="I18" i="169"/>
  <c r="O14" i="169"/>
  <c r="O13" i="169"/>
  <c r="O12" i="169"/>
  <c r="L11" i="169"/>
  <c r="J11" i="169"/>
  <c r="I11" i="169"/>
  <c r="H11" i="169"/>
  <c r="D9" i="169"/>
  <c r="N7" i="169"/>
  <c r="M7" i="169"/>
  <c r="L7" i="169"/>
  <c r="K7" i="169"/>
  <c r="J7" i="169"/>
  <c r="J6" i="169" s="1"/>
  <c r="J5" i="169" s="1"/>
  <c r="I7" i="169"/>
  <c r="I6" i="169" s="1"/>
  <c r="I5" i="169" s="1"/>
  <c r="H7" i="169"/>
  <c r="G7" i="169"/>
  <c r="F7" i="169"/>
  <c r="E7" i="169"/>
  <c r="L6" i="169"/>
  <c r="L5" i="169" s="1"/>
  <c r="H6" i="169"/>
  <c r="O54" i="168"/>
  <c r="O53" i="168"/>
  <c r="O52" i="168"/>
  <c r="O51" i="168"/>
  <c r="O50" i="168"/>
  <c r="P50" i="168" s="1"/>
  <c r="O49" i="168"/>
  <c r="P49" i="168" s="1"/>
  <c r="O48" i="168"/>
  <c r="O47" i="168"/>
  <c r="O46" i="168"/>
  <c r="N45" i="168"/>
  <c r="M45" i="168"/>
  <c r="L45" i="168"/>
  <c r="K45" i="168"/>
  <c r="J45" i="168"/>
  <c r="I45" i="168"/>
  <c r="H45" i="168"/>
  <c r="H6" i="168" s="1"/>
  <c r="G45" i="168"/>
  <c r="F45" i="168"/>
  <c r="E45" i="168"/>
  <c r="O44" i="168"/>
  <c r="O43" i="168"/>
  <c r="O42" i="168"/>
  <c r="O41" i="168"/>
  <c r="P41" i="168" s="1"/>
  <c r="O40" i="168"/>
  <c r="P39" i="168"/>
  <c r="O39" i="168"/>
  <c r="O38" i="168"/>
  <c r="O37" i="168"/>
  <c r="O36" i="168"/>
  <c r="P35" i="168"/>
  <c r="O35" i="168"/>
  <c r="O34" i="168"/>
  <c r="O33" i="168"/>
  <c r="O32" i="168"/>
  <c r="O31" i="168"/>
  <c r="P31" i="168" s="1"/>
  <c r="O30" i="168"/>
  <c r="O29" i="168"/>
  <c r="O28" i="168"/>
  <c r="O27" i="168"/>
  <c r="O26" i="168"/>
  <c r="O25" i="168"/>
  <c r="O24" i="168"/>
  <c r="O23" i="168"/>
  <c r="P23" i="168" s="1"/>
  <c r="M19" i="168"/>
  <c r="O22" i="168"/>
  <c r="O21" i="168"/>
  <c r="O20" i="168"/>
  <c r="N19" i="168"/>
  <c r="N6" i="168" s="1"/>
  <c r="L19" i="168"/>
  <c r="K19" i="168"/>
  <c r="J19" i="168"/>
  <c r="I19" i="168"/>
  <c r="H19" i="168"/>
  <c r="G19" i="168"/>
  <c r="F19" i="168"/>
  <c r="E19" i="168"/>
  <c r="O18" i="168"/>
  <c r="O17" i="168"/>
  <c r="P17" i="168" s="1"/>
  <c r="O16" i="168"/>
  <c r="O15" i="168"/>
  <c r="O14" i="168"/>
  <c r="O13" i="168"/>
  <c r="P13" i="168" s="1"/>
  <c r="N12" i="168"/>
  <c r="M12" i="168"/>
  <c r="L12" i="168"/>
  <c r="K12" i="168"/>
  <c r="K7" i="168" s="1"/>
  <c r="K6" i="168" s="1"/>
  <c r="J12" i="168"/>
  <c r="I12" i="168"/>
  <c r="H12" i="168"/>
  <c r="G12" i="168"/>
  <c r="F12" i="168"/>
  <c r="E12" i="168"/>
  <c r="O11" i="168"/>
  <c r="R11" i="168" s="1"/>
  <c r="U11" i="168" s="1"/>
  <c r="O10" i="168"/>
  <c r="R10" i="168" s="1"/>
  <c r="U10" i="168" s="1"/>
  <c r="D10" i="168"/>
  <c r="O9" i="168"/>
  <c r="P9" i="168" s="1"/>
  <c r="N8" i="168"/>
  <c r="M8" i="168"/>
  <c r="L8" i="168"/>
  <c r="K8" i="168"/>
  <c r="J8" i="168"/>
  <c r="I8" i="168"/>
  <c r="H8" i="168"/>
  <c r="G8" i="168"/>
  <c r="F8" i="168"/>
  <c r="E8" i="168"/>
  <c r="N7" i="168"/>
  <c r="M7" i="168"/>
  <c r="L7" i="168"/>
  <c r="J7" i="168"/>
  <c r="J6" i="168" s="1"/>
  <c r="I7" i="168"/>
  <c r="I6" i="168" s="1"/>
  <c r="H7" i="168"/>
  <c r="G7" i="168"/>
  <c r="F7" i="168"/>
  <c r="F6" i="168" s="1"/>
  <c r="E7" i="168"/>
  <c r="E6" i="168" s="1"/>
  <c r="L6" i="168"/>
  <c r="O53" i="167"/>
  <c r="O52" i="167"/>
  <c r="O51" i="167"/>
  <c r="P51" i="167" s="1"/>
  <c r="O50" i="167"/>
  <c r="O49" i="167"/>
  <c r="P49" i="167" s="1"/>
  <c r="O48" i="167"/>
  <c r="O47" i="167"/>
  <c r="O46" i="167"/>
  <c r="P45" i="167"/>
  <c r="O45" i="167"/>
  <c r="N44" i="167"/>
  <c r="M44" i="167"/>
  <c r="L44" i="167"/>
  <c r="K44" i="167"/>
  <c r="J44" i="167"/>
  <c r="I44" i="167"/>
  <c r="H44" i="167"/>
  <c r="G44" i="167"/>
  <c r="F44" i="167"/>
  <c r="E44" i="167"/>
  <c r="O43" i="167"/>
  <c r="O42" i="167"/>
  <c r="O41" i="167"/>
  <c r="O40" i="167"/>
  <c r="O39" i="167"/>
  <c r="O38" i="167"/>
  <c r="O37" i="167"/>
  <c r="O36" i="167"/>
  <c r="P36" i="167" s="1"/>
  <c r="O35" i="167"/>
  <c r="O34" i="167"/>
  <c r="O33" i="167"/>
  <c r="O32" i="167"/>
  <c r="O31" i="167"/>
  <c r="O30" i="167"/>
  <c r="O29" i="167"/>
  <c r="O28" i="167"/>
  <c r="O27" i="167"/>
  <c r="O26" i="167"/>
  <c r="O25" i="167"/>
  <c r="O24" i="167"/>
  <c r="AF24" i="167" s="1"/>
  <c r="O23" i="167"/>
  <c r="AF23" i="167" s="1"/>
  <c r="O22" i="167"/>
  <c r="AF22" i="167" s="1"/>
  <c r="O21" i="167"/>
  <c r="AF21" i="167" s="1"/>
  <c r="O20" i="167"/>
  <c r="AF20" i="167" s="1"/>
  <c r="O19" i="167"/>
  <c r="AF19" i="167" s="1"/>
  <c r="N18" i="167"/>
  <c r="M18" i="167"/>
  <c r="L18" i="167"/>
  <c r="K18" i="167"/>
  <c r="J18" i="167"/>
  <c r="I18" i="167"/>
  <c r="H18" i="167"/>
  <c r="G18" i="167"/>
  <c r="F18" i="167"/>
  <c r="E18" i="167"/>
  <c r="O17" i="167"/>
  <c r="O16" i="167"/>
  <c r="P16" i="167" s="1"/>
  <c r="O15" i="167"/>
  <c r="R15" i="167" s="1"/>
  <c r="O14" i="167"/>
  <c r="O13" i="167"/>
  <c r="P13" i="167" s="1"/>
  <c r="O12" i="167"/>
  <c r="P12" i="167" s="1"/>
  <c r="N11" i="167"/>
  <c r="M11" i="167"/>
  <c r="L11" i="167"/>
  <c r="K11" i="167"/>
  <c r="J11" i="167"/>
  <c r="I11" i="167"/>
  <c r="H11" i="167"/>
  <c r="G11" i="167"/>
  <c r="F11" i="167"/>
  <c r="E11" i="167"/>
  <c r="O10" i="167"/>
  <c r="R10" i="167" s="1"/>
  <c r="U10" i="167" s="1"/>
  <c r="O9" i="167"/>
  <c r="D9" i="167"/>
  <c r="O8" i="167"/>
  <c r="R8" i="167" s="1"/>
  <c r="N7" i="167"/>
  <c r="M7" i="167"/>
  <c r="L7" i="167"/>
  <c r="K7" i="167"/>
  <c r="K6" i="167" s="1"/>
  <c r="K5" i="167" s="1"/>
  <c r="J7" i="167"/>
  <c r="I7" i="167"/>
  <c r="I6" i="167" s="1"/>
  <c r="I5" i="167" s="1"/>
  <c r="H7" i="167"/>
  <c r="G7" i="167"/>
  <c r="G6" i="167" s="1"/>
  <c r="F7" i="167"/>
  <c r="E7" i="167"/>
  <c r="E6" i="167" s="1"/>
  <c r="N6" i="167"/>
  <c r="M6" i="167"/>
  <c r="J6" i="167"/>
  <c r="J5" i="167" s="1"/>
  <c r="H6" i="167"/>
  <c r="H5" i="167" s="1"/>
  <c r="F6" i="167"/>
  <c r="D10" i="166"/>
  <c r="C10" i="166"/>
  <c r="E9" i="166"/>
  <c r="E8" i="166"/>
  <c r="E7" i="166"/>
  <c r="E6" i="166"/>
  <c r="E5" i="166"/>
  <c r="E4" i="166"/>
  <c r="L6" i="167" l="1"/>
  <c r="L5" i="167" s="1"/>
  <c r="G5" i="167"/>
  <c r="R9" i="167"/>
  <c r="U9" i="167" s="1"/>
  <c r="P9" i="167"/>
  <c r="Q9" i="167" s="1"/>
  <c r="E5" i="167"/>
  <c r="M5" i="167"/>
  <c r="O8" i="169"/>
  <c r="P15" i="167"/>
  <c r="K11" i="169"/>
  <c r="K6" i="169" s="1"/>
  <c r="K5" i="169" s="1"/>
  <c r="Q12" i="167"/>
  <c r="R12" i="167"/>
  <c r="O6" i="167"/>
  <c r="Q16" i="167"/>
  <c r="R16" i="167"/>
  <c r="U16" i="167" s="1"/>
  <c r="E10" i="166"/>
  <c r="M5" i="170"/>
  <c r="G5" i="170"/>
  <c r="P36" i="170"/>
  <c r="M44" i="169"/>
  <c r="M6" i="168"/>
  <c r="M11" i="169"/>
  <c r="M6" i="169" s="1"/>
  <c r="M5" i="169" s="1"/>
  <c r="G18" i="169"/>
  <c r="G6" i="168"/>
  <c r="G11" i="169"/>
  <c r="G6" i="169" s="1"/>
  <c r="G44" i="169"/>
  <c r="O42" i="169"/>
  <c r="O26" i="169"/>
  <c r="O47" i="169"/>
  <c r="O46" i="169"/>
  <c r="R46" i="169" s="1"/>
  <c r="U46" i="169" s="1"/>
  <c r="O45" i="169"/>
  <c r="R45" i="169" s="1"/>
  <c r="O17" i="169"/>
  <c r="O15" i="169"/>
  <c r="E11" i="169"/>
  <c r="E6" i="169" s="1"/>
  <c r="O37" i="169"/>
  <c r="O31" i="169"/>
  <c r="O30" i="169"/>
  <c r="O22" i="169"/>
  <c r="E18" i="169"/>
  <c r="O21" i="169"/>
  <c r="O19" i="169"/>
  <c r="F11" i="169"/>
  <c r="F6" i="169" s="1"/>
  <c r="F18" i="169"/>
  <c r="F5" i="167"/>
  <c r="O10" i="169"/>
  <c r="O9" i="169"/>
  <c r="P54" i="170"/>
  <c r="Q54" i="170" s="1"/>
  <c r="P42" i="170"/>
  <c r="P30" i="170"/>
  <c r="N44" i="169"/>
  <c r="O49" i="169"/>
  <c r="R49" i="169" s="1"/>
  <c r="U49" i="169" s="1"/>
  <c r="N11" i="169"/>
  <c r="N6" i="169" s="1"/>
  <c r="O53" i="169"/>
  <c r="P53" i="169" s="1"/>
  <c r="Q53" i="169" s="1"/>
  <c r="N5" i="167"/>
  <c r="O5" i="167" s="1"/>
  <c r="O52" i="169"/>
  <c r="R52" i="169" s="1"/>
  <c r="U52" i="169" s="1"/>
  <c r="O51" i="169"/>
  <c r="R51" i="169" s="1"/>
  <c r="O50" i="169"/>
  <c r="P50" i="169" s="1"/>
  <c r="Q50" i="169" s="1"/>
  <c r="N5" i="169"/>
  <c r="O48" i="169"/>
  <c r="R48" i="169" s="1"/>
  <c r="H18" i="169"/>
  <c r="H5" i="169" s="1"/>
  <c r="R54" i="170"/>
  <c r="R45" i="170"/>
  <c r="R49" i="170"/>
  <c r="U49" i="170" s="1"/>
  <c r="R51" i="170"/>
  <c r="O44" i="170"/>
  <c r="Q46" i="170"/>
  <c r="R46" i="170"/>
  <c r="U46" i="170" s="1"/>
  <c r="Q48" i="170"/>
  <c r="R48" i="170"/>
  <c r="Q52" i="170"/>
  <c r="R52" i="170"/>
  <c r="U52" i="170" s="1"/>
  <c r="R20" i="170"/>
  <c r="U20" i="170" s="1"/>
  <c r="R22" i="170"/>
  <c r="R27" i="170"/>
  <c r="U27" i="170" s="1"/>
  <c r="R33" i="170"/>
  <c r="U33" i="170" s="1"/>
  <c r="R39" i="170"/>
  <c r="U39" i="170" s="1"/>
  <c r="Q19" i="170"/>
  <c r="R19" i="170"/>
  <c r="Q23" i="170"/>
  <c r="R23" i="170"/>
  <c r="U23" i="170" s="1"/>
  <c r="R13" i="170"/>
  <c r="U13" i="170" s="1"/>
  <c r="R17" i="170"/>
  <c r="U17" i="170" s="1"/>
  <c r="P13" i="170"/>
  <c r="Q13" i="170" s="1"/>
  <c r="R10" i="170"/>
  <c r="U10" i="170" s="1"/>
  <c r="P10" i="170"/>
  <c r="Q10" i="170" s="1"/>
  <c r="R12" i="170"/>
  <c r="P12" i="170"/>
  <c r="O11" i="170"/>
  <c r="Q12" i="170"/>
  <c r="R8" i="170"/>
  <c r="P8" i="170"/>
  <c r="Q8" i="170" s="1"/>
  <c r="O7" i="170"/>
  <c r="R9" i="170"/>
  <c r="U9" i="170" s="1"/>
  <c r="P9" i="170"/>
  <c r="Q9" i="170" s="1"/>
  <c r="N11" i="170"/>
  <c r="N6" i="170" s="1"/>
  <c r="Q17" i="170"/>
  <c r="Q20" i="170"/>
  <c r="Q22" i="170"/>
  <c r="O24" i="170"/>
  <c r="N18" i="170"/>
  <c r="Q27" i="170"/>
  <c r="Q30" i="170"/>
  <c r="Q33" i="170"/>
  <c r="Q36" i="170"/>
  <c r="Q39" i="170"/>
  <c r="Q42" i="170"/>
  <c r="Q45" i="170"/>
  <c r="R47" i="170"/>
  <c r="U47" i="170" s="1"/>
  <c r="P47" i="170"/>
  <c r="Q47" i="170" s="1"/>
  <c r="Q49" i="170"/>
  <c r="Q51" i="170"/>
  <c r="R53" i="170"/>
  <c r="U53" i="170" s="1"/>
  <c r="P53" i="170"/>
  <c r="Q53" i="170" s="1"/>
  <c r="Q55" i="170"/>
  <c r="R55" i="170" s="1"/>
  <c r="R14" i="170"/>
  <c r="U14" i="170" s="1"/>
  <c r="P14" i="170"/>
  <c r="Q14" i="170" s="1"/>
  <c r="R15" i="170"/>
  <c r="P15" i="170"/>
  <c r="Q15" i="170" s="1"/>
  <c r="R16" i="170"/>
  <c r="U16" i="170" s="1"/>
  <c r="P16" i="170"/>
  <c r="Q16" i="170" s="1"/>
  <c r="R21" i="170"/>
  <c r="U21" i="170" s="1"/>
  <c r="P21" i="170"/>
  <c r="Q21" i="170" s="1"/>
  <c r="R25" i="170"/>
  <c r="P25" i="170"/>
  <c r="Q25" i="170" s="1"/>
  <c r="R26" i="170"/>
  <c r="U26" i="170" s="1"/>
  <c r="P26" i="170"/>
  <c r="Q26" i="170" s="1"/>
  <c r="R28" i="170"/>
  <c r="P28" i="170"/>
  <c r="Q28" i="170" s="1"/>
  <c r="R29" i="170"/>
  <c r="U29" i="170" s="1"/>
  <c r="P29" i="170"/>
  <c r="Q29" i="170" s="1"/>
  <c r="R31" i="170"/>
  <c r="P31" i="170"/>
  <c r="Q31" i="170" s="1"/>
  <c r="R32" i="170"/>
  <c r="U32" i="170" s="1"/>
  <c r="P32" i="170"/>
  <c r="Q32" i="170" s="1"/>
  <c r="R34" i="170"/>
  <c r="P34" i="170"/>
  <c r="Q34" i="170" s="1"/>
  <c r="R35" i="170"/>
  <c r="U35" i="170" s="1"/>
  <c r="P35" i="170"/>
  <c r="Q35" i="170" s="1"/>
  <c r="R37" i="170"/>
  <c r="P37" i="170"/>
  <c r="Q37" i="170" s="1"/>
  <c r="R38" i="170"/>
  <c r="U38" i="170" s="1"/>
  <c r="P38" i="170"/>
  <c r="Q38" i="170" s="1"/>
  <c r="R40" i="170"/>
  <c r="P40" i="170"/>
  <c r="Q40" i="170" s="1"/>
  <c r="R41" i="170"/>
  <c r="U41" i="170" s="1"/>
  <c r="P41" i="170"/>
  <c r="Q41" i="170" s="1"/>
  <c r="R43" i="170"/>
  <c r="P43" i="170"/>
  <c r="Q43" i="170" s="1"/>
  <c r="R50" i="170"/>
  <c r="U50" i="170" s="1"/>
  <c r="P50" i="170"/>
  <c r="Q50" i="170" s="1"/>
  <c r="R9" i="169"/>
  <c r="U9" i="169" s="1"/>
  <c r="P9" i="169"/>
  <c r="Q9" i="169" s="1"/>
  <c r="R10" i="169"/>
  <c r="U10" i="169" s="1"/>
  <c r="P10" i="169"/>
  <c r="Q10" i="169" s="1"/>
  <c r="R12" i="169"/>
  <c r="P12" i="169"/>
  <c r="R13" i="169"/>
  <c r="U13" i="169" s="1"/>
  <c r="P13" i="169"/>
  <c r="Q13" i="169" s="1"/>
  <c r="R14" i="169"/>
  <c r="U14" i="169" s="1"/>
  <c r="P14" i="169"/>
  <c r="Q14" i="169" s="1"/>
  <c r="R15" i="169"/>
  <c r="R16" i="169"/>
  <c r="U16" i="169" s="1"/>
  <c r="P16" i="169"/>
  <c r="Q16" i="169" s="1"/>
  <c r="R8" i="169"/>
  <c r="P8" i="169"/>
  <c r="O7" i="169"/>
  <c r="R17" i="169"/>
  <c r="U17" i="169" s="1"/>
  <c r="P17" i="169"/>
  <c r="Q17" i="169" s="1"/>
  <c r="R19" i="169"/>
  <c r="P19" i="169"/>
  <c r="O18" i="169"/>
  <c r="R20" i="169"/>
  <c r="U20" i="169" s="1"/>
  <c r="P20" i="169"/>
  <c r="Q20" i="169" s="1"/>
  <c r="R21" i="169"/>
  <c r="U21" i="169" s="1"/>
  <c r="P21" i="169"/>
  <c r="Q21" i="169" s="1"/>
  <c r="R22" i="169"/>
  <c r="P22" i="169"/>
  <c r="Q22" i="169" s="1"/>
  <c r="R23" i="169"/>
  <c r="U23" i="169" s="1"/>
  <c r="P23" i="169"/>
  <c r="Q23" i="169" s="1"/>
  <c r="R24" i="169"/>
  <c r="U24" i="169" s="1"/>
  <c r="P24" i="169"/>
  <c r="Q24" i="169" s="1"/>
  <c r="R25" i="169"/>
  <c r="P25" i="169"/>
  <c r="Q25" i="169" s="1"/>
  <c r="R26" i="169"/>
  <c r="U26" i="169" s="1"/>
  <c r="P26" i="169"/>
  <c r="Q26" i="169" s="1"/>
  <c r="R27" i="169"/>
  <c r="U27" i="169" s="1"/>
  <c r="P27" i="169"/>
  <c r="Q27" i="169" s="1"/>
  <c r="R28" i="169"/>
  <c r="P28" i="169"/>
  <c r="Q28" i="169" s="1"/>
  <c r="R29" i="169"/>
  <c r="U29" i="169" s="1"/>
  <c r="P29" i="169"/>
  <c r="Q29" i="169" s="1"/>
  <c r="R30" i="169"/>
  <c r="U30" i="169" s="1"/>
  <c r="P30" i="169"/>
  <c r="Q30" i="169" s="1"/>
  <c r="R31" i="169"/>
  <c r="P31" i="169"/>
  <c r="Q31" i="169" s="1"/>
  <c r="R32" i="169"/>
  <c r="U32" i="169" s="1"/>
  <c r="P32" i="169"/>
  <c r="Q32" i="169" s="1"/>
  <c r="R33" i="169"/>
  <c r="U33" i="169" s="1"/>
  <c r="P33" i="169"/>
  <c r="Q33" i="169" s="1"/>
  <c r="R34" i="169"/>
  <c r="P34" i="169"/>
  <c r="Q34" i="169" s="1"/>
  <c r="R35" i="169"/>
  <c r="U35" i="169" s="1"/>
  <c r="P35" i="169"/>
  <c r="Q35" i="169" s="1"/>
  <c r="R36" i="169"/>
  <c r="U36" i="169" s="1"/>
  <c r="P36" i="169"/>
  <c r="Q36" i="169" s="1"/>
  <c r="R37" i="169"/>
  <c r="P37" i="169"/>
  <c r="Q37" i="169" s="1"/>
  <c r="R38" i="169"/>
  <c r="U38" i="169" s="1"/>
  <c r="P38" i="169"/>
  <c r="Q38" i="169" s="1"/>
  <c r="R39" i="169"/>
  <c r="U39" i="169" s="1"/>
  <c r="P39" i="169"/>
  <c r="Q39" i="169" s="1"/>
  <c r="R40" i="169"/>
  <c r="P40" i="169"/>
  <c r="Q40" i="169" s="1"/>
  <c r="R41" i="169"/>
  <c r="U41" i="169" s="1"/>
  <c r="P41" i="169"/>
  <c r="Q41" i="169" s="1"/>
  <c r="R42" i="169"/>
  <c r="U42" i="169" s="1"/>
  <c r="P42" i="169"/>
  <c r="Q42" i="169" s="1"/>
  <c r="R43" i="169"/>
  <c r="P43" i="169"/>
  <c r="Q43" i="169" s="1"/>
  <c r="P47" i="169"/>
  <c r="Q47" i="169" s="1"/>
  <c r="R47" i="169"/>
  <c r="U47" i="169" s="1"/>
  <c r="R50" i="169"/>
  <c r="U50" i="169" s="1"/>
  <c r="R53" i="169"/>
  <c r="U53" i="169" s="1"/>
  <c r="P45" i="169"/>
  <c r="P46" i="169"/>
  <c r="Q46" i="169" s="1"/>
  <c r="P48" i="169"/>
  <c r="Q48" i="169" s="1"/>
  <c r="P52" i="169"/>
  <c r="Q52" i="169" s="1"/>
  <c r="Q49" i="168"/>
  <c r="R49" i="168"/>
  <c r="Q50" i="168"/>
  <c r="R50" i="168"/>
  <c r="U50" i="168" s="1"/>
  <c r="R24" i="168"/>
  <c r="U24" i="168" s="1"/>
  <c r="R36" i="168"/>
  <c r="U36" i="168" s="1"/>
  <c r="R38" i="168"/>
  <c r="R42" i="168"/>
  <c r="U42" i="168" s="1"/>
  <c r="R44" i="168"/>
  <c r="Q23" i="168"/>
  <c r="R23" i="168"/>
  <c r="P24" i="168"/>
  <c r="Q24" i="168" s="1"/>
  <c r="Q31" i="168"/>
  <c r="R31" i="168"/>
  <c r="U31" i="168" s="1"/>
  <c r="Q35" i="168"/>
  <c r="R35" i="168"/>
  <c r="P36" i="168"/>
  <c r="Q36" i="168" s="1"/>
  <c r="P38" i="168"/>
  <c r="Q38" i="168" s="1"/>
  <c r="Q39" i="168"/>
  <c r="R39" i="168"/>
  <c r="U39" i="168" s="1"/>
  <c r="Q41" i="168"/>
  <c r="R41" i="168"/>
  <c r="P42" i="168"/>
  <c r="Q42" i="168" s="1"/>
  <c r="P44" i="168"/>
  <c r="Q44" i="168" s="1"/>
  <c r="R14" i="168"/>
  <c r="U14" i="168" s="1"/>
  <c r="R16" i="168"/>
  <c r="Q13" i="168"/>
  <c r="R13" i="168"/>
  <c r="P14" i="168"/>
  <c r="Q14" i="168" s="1"/>
  <c r="P16" i="168"/>
  <c r="Q16" i="168" s="1"/>
  <c r="Q17" i="168"/>
  <c r="R17" i="168"/>
  <c r="U17" i="168" s="1"/>
  <c r="O8" i="168"/>
  <c r="Q9" i="168"/>
  <c r="R9" i="168"/>
  <c r="R8" i="168" s="1"/>
  <c r="P11" i="168"/>
  <c r="R28" i="168"/>
  <c r="U28" i="168" s="1"/>
  <c r="P28" i="168"/>
  <c r="Q28" i="168" s="1"/>
  <c r="R48" i="168"/>
  <c r="U48" i="168" s="1"/>
  <c r="P48" i="168"/>
  <c r="Q48" i="168" s="1"/>
  <c r="R51" i="168"/>
  <c r="U51" i="168" s="1"/>
  <c r="P51" i="168"/>
  <c r="Q51" i="168" s="1"/>
  <c r="R54" i="168"/>
  <c r="U54" i="168" s="1"/>
  <c r="P54" i="168"/>
  <c r="Q54" i="168" s="1"/>
  <c r="P10" i="168"/>
  <c r="P8" i="168" s="1"/>
  <c r="Q11" i="168"/>
  <c r="R22" i="168"/>
  <c r="U22" i="168" s="1"/>
  <c r="P22" i="168"/>
  <c r="Q22" i="168" s="1"/>
  <c r="R25" i="168"/>
  <c r="U25" i="168" s="1"/>
  <c r="P25" i="168"/>
  <c r="Q25" i="168" s="1"/>
  <c r="O12" i="168"/>
  <c r="P15" i="168"/>
  <c r="R15" i="168"/>
  <c r="P18" i="168"/>
  <c r="Q18" i="168" s="1"/>
  <c r="R18" i="168"/>
  <c r="U18" i="168" s="1"/>
  <c r="O19" i="168"/>
  <c r="P20" i="168"/>
  <c r="R20" i="168"/>
  <c r="P21" i="168"/>
  <c r="Q21" i="168" s="1"/>
  <c r="R21" i="168"/>
  <c r="U21" i="168" s="1"/>
  <c r="P26" i="168"/>
  <c r="Q26" i="168" s="1"/>
  <c r="R26" i="168"/>
  <c r="P27" i="168"/>
  <c r="Q27" i="168" s="1"/>
  <c r="R27" i="168"/>
  <c r="U27" i="168" s="1"/>
  <c r="P29" i="168"/>
  <c r="Q29" i="168" s="1"/>
  <c r="R29" i="168"/>
  <c r="P30" i="168"/>
  <c r="Q30" i="168" s="1"/>
  <c r="R30" i="168"/>
  <c r="U30" i="168" s="1"/>
  <c r="P32" i="168"/>
  <c r="Q32" i="168" s="1"/>
  <c r="R32" i="168"/>
  <c r="P33" i="168"/>
  <c r="Q33" i="168" s="1"/>
  <c r="R33" i="168"/>
  <c r="U33" i="168" s="1"/>
  <c r="P34" i="168"/>
  <c r="Q34" i="168" s="1"/>
  <c r="R34" i="168"/>
  <c r="U34" i="168" s="1"/>
  <c r="P37" i="168"/>
  <c r="Q37" i="168" s="1"/>
  <c r="R37" i="168"/>
  <c r="U37" i="168" s="1"/>
  <c r="P40" i="168"/>
  <c r="Q40" i="168" s="1"/>
  <c r="R40" i="168"/>
  <c r="U40" i="168" s="1"/>
  <c r="P43" i="168"/>
  <c r="Q43" i="168" s="1"/>
  <c r="R43" i="168"/>
  <c r="U43" i="168" s="1"/>
  <c r="O45" i="168"/>
  <c r="P46" i="168"/>
  <c r="R46" i="168"/>
  <c r="P47" i="168"/>
  <c r="Q47" i="168" s="1"/>
  <c r="R47" i="168"/>
  <c r="U47" i="168" s="1"/>
  <c r="P52" i="168"/>
  <c r="Q52" i="168" s="1"/>
  <c r="R52" i="168"/>
  <c r="P53" i="168"/>
  <c r="Q53" i="168" s="1"/>
  <c r="R53" i="168"/>
  <c r="U53" i="168" s="1"/>
  <c r="R46" i="167"/>
  <c r="U46" i="167" s="1"/>
  <c r="R48" i="167"/>
  <c r="R52" i="167"/>
  <c r="U52" i="167" s="1"/>
  <c r="Q45" i="167"/>
  <c r="R45" i="167"/>
  <c r="P46" i="167"/>
  <c r="Q46" i="167" s="1"/>
  <c r="P48" i="167"/>
  <c r="Q48" i="167" s="1"/>
  <c r="Q49" i="167"/>
  <c r="R49" i="167"/>
  <c r="U49" i="167" s="1"/>
  <c r="Q51" i="167"/>
  <c r="R51" i="167"/>
  <c r="P52" i="167"/>
  <c r="Q52" i="167" s="1"/>
  <c r="Q36" i="167"/>
  <c r="R36" i="167"/>
  <c r="U36" i="167" s="1"/>
  <c r="R14" i="167"/>
  <c r="U14" i="167" s="1"/>
  <c r="P14" i="167"/>
  <c r="Q14" i="167" s="1"/>
  <c r="R19" i="167"/>
  <c r="P19" i="167"/>
  <c r="Q19" i="167" s="1"/>
  <c r="O18" i="167"/>
  <c r="R21" i="167"/>
  <c r="U21" i="167" s="1"/>
  <c r="P21" i="167"/>
  <c r="Q21" i="167" s="1"/>
  <c r="R23" i="167"/>
  <c r="U23" i="167" s="1"/>
  <c r="P23" i="167"/>
  <c r="Q23" i="167" s="1"/>
  <c r="R25" i="167"/>
  <c r="P25" i="167"/>
  <c r="Q25" i="167" s="1"/>
  <c r="R27" i="167"/>
  <c r="U27" i="167" s="1"/>
  <c r="P27" i="167"/>
  <c r="Q27" i="167" s="1"/>
  <c r="R32" i="167"/>
  <c r="U32" i="167" s="1"/>
  <c r="P32" i="167"/>
  <c r="Q32" i="167" s="1"/>
  <c r="O44" i="167"/>
  <c r="R50" i="167"/>
  <c r="U50" i="167" s="1"/>
  <c r="P50" i="167"/>
  <c r="Q50" i="167" s="1"/>
  <c r="R53" i="167"/>
  <c r="U53" i="167" s="1"/>
  <c r="P53" i="167"/>
  <c r="Q53" i="167" s="1"/>
  <c r="O7" i="167"/>
  <c r="P8" i="167"/>
  <c r="Q8" i="167" s="1"/>
  <c r="P10" i="167"/>
  <c r="Q10" i="167" s="1"/>
  <c r="O11" i="167"/>
  <c r="Q13" i="167"/>
  <c r="R13" i="167"/>
  <c r="Q15" i="167"/>
  <c r="R24" i="167"/>
  <c r="U24" i="167" s="1"/>
  <c r="P24" i="167"/>
  <c r="Q24" i="167" s="1"/>
  <c r="R30" i="167"/>
  <c r="U30" i="167" s="1"/>
  <c r="P30" i="167"/>
  <c r="Q30" i="167" s="1"/>
  <c r="R33" i="167"/>
  <c r="U33" i="167" s="1"/>
  <c r="P33" i="167"/>
  <c r="Q33" i="167" s="1"/>
  <c r="R39" i="167"/>
  <c r="U39" i="167" s="1"/>
  <c r="P39" i="167"/>
  <c r="Q39" i="167" s="1"/>
  <c r="P17" i="167"/>
  <c r="Q17" i="167" s="1"/>
  <c r="R17" i="167"/>
  <c r="U17" i="167" s="1"/>
  <c r="P20" i="167"/>
  <c r="Q20" i="167" s="1"/>
  <c r="R20" i="167"/>
  <c r="U20" i="167" s="1"/>
  <c r="P22" i="167"/>
  <c r="Q22" i="167" s="1"/>
  <c r="R22" i="167"/>
  <c r="P26" i="167"/>
  <c r="Q26" i="167" s="1"/>
  <c r="R26" i="167"/>
  <c r="U26" i="167" s="1"/>
  <c r="P28" i="167"/>
  <c r="Q28" i="167" s="1"/>
  <c r="R28" i="167"/>
  <c r="P29" i="167"/>
  <c r="Q29" i="167" s="1"/>
  <c r="R29" i="167"/>
  <c r="U29" i="167" s="1"/>
  <c r="P31" i="167"/>
  <c r="Q31" i="167" s="1"/>
  <c r="R31" i="167"/>
  <c r="P34" i="167"/>
  <c r="Q34" i="167" s="1"/>
  <c r="R34" i="167"/>
  <c r="P35" i="167"/>
  <c r="Q35" i="167" s="1"/>
  <c r="R35" i="167"/>
  <c r="U35" i="167" s="1"/>
  <c r="P37" i="167"/>
  <c r="Q37" i="167" s="1"/>
  <c r="R37" i="167"/>
  <c r="P38" i="167"/>
  <c r="Q38" i="167" s="1"/>
  <c r="R38" i="167"/>
  <c r="U38" i="167" s="1"/>
  <c r="P40" i="167"/>
  <c r="Q40" i="167" s="1"/>
  <c r="R40" i="167"/>
  <c r="P41" i="167"/>
  <c r="Q41" i="167" s="1"/>
  <c r="R41" i="167"/>
  <c r="U41" i="167" s="1"/>
  <c r="P42" i="167"/>
  <c r="Q42" i="167" s="1"/>
  <c r="R42" i="167"/>
  <c r="U42" i="167" s="1"/>
  <c r="P43" i="167"/>
  <c r="Q43" i="167" s="1"/>
  <c r="R43" i="167"/>
  <c r="P47" i="167"/>
  <c r="R47" i="167"/>
  <c r="U47" i="167" s="1"/>
  <c r="U44" i="167" s="1"/>
  <c r="H55" i="99"/>
  <c r="G55" i="99"/>
  <c r="G54" i="99"/>
  <c r="F55" i="99"/>
  <c r="R55" i="99"/>
  <c r="S55" i="99" s="1"/>
  <c r="T55" i="99" s="1"/>
  <c r="Q7" i="167" l="1"/>
  <c r="F5" i="169"/>
  <c r="O11" i="169"/>
  <c r="R7" i="167"/>
  <c r="P15" i="169"/>
  <c r="Q15" i="169" s="1"/>
  <c r="G5" i="169"/>
  <c r="P44" i="167"/>
  <c r="E5" i="169"/>
  <c r="P49" i="169"/>
  <c r="Q49" i="169" s="1"/>
  <c r="R7" i="169"/>
  <c r="O7" i="168"/>
  <c r="O6" i="170"/>
  <c r="P51" i="169"/>
  <c r="Q51" i="169" s="1"/>
  <c r="O44" i="169"/>
  <c r="O6" i="169"/>
  <c r="N5" i="170"/>
  <c r="P44" i="170"/>
  <c r="R44" i="170"/>
  <c r="P7" i="170"/>
  <c r="R11" i="170"/>
  <c r="U44" i="170"/>
  <c r="Q44" i="170"/>
  <c r="P24" i="170"/>
  <c r="P18" i="170" s="1"/>
  <c r="R24" i="170"/>
  <c r="O18" i="170"/>
  <c r="U7" i="170"/>
  <c r="Q7" i="170"/>
  <c r="R7" i="170"/>
  <c r="R6" i="170" s="1"/>
  <c r="Q11" i="170"/>
  <c r="P11" i="170"/>
  <c r="U44" i="169"/>
  <c r="P7" i="169"/>
  <c r="R44" i="169"/>
  <c r="P18" i="169"/>
  <c r="Q19" i="169"/>
  <c r="Q18" i="169" s="1"/>
  <c r="P11" i="169"/>
  <c r="P6" i="169" s="1"/>
  <c r="U6" i="169"/>
  <c r="Q45" i="169"/>
  <c r="U18" i="169"/>
  <c r="R18" i="169"/>
  <c r="Q8" i="169"/>
  <c r="Q7" i="169" s="1"/>
  <c r="R11" i="169"/>
  <c r="R6" i="169" s="1"/>
  <c r="Q12" i="169"/>
  <c r="Q11" i="169" s="1"/>
  <c r="P45" i="168"/>
  <c r="U19" i="168"/>
  <c r="R19" i="168"/>
  <c r="P12" i="168"/>
  <c r="P7" i="168" s="1"/>
  <c r="Q15" i="168"/>
  <c r="Q12" i="168" s="1"/>
  <c r="U45" i="168"/>
  <c r="R45" i="168"/>
  <c r="P19" i="168"/>
  <c r="U15" i="168"/>
  <c r="U8" i="168" s="1"/>
  <c r="R12" i="168"/>
  <c r="R7" i="168" s="1"/>
  <c r="O6" i="168"/>
  <c r="Q46" i="168"/>
  <c r="Q45" i="168" s="1"/>
  <c r="Q20" i="168"/>
  <c r="Q19" i="168" s="1"/>
  <c r="Q10" i="168"/>
  <c r="Q8" i="168" s="1"/>
  <c r="Q11" i="167"/>
  <c r="Q6" i="167" s="1"/>
  <c r="R44" i="167"/>
  <c r="Q18" i="167"/>
  <c r="R18" i="167"/>
  <c r="U18" i="167"/>
  <c r="Q47" i="167"/>
  <c r="Q44" i="167" s="1"/>
  <c r="U13" i="167"/>
  <c r="U7" i="167" s="1"/>
  <c r="R11" i="167"/>
  <c r="R6" i="167" s="1"/>
  <c r="R5" i="167" s="1"/>
  <c r="P7" i="167"/>
  <c r="P18" i="167"/>
  <c r="P11" i="167"/>
  <c r="E21" i="160"/>
  <c r="R13" i="159"/>
  <c r="R14" i="159"/>
  <c r="R15" i="159"/>
  <c r="R16" i="159"/>
  <c r="R17" i="159"/>
  <c r="R18" i="159"/>
  <c r="R20" i="159"/>
  <c r="R21" i="159"/>
  <c r="R22" i="159"/>
  <c r="R23" i="159"/>
  <c r="R24" i="159"/>
  <c r="R25" i="159"/>
  <c r="R26" i="159"/>
  <c r="R27" i="159"/>
  <c r="R28" i="159"/>
  <c r="R29" i="159"/>
  <c r="R30" i="159"/>
  <c r="R31" i="159"/>
  <c r="R32" i="159"/>
  <c r="R33" i="159"/>
  <c r="R34" i="159"/>
  <c r="R35" i="159"/>
  <c r="R36" i="159"/>
  <c r="R37" i="159"/>
  <c r="R38" i="159"/>
  <c r="R39" i="159"/>
  <c r="R40" i="159"/>
  <c r="R41" i="159"/>
  <c r="R42" i="159"/>
  <c r="R43" i="159"/>
  <c r="R44" i="159"/>
  <c r="R46" i="159"/>
  <c r="R47" i="159"/>
  <c r="R48" i="159"/>
  <c r="R49" i="159"/>
  <c r="R50" i="159"/>
  <c r="R51" i="159"/>
  <c r="R52" i="159"/>
  <c r="R53" i="159"/>
  <c r="R54" i="159"/>
  <c r="O9" i="159"/>
  <c r="O10" i="159"/>
  <c r="O11" i="159"/>
  <c r="O13" i="159"/>
  <c r="O14" i="159"/>
  <c r="O15" i="159"/>
  <c r="O16" i="159"/>
  <c r="O17" i="159"/>
  <c r="O18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O37" i="159"/>
  <c r="O38" i="159"/>
  <c r="O39" i="159"/>
  <c r="O40" i="159"/>
  <c r="O41" i="159"/>
  <c r="O42" i="159"/>
  <c r="O43" i="159"/>
  <c r="O44" i="159"/>
  <c r="O46" i="159"/>
  <c r="O47" i="159"/>
  <c r="O48" i="159"/>
  <c r="O49" i="159"/>
  <c r="O50" i="159"/>
  <c r="O51" i="159"/>
  <c r="O52" i="159"/>
  <c r="O53" i="159"/>
  <c r="O54" i="159"/>
  <c r="P9" i="159"/>
  <c r="P10" i="159"/>
  <c r="P11" i="159"/>
  <c r="Q11" i="159" s="1"/>
  <c r="P13" i="159"/>
  <c r="P14" i="159"/>
  <c r="P15" i="159"/>
  <c r="P16" i="159"/>
  <c r="P17" i="159"/>
  <c r="P18" i="159"/>
  <c r="P20" i="159"/>
  <c r="P21" i="159"/>
  <c r="P22" i="159"/>
  <c r="P23" i="159"/>
  <c r="P24" i="159"/>
  <c r="P25" i="159"/>
  <c r="P26" i="159"/>
  <c r="P27" i="159"/>
  <c r="P28" i="159"/>
  <c r="P29" i="159"/>
  <c r="P30" i="159"/>
  <c r="P31" i="159"/>
  <c r="P32" i="159"/>
  <c r="P33" i="159"/>
  <c r="P34" i="159"/>
  <c r="P35" i="159"/>
  <c r="P36" i="159"/>
  <c r="P37" i="159"/>
  <c r="P38" i="159"/>
  <c r="P39" i="159"/>
  <c r="P40" i="159"/>
  <c r="P41" i="159"/>
  <c r="P42" i="159"/>
  <c r="P43" i="159"/>
  <c r="P44" i="159"/>
  <c r="P46" i="159"/>
  <c r="P47" i="159"/>
  <c r="P48" i="159"/>
  <c r="P49" i="159"/>
  <c r="P50" i="159"/>
  <c r="P51" i="159"/>
  <c r="P52" i="159"/>
  <c r="P53" i="159"/>
  <c r="P54" i="159"/>
  <c r="Q9" i="159"/>
  <c r="Q10" i="159"/>
  <c r="Q13" i="159"/>
  <c r="Q14" i="159"/>
  <c r="Q15" i="159"/>
  <c r="Q16" i="159"/>
  <c r="Q17" i="159"/>
  <c r="Q18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34" i="159"/>
  <c r="Q35" i="159"/>
  <c r="Q36" i="159"/>
  <c r="Q37" i="159"/>
  <c r="Q38" i="159"/>
  <c r="Q39" i="159"/>
  <c r="Q40" i="159"/>
  <c r="Q41" i="159"/>
  <c r="Q42" i="159"/>
  <c r="Q43" i="159"/>
  <c r="Q44" i="159"/>
  <c r="Q46" i="159"/>
  <c r="Q47" i="159"/>
  <c r="Q48" i="159"/>
  <c r="Q49" i="159"/>
  <c r="Q50" i="159"/>
  <c r="Q51" i="159"/>
  <c r="Q52" i="159"/>
  <c r="Q53" i="159"/>
  <c r="Q54" i="159"/>
  <c r="R9" i="159"/>
  <c r="R10" i="159"/>
  <c r="R11" i="159"/>
  <c r="P43" i="161"/>
  <c r="P42" i="161"/>
  <c r="P41" i="161"/>
  <c r="P40" i="161"/>
  <c r="P39" i="161"/>
  <c r="P38" i="161"/>
  <c r="P37" i="161"/>
  <c r="P36" i="161"/>
  <c r="P35" i="161"/>
  <c r="P34" i="161"/>
  <c r="P33" i="161"/>
  <c r="P32" i="161"/>
  <c r="P31" i="161"/>
  <c r="P30" i="161"/>
  <c r="P29" i="161"/>
  <c r="P28" i="161"/>
  <c r="P27" i="161"/>
  <c r="P26" i="161"/>
  <c r="P25" i="161"/>
  <c r="P24" i="161"/>
  <c r="P23" i="161"/>
  <c r="P22" i="161"/>
  <c r="P21" i="161"/>
  <c r="P20" i="161"/>
  <c r="P19" i="161"/>
  <c r="P13" i="161"/>
  <c r="P14" i="161"/>
  <c r="P15" i="161"/>
  <c r="P16" i="161"/>
  <c r="P17" i="161"/>
  <c r="P12" i="161"/>
  <c r="P9" i="161"/>
  <c r="P10" i="161"/>
  <c r="P8" i="161"/>
  <c r="M24" i="158"/>
  <c r="H39" i="158"/>
  <c r="H33" i="158"/>
  <c r="H27" i="158"/>
  <c r="H26" i="158"/>
  <c r="H25" i="158"/>
  <c r="H32" i="158"/>
  <c r="H43" i="158"/>
  <c r="H30" i="158"/>
  <c r="H28" i="158"/>
  <c r="H24" i="158"/>
  <c r="H23" i="158"/>
  <c r="H22" i="158"/>
  <c r="H21" i="158"/>
  <c r="H20" i="158"/>
  <c r="H19" i="158"/>
  <c r="J10" i="162"/>
  <c r="J9" i="162"/>
  <c r="J8" i="162"/>
  <c r="Q44" i="169" l="1"/>
  <c r="R5" i="169"/>
  <c r="P44" i="169"/>
  <c r="P5" i="169" s="1"/>
  <c r="O5" i="169"/>
  <c r="O5" i="170"/>
  <c r="Q7" i="168"/>
  <c r="Q6" i="168" s="1"/>
  <c r="Q24" i="170"/>
  <c r="Q18" i="170" s="1"/>
  <c r="Q6" i="170"/>
  <c r="U24" i="170"/>
  <c r="U18" i="170" s="1"/>
  <c r="U5" i="170" s="1"/>
  <c r="R18" i="170"/>
  <c r="R5" i="170" s="1"/>
  <c r="P6" i="170"/>
  <c r="P5" i="170" s="1"/>
  <c r="P57" i="170" s="1"/>
  <c r="U5" i="169"/>
  <c r="Q6" i="169"/>
  <c r="Q5" i="169" s="1"/>
  <c r="U6" i="168"/>
  <c r="P6" i="168"/>
  <c r="R6" i="168"/>
  <c r="Q5" i="167"/>
  <c r="P6" i="167"/>
  <c r="P5" i="167" s="1"/>
  <c r="M21" i="160"/>
  <c r="M22" i="159"/>
  <c r="M48" i="159"/>
  <c r="Q5" i="170" l="1"/>
  <c r="G27" i="160"/>
  <c r="G21" i="160"/>
  <c r="G28" i="159"/>
  <c r="G22" i="159"/>
  <c r="G48" i="159"/>
  <c r="G27" i="158"/>
  <c r="G21" i="158"/>
  <c r="G50" i="158"/>
  <c r="F30" i="160"/>
  <c r="F27" i="160"/>
  <c r="F24" i="160"/>
  <c r="F21" i="160"/>
  <c r="F53" i="160"/>
  <c r="F50" i="160"/>
  <c r="F28" i="159"/>
  <c r="F25" i="159"/>
  <c r="F22" i="159"/>
  <c r="F54" i="159"/>
  <c r="F51" i="159"/>
  <c r="F48" i="159"/>
  <c r="F39" i="158"/>
  <c r="F33" i="158"/>
  <c r="F27" i="158"/>
  <c r="F24" i="158"/>
  <c r="F21" i="158"/>
  <c r="F53" i="158"/>
  <c r="N25" i="159" l="1"/>
  <c r="N15" i="162"/>
  <c r="N12" i="162"/>
  <c r="N24" i="162" l="1"/>
  <c r="H9" i="150" l="1"/>
  <c r="F26" i="150"/>
  <c r="D10" i="163"/>
  <c r="C10" i="163"/>
  <c r="E9" i="163"/>
  <c r="E8" i="163"/>
  <c r="E7" i="163"/>
  <c r="E6" i="163"/>
  <c r="E5" i="163"/>
  <c r="E4" i="163"/>
  <c r="N33" i="160"/>
  <c r="N27" i="160"/>
  <c r="N24" i="160"/>
  <c r="N21" i="160"/>
  <c r="N53" i="160"/>
  <c r="N34" i="159"/>
  <c r="N28" i="159"/>
  <c r="N22" i="159"/>
  <c r="N54" i="159"/>
  <c r="N51" i="159"/>
  <c r="N48" i="159"/>
  <c r="N42" i="158"/>
  <c r="N39" i="158"/>
  <c r="N33" i="158"/>
  <c r="N30" i="158"/>
  <c r="N27" i="158"/>
  <c r="N24" i="158"/>
  <c r="N21" i="158"/>
  <c r="N53" i="158"/>
  <c r="N50" i="158"/>
  <c r="E10" i="163" l="1"/>
  <c r="E22" i="159"/>
  <c r="E27" i="160"/>
  <c r="E24" i="160"/>
  <c r="E53" i="160"/>
  <c r="E28" i="159"/>
  <c r="E25" i="159"/>
  <c r="E54" i="159"/>
  <c r="E51" i="159"/>
  <c r="E48" i="159"/>
  <c r="E39" i="158"/>
  <c r="E27" i="158"/>
  <c r="E24" i="158"/>
  <c r="E21" i="158"/>
  <c r="F45" i="161" l="1"/>
  <c r="G45" i="161"/>
  <c r="H45" i="161"/>
  <c r="I45" i="161"/>
  <c r="J45" i="161"/>
  <c r="K45" i="161"/>
  <c r="L45" i="161"/>
  <c r="M45" i="161"/>
  <c r="N45" i="161"/>
  <c r="F46" i="161"/>
  <c r="G46" i="161"/>
  <c r="H46" i="161"/>
  <c r="I46" i="161"/>
  <c r="J46" i="161"/>
  <c r="K46" i="161"/>
  <c r="L46" i="161"/>
  <c r="M46" i="161"/>
  <c r="N46" i="161"/>
  <c r="F47" i="161"/>
  <c r="G47" i="161"/>
  <c r="H47" i="161"/>
  <c r="I47" i="161"/>
  <c r="J47" i="161"/>
  <c r="K47" i="161"/>
  <c r="L47" i="161"/>
  <c r="M47" i="161"/>
  <c r="N47" i="161"/>
  <c r="F48" i="161"/>
  <c r="G48" i="161"/>
  <c r="H48" i="161"/>
  <c r="I48" i="161"/>
  <c r="J48" i="161"/>
  <c r="K48" i="161"/>
  <c r="L48" i="161"/>
  <c r="M48" i="161"/>
  <c r="N48" i="161"/>
  <c r="F49" i="161"/>
  <c r="G49" i="161"/>
  <c r="H49" i="161"/>
  <c r="I49" i="161"/>
  <c r="J49" i="161"/>
  <c r="K49" i="161"/>
  <c r="L49" i="161"/>
  <c r="M49" i="161"/>
  <c r="N49" i="161"/>
  <c r="F50" i="161"/>
  <c r="G50" i="161"/>
  <c r="H50" i="161"/>
  <c r="I50" i="161"/>
  <c r="J50" i="161"/>
  <c r="K50" i="161"/>
  <c r="L50" i="161"/>
  <c r="M50" i="161"/>
  <c r="N50" i="161"/>
  <c r="F51" i="161"/>
  <c r="G51" i="161"/>
  <c r="H51" i="161"/>
  <c r="I51" i="161"/>
  <c r="J51" i="161"/>
  <c r="K51" i="161"/>
  <c r="L51" i="161"/>
  <c r="M51" i="161"/>
  <c r="N51" i="161"/>
  <c r="F52" i="161"/>
  <c r="G52" i="161"/>
  <c r="H52" i="161"/>
  <c r="I52" i="161"/>
  <c r="J52" i="161"/>
  <c r="K52" i="161"/>
  <c r="L52" i="161"/>
  <c r="M52" i="161"/>
  <c r="N52" i="161"/>
  <c r="F53" i="161"/>
  <c r="G53" i="161"/>
  <c r="H53" i="161"/>
  <c r="I53" i="161"/>
  <c r="J53" i="161"/>
  <c r="K53" i="161"/>
  <c r="L53" i="161"/>
  <c r="M53" i="161"/>
  <c r="N53" i="161"/>
  <c r="E46" i="161"/>
  <c r="E47" i="161"/>
  <c r="E48" i="161"/>
  <c r="E49" i="161"/>
  <c r="E50" i="161"/>
  <c r="E51" i="161"/>
  <c r="E52" i="161"/>
  <c r="E53" i="161"/>
  <c r="E45" i="161"/>
  <c r="N19" i="161"/>
  <c r="N20" i="161"/>
  <c r="N21" i="161"/>
  <c r="N22" i="161"/>
  <c r="N23" i="161"/>
  <c r="N24" i="161"/>
  <c r="N25" i="161"/>
  <c r="N26" i="161"/>
  <c r="N27" i="161"/>
  <c r="N28" i="161"/>
  <c r="N29" i="161"/>
  <c r="N30" i="161"/>
  <c r="N31" i="161"/>
  <c r="N32" i="161"/>
  <c r="N33" i="161"/>
  <c r="N34" i="161"/>
  <c r="N35" i="161"/>
  <c r="N36" i="161"/>
  <c r="N37" i="161"/>
  <c r="N38" i="161"/>
  <c r="N39" i="161"/>
  <c r="N40" i="161"/>
  <c r="N41" i="161"/>
  <c r="N42" i="161"/>
  <c r="N43" i="161"/>
  <c r="F19" i="161"/>
  <c r="G19" i="161"/>
  <c r="H19" i="161"/>
  <c r="I19" i="161"/>
  <c r="J19" i="161"/>
  <c r="K19" i="161"/>
  <c r="L19" i="161"/>
  <c r="M19" i="161"/>
  <c r="F20" i="161"/>
  <c r="G20" i="161"/>
  <c r="H20" i="161"/>
  <c r="I20" i="161"/>
  <c r="J20" i="161"/>
  <c r="K20" i="161"/>
  <c r="L20" i="161"/>
  <c r="M20" i="161"/>
  <c r="F21" i="161"/>
  <c r="G21" i="161"/>
  <c r="H21" i="161"/>
  <c r="I21" i="161"/>
  <c r="J21" i="161"/>
  <c r="K21" i="161"/>
  <c r="L21" i="161"/>
  <c r="M21" i="161"/>
  <c r="F22" i="161"/>
  <c r="G22" i="161"/>
  <c r="H22" i="161"/>
  <c r="I22" i="161"/>
  <c r="J22" i="161"/>
  <c r="K22" i="161"/>
  <c r="L22" i="161"/>
  <c r="M22" i="161"/>
  <c r="F23" i="161"/>
  <c r="G23" i="161"/>
  <c r="H23" i="161"/>
  <c r="I23" i="161"/>
  <c r="J23" i="161"/>
  <c r="K23" i="161"/>
  <c r="L23" i="161"/>
  <c r="M23" i="161"/>
  <c r="F24" i="161"/>
  <c r="G24" i="161"/>
  <c r="H24" i="161"/>
  <c r="I24" i="161"/>
  <c r="J24" i="161"/>
  <c r="K24" i="161"/>
  <c r="L24" i="161"/>
  <c r="M24" i="161"/>
  <c r="F25" i="161"/>
  <c r="G25" i="161"/>
  <c r="H25" i="161"/>
  <c r="I25" i="161"/>
  <c r="J25" i="161"/>
  <c r="K25" i="161"/>
  <c r="L25" i="161"/>
  <c r="M25" i="161"/>
  <c r="F26" i="161"/>
  <c r="G26" i="161"/>
  <c r="H26" i="161"/>
  <c r="I26" i="161"/>
  <c r="J26" i="161"/>
  <c r="K26" i="161"/>
  <c r="L26" i="161"/>
  <c r="M26" i="161"/>
  <c r="F27" i="161"/>
  <c r="G27" i="161"/>
  <c r="H27" i="161"/>
  <c r="I27" i="161"/>
  <c r="J27" i="161"/>
  <c r="K27" i="161"/>
  <c r="L27" i="161"/>
  <c r="M27" i="161"/>
  <c r="F28" i="161"/>
  <c r="G28" i="161"/>
  <c r="H28" i="161"/>
  <c r="I28" i="161"/>
  <c r="J28" i="161"/>
  <c r="K28" i="161"/>
  <c r="L28" i="161"/>
  <c r="M28" i="161"/>
  <c r="F29" i="161"/>
  <c r="G29" i="161"/>
  <c r="H29" i="161"/>
  <c r="O29" i="161" s="1"/>
  <c r="I29" i="161"/>
  <c r="J29" i="161"/>
  <c r="K29" i="161"/>
  <c r="L29" i="161"/>
  <c r="M29" i="161"/>
  <c r="F30" i="161"/>
  <c r="G30" i="161"/>
  <c r="H30" i="161"/>
  <c r="I30" i="161"/>
  <c r="J30" i="161"/>
  <c r="K30" i="161"/>
  <c r="L30" i="161"/>
  <c r="M30" i="161"/>
  <c r="F31" i="161"/>
  <c r="G31" i="161"/>
  <c r="H31" i="161"/>
  <c r="I31" i="161"/>
  <c r="J31" i="161"/>
  <c r="K31" i="161"/>
  <c r="L31" i="161"/>
  <c r="M31" i="161"/>
  <c r="F32" i="161"/>
  <c r="G32" i="161"/>
  <c r="H32" i="161"/>
  <c r="I32" i="161"/>
  <c r="J32" i="161"/>
  <c r="K32" i="161"/>
  <c r="L32" i="161"/>
  <c r="M32" i="161"/>
  <c r="F33" i="161"/>
  <c r="G33" i="161"/>
  <c r="H33" i="161"/>
  <c r="I33" i="161"/>
  <c r="J33" i="161"/>
  <c r="K33" i="161"/>
  <c r="L33" i="161"/>
  <c r="M33" i="161"/>
  <c r="F34" i="161"/>
  <c r="G34" i="161"/>
  <c r="H34" i="161"/>
  <c r="I34" i="161"/>
  <c r="J34" i="161"/>
  <c r="K34" i="161"/>
  <c r="L34" i="161"/>
  <c r="M34" i="161"/>
  <c r="F35" i="161"/>
  <c r="G35" i="161"/>
  <c r="H35" i="161"/>
  <c r="I35" i="161"/>
  <c r="J35" i="161"/>
  <c r="K35" i="161"/>
  <c r="L35" i="161"/>
  <c r="M35" i="161"/>
  <c r="F36" i="161"/>
  <c r="G36" i="161"/>
  <c r="H36" i="161"/>
  <c r="I36" i="161"/>
  <c r="J36" i="161"/>
  <c r="K36" i="161"/>
  <c r="L36" i="161"/>
  <c r="M36" i="161"/>
  <c r="F37" i="161"/>
  <c r="G37" i="161"/>
  <c r="H37" i="161"/>
  <c r="I37" i="161"/>
  <c r="J37" i="161"/>
  <c r="K37" i="161"/>
  <c r="L37" i="161"/>
  <c r="M37" i="161"/>
  <c r="F38" i="161"/>
  <c r="G38" i="161"/>
  <c r="H38" i="161"/>
  <c r="I38" i="161"/>
  <c r="J38" i="161"/>
  <c r="K38" i="161"/>
  <c r="L38" i="161"/>
  <c r="M38" i="161"/>
  <c r="F39" i="161"/>
  <c r="G39" i="161"/>
  <c r="H39" i="161"/>
  <c r="I39" i="161"/>
  <c r="J39" i="161"/>
  <c r="K39" i="161"/>
  <c r="L39" i="161"/>
  <c r="M39" i="161"/>
  <c r="F40" i="161"/>
  <c r="G40" i="161"/>
  <c r="H40" i="161"/>
  <c r="I40" i="161"/>
  <c r="J40" i="161"/>
  <c r="K40" i="161"/>
  <c r="L40" i="161"/>
  <c r="M40" i="161"/>
  <c r="F41" i="161"/>
  <c r="G41" i="161"/>
  <c r="H41" i="161"/>
  <c r="I41" i="161"/>
  <c r="J41" i="161"/>
  <c r="K41" i="161"/>
  <c r="L41" i="161"/>
  <c r="M41" i="161"/>
  <c r="F42" i="161"/>
  <c r="G42" i="161"/>
  <c r="H42" i="161"/>
  <c r="I42" i="161"/>
  <c r="J42" i="161"/>
  <c r="K42" i="161"/>
  <c r="L42" i="161"/>
  <c r="M42" i="161"/>
  <c r="F43" i="161"/>
  <c r="G43" i="161"/>
  <c r="H43" i="161"/>
  <c r="I43" i="161"/>
  <c r="J43" i="161"/>
  <c r="K43" i="161"/>
  <c r="L43" i="161"/>
  <c r="M43" i="161"/>
  <c r="E20" i="161"/>
  <c r="E21" i="161"/>
  <c r="E22" i="161"/>
  <c r="E23" i="161"/>
  <c r="E24" i="161"/>
  <c r="E25" i="161"/>
  <c r="E26" i="161"/>
  <c r="E27" i="161"/>
  <c r="E28" i="161"/>
  <c r="E29" i="161"/>
  <c r="E30" i="161"/>
  <c r="E31" i="161"/>
  <c r="E32" i="161"/>
  <c r="E33" i="161"/>
  <c r="E34" i="161"/>
  <c r="E35" i="161"/>
  <c r="E36" i="161"/>
  <c r="E37" i="161"/>
  <c r="E38" i="161"/>
  <c r="E39" i="161"/>
  <c r="E40" i="161"/>
  <c r="E41" i="161"/>
  <c r="E42" i="161"/>
  <c r="E43" i="161"/>
  <c r="E19" i="161"/>
  <c r="F12" i="161"/>
  <c r="G12" i="161"/>
  <c r="H12" i="161"/>
  <c r="I12" i="161"/>
  <c r="J12" i="161"/>
  <c r="K12" i="161"/>
  <c r="L12" i="161"/>
  <c r="M12" i="161"/>
  <c r="N12" i="161"/>
  <c r="F13" i="161"/>
  <c r="G13" i="161"/>
  <c r="H13" i="161"/>
  <c r="I13" i="161"/>
  <c r="J13" i="161"/>
  <c r="K13" i="161"/>
  <c r="L13" i="161"/>
  <c r="M13" i="161"/>
  <c r="N13" i="161"/>
  <c r="F14" i="161"/>
  <c r="G14" i="161"/>
  <c r="H14" i="161"/>
  <c r="I14" i="161"/>
  <c r="J14" i="161"/>
  <c r="K14" i="161"/>
  <c r="L14" i="161"/>
  <c r="M14" i="161"/>
  <c r="N14" i="161"/>
  <c r="F15" i="161"/>
  <c r="G15" i="161"/>
  <c r="H15" i="161"/>
  <c r="I15" i="161"/>
  <c r="J15" i="161"/>
  <c r="K15" i="161"/>
  <c r="L15" i="161"/>
  <c r="M15" i="161"/>
  <c r="N15" i="161"/>
  <c r="F16" i="161"/>
  <c r="G16" i="161"/>
  <c r="H16" i="161"/>
  <c r="I16" i="161"/>
  <c r="J16" i="161"/>
  <c r="K16" i="161"/>
  <c r="L16" i="161"/>
  <c r="M16" i="161"/>
  <c r="N16" i="161"/>
  <c r="F17" i="161"/>
  <c r="G17" i="161"/>
  <c r="H17" i="161"/>
  <c r="I17" i="161"/>
  <c r="J17" i="161"/>
  <c r="K17" i="161"/>
  <c r="L17" i="161"/>
  <c r="M17" i="161"/>
  <c r="N17" i="161"/>
  <c r="E13" i="161"/>
  <c r="E14" i="161"/>
  <c r="E15" i="161"/>
  <c r="E16" i="161"/>
  <c r="E17" i="161"/>
  <c r="E12" i="161"/>
  <c r="F8" i="161"/>
  <c r="G8" i="161"/>
  <c r="H8" i="161"/>
  <c r="I8" i="161"/>
  <c r="J8" i="161"/>
  <c r="K8" i="161"/>
  <c r="L8" i="161"/>
  <c r="M8" i="161"/>
  <c r="N8" i="161"/>
  <c r="F9" i="161"/>
  <c r="G9" i="161"/>
  <c r="H9" i="161"/>
  <c r="I9" i="161"/>
  <c r="J9" i="161"/>
  <c r="K9" i="161"/>
  <c r="L9" i="161"/>
  <c r="M9" i="161"/>
  <c r="N9" i="161"/>
  <c r="F10" i="161"/>
  <c r="G10" i="161"/>
  <c r="H10" i="161"/>
  <c r="I10" i="161"/>
  <c r="J10" i="161"/>
  <c r="K10" i="161"/>
  <c r="L10" i="161"/>
  <c r="M10" i="161"/>
  <c r="N10" i="161"/>
  <c r="E9" i="161"/>
  <c r="E7" i="161" s="1"/>
  <c r="E10" i="161"/>
  <c r="E8" i="161"/>
  <c r="O55" i="162"/>
  <c r="O53" i="162"/>
  <c r="O52" i="162"/>
  <c r="P52" i="162" s="1"/>
  <c r="O51" i="162"/>
  <c r="O50" i="162"/>
  <c r="O49" i="162"/>
  <c r="O48" i="162"/>
  <c r="O47" i="162"/>
  <c r="O46" i="162"/>
  <c r="P46" i="162" s="1"/>
  <c r="O45" i="162"/>
  <c r="N44" i="162"/>
  <c r="M44" i="162"/>
  <c r="L44" i="162"/>
  <c r="K44" i="162"/>
  <c r="J44" i="162"/>
  <c r="I44" i="162"/>
  <c r="H44" i="162"/>
  <c r="G44" i="162"/>
  <c r="F44" i="162"/>
  <c r="E44" i="162"/>
  <c r="O43" i="162"/>
  <c r="O42" i="162"/>
  <c r="P42" i="162" s="1"/>
  <c r="O41" i="162"/>
  <c r="O40" i="162"/>
  <c r="O39" i="162"/>
  <c r="O38" i="162"/>
  <c r="O37" i="162"/>
  <c r="O36" i="162"/>
  <c r="P36" i="162" s="1"/>
  <c r="O35" i="162"/>
  <c r="O34" i="162"/>
  <c r="O33" i="162"/>
  <c r="O32" i="162"/>
  <c r="O31" i="162"/>
  <c r="O30" i="162"/>
  <c r="P30" i="162" s="1"/>
  <c r="O29" i="162"/>
  <c r="O28" i="162"/>
  <c r="O27" i="162"/>
  <c r="O26" i="162"/>
  <c r="P26" i="162" s="1"/>
  <c r="O25" i="162"/>
  <c r="P25" i="162" s="1"/>
  <c r="O24" i="162"/>
  <c r="O23" i="162"/>
  <c r="O22" i="162"/>
  <c r="O21" i="162"/>
  <c r="O20" i="162"/>
  <c r="P20" i="162" s="1"/>
  <c r="O19" i="162"/>
  <c r="P19" i="162" s="1"/>
  <c r="N18" i="162"/>
  <c r="M18" i="162"/>
  <c r="L18" i="162"/>
  <c r="K18" i="162"/>
  <c r="J18" i="162"/>
  <c r="I18" i="162"/>
  <c r="H18" i="162"/>
  <c r="G18" i="162"/>
  <c r="F18" i="162"/>
  <c r="E18" i="162"/>
  <c r="O17" i="162"/>
  <c r="R17" i="162" s="1"/>
  <c r="U17" i="162" s="1"/>
  <c r="O16" i="162"/>
  <c r="O15" i="162"/>
  <c r="R15" i="162" s="1"/>
  <c r="O14" i="162"/>
  <c r="P14" i="162" s="1"/>
  <c r="O13" i="162"/>
  <c r="R13" i="162" s="1"/>
  <c r="U13" i="162" s="1"/>
  <c r="O12" i="162"/>
  <c r="R12" i="162" s="1"/>
  <c r="N11" i="162"/>
  <c r="M11" i="162"/>
  <c r="L11" i="162"/>
  <c r="K11" i="162"/>
  <c r="J11" i="162"/>
  <c r="I11" i="162"/>
  <c r="H11" i="162"/>
  <c r="G11" i="162"/>
  <c r="F11" i="162"/>
  <c r="E11" i="162"/>
  <c r="O10" i="162"/>
  <c r="P10" i="162" s="1"/>
  <c r="O9" i="162"/>
  <c r="R9" i="162" s="1"/>
  <c r="U9" i="162" s="1"/>
  <c r="D9" i="162"/>
  <c r="O8" i="162"/>
  <c r="N7" i="162"/>
  <c r="M7" i="162"/>
  <c r="L7" i="162"/>
  <c r="K7" i="162"/>
  <c r="J7" i="162"/>
  <c r="I7" i="162"/>
  <c r="H7" i="162"/>
  <c r="G7" i="162"/>
  <c r="F7" i="162"/>
  <c r="E7" i="162"/>
  <c r="N6" i="162"/>
  <c r="M6" i="162"/>
  <c r="M5" i="162" s="1"/>
  <c r="L6" i="162"/>
  <c r="K6" i="162"/>
  <c r="K5" i="162" s="1"/>
  <c r="J6" i="162"/>
  <c r="J5" i="162" s="1"/>
  <c r="I6" i="162"/>
  <c r="I5" i="162" s="1"/>
  <c r="H6" i="162"/>
  <c r="G6" i="162"/>
  <c r="G5" i="162" s="1"/>
  <c r="F6" i="162"/>
  <c r="E6" i="162"/>
  <c r="L5" i="162"/>
  <c r="F5" i="162"/>
  <c r="N44" i="161"/>
  <c r="M44" i="161"/>
  <c r="L44" i="161"/>
  <c r="K44" i="161"/>
  <c r="J44" i="161"/>
  <c r="I44" i="161"/>
  <c r="G44" i="161"/>
  <c r="F44" i="161"/>
  <c r="E44" i="161"/>
  <c r="O42" i="161"/>
  <c r="O41" i="161"/>
  <c r="O40" i="161"/>
  <c r="O38" i="161"/>
  <c r="O37" i="161"/>
  <c r="O36" i="161"/>
  <c r="O35" i="161"/>
  <c r="O34" i="161"/>
  <c r="O33" i="161"/>
  <c r="O31" i="161"/>
  <c r="O28" i="161"/>
  <c r="O25" i="161"/>
  <c r="O24" i="161"/>
  <c r="O21" i="161"/>
  <c r="P18" i="161"/>
  <c r="N18" i="161"/>
  <c r="M18" i="161"/>
  <c r="L18" i="161"/>
  <c r="K18" i="161"/>
  <c r="J18" i="161"/>
  <c r="I18" i="161"/>
  <c r="G18" i="161"/>
  <c r="F18" i="161"/>
  <c r="E18" i="161"/>
  <c r="O16" i="161"/>
  <c r="O14" i="161"/>
  <c r="O12" i="161"/>
  <c r="P11" i="161"/>
  <c r="N11" i="161"/>
  <c r="M11" i="161"/>
  <c r="L11" i="161"/>
  <c r="K11" i="161"/>
  <c r="J11" i="161"/>
  <c r="I11" i="161"/>
  <c r="G11" i="161"/>
  <c r="F11" i="161"/>
  <c r="O10" i="161"/>
  <c r="O9" i="161"/>
  <c r="D9" i="161"/>
  <c r="O8" i="161"/>
  <c r="P7" i="161"/>
  <c r="N7" i="161"/>
  <c r="M7" i="161"/>
  <c r="L7" i="161"/>
  <c r="L6" i="161" s="1"/>
  <c r="L5" i="161" s="1"/>
  <c r="K7" i="161"/>
  <c r="J7" i="161"/>
  <c r="J6" i="161" s="1"/>
  <c r="J5" i="161" s="1"/>
  <c r="I7" i="161"/>
  <c r="H7" i="161"/>
  <c r="G7" i="161"/>
  <c r="F7" i="161"/>
  <c r="M6" i="161"/>
  <c r="K6" i="161"/>
  <c r="K5" i="161" s="1"/>
  <c r="I6" i="161"/>
  <c r="I5" i="161" s="1"/>
  <c r="G6" i="161"/>
  <c r="O53" i="160"/>
  <c r="O52" i="160"/>
  <c r="O51" i="160"/>
  <c r="P51" i="160" s="1"/>
  <c r="O50" i="160"/>
  <c r="O49" i="160"/>
  <c r="P49" i="160" s="1"/>
  <c r="O48" i="160"/>
  <c r="P48" i="160" s="1"/>
  <c r="O47" i="160"/>
  <c r="P46" i="160"/>
  <c r="O46" i="160"/>
  <c r="O45" i="160"/>
  <c r="P45" i="160" s="1"/>
  <c r="N44" i="160"/>
  <c r="M44" i="160"/>
  <c r="K44" i="160"/>
  <c r="J44" i="160"/>
  <c r="I44" i="160"/>
  <c r="H44" i="160"/>
  <c r="G44" i="160"/>
  <c r="F44" i="160"/>
  <c r="E44" i="160"/>
  <c r="O43" i="160"/>
  <c r="R43" i="160" s="1"/>
  <c r="O42" i="160"/>
  <c r="P41" i="160"/>
  <c r="O41" i="160"/>
  <c r="R41" i="160" s="1"/>
  <c r="U41" i="160" s="1"/>
  <c r="O40" i="160"/>
  <c r="R40" i="160" s="1"/>
  <c r="O39" i="160"/>
  <c r="O38" i="160"/>
  <c r="R38" i="160" s="1"/>
  <c r="U38" i="160" s="1"/>
  <c r="O37" i="160"/>
  <c r="R37" i="160" s="1"/>
  <c r="O36" i="160"/>
  <c r="O35" i="160"/>
  <c r="P35" i="160" s="1"/>
  <c r="O34" i="160"/>
  <c r="R34" i="160" s="1"/>
  <c r="O33" i="160"/>
  <c r="O32" i="160"/>
  <c r="O31" i="160"/>
  <c r="O30" i="160"/>
  <c r="O29" i="160"/>
  <c r="O28" i="160"/>
  <c r="O27" i="160"/>
  <c r="O26" i="160"/>
  <c r="O25" i="160"/>
  <c r="O24" i="160"/>
  <c r="O23" i="160"/>
  <c r="O22" i="160"/>
  <c r="O21" i="160"/>
  <c r="O20" i="160"/>
  <c r="O19" i="160"/>
  <c r="N18" i="160"/>
  <c r="M18" i="160"/>
  <c r="K18" i="160"/>
  <c r="J18" i="160"/>
  <c r="I18" i="160"/>
  <c r="H18" i="160"/>
  <c r="G18" i="160"/>
  <c r="F18" i="160"/>
  <c r="F5" i="160" s="1"/>
  <c r="E18" i="160"/>
  <c r="R17" i="160"/>
  <c r="U17" i="160" s="1"/>
  <c r="P17" i="160"/>
  <c r="O17" i="160"/>
  <c r="Q17" i="160" s="1"/>
  <c r="O16" i="160"/>
  <c r="O15" i="160"/>
  <c r="R14" i="160"/>
  <c r="U14" i="160" s="1"/>
  <c r="P14" i="160"/>
  <c r="O14" i="160"/>
  <c r="Q14" i="160" s="1"/>
  <c r="O13" i="160"/>
  <c r="O12" i="160"/>
  <c r="O11" i="160"/>
  <c r="N11" i="160"/>
  <c r="M11" i="160"/>
  <c r="K11" i="160"/>
  <c r="J11" i="160"/>
  <c r="I11" i="160"/>
  <c r="H11" i="160"/>
  <c r="G11" i="160"/>
  <c r="F11" i="160"/>
  <c r="E11" i="160"/>
  <c r="O10" i="160"/>
  <c r="P9" i="160"/>
  <c r="O9" i="160"/>
  <c r="Q9" i="160" s="1"/>
  <c r="D9" i="160"/>
  <c r="R9" i="160" s="1"/>
  <c r="U9" i="160" s="1"/>
  <c r="O8" i="160"/>
  <c r="R8" i="160" s="1"/>
  <c r="N7" i="160"/>
  <c r="N6" i="160" s="1"/>
  <c r="N5" i="160" s="1"/>
  <c r="M7" i="160"/>
  <c r="K7" i="160"/>
  <c r="K6" i="160" s="1"/>
  <c r="K5" i="160" s="1"/>
  <c r="J7" i="160"/>
  <c r="I7" i="160"/>
  <c r="I6" i="160" s="1"/>
  <c r="I5" i="160" s="1"/>
  <c r="H7" i="160"/>
  <c r="G7" i="160"/>
  <c r="G6" i="160" s="1"/>
  <c r="G5" i="160" s="1"/>
  <c r="F7" i="160"/>
  <c r="E7" i="160"/>
  <c r="E6" i="160" s="1"/>
  <c r="E5" i="160" s="1"/>
  <c r="M6" i="160"/>
  <c r="J6" i="160"/>
  <c r="H6" i="160"/>
  <c r="F6" i="160"/>
  <c r="M5" i="160"/>
  <c r="J5" i="160"/>
  <c r="H5" i="160"/>
  <c r="O47" i="161"/>
  <c r="P47" i="161" s="1"/>
  <c r="O46" i="161"/>
  <c r="P46" i="161" s="1"/>
  <c r="O45" i="161"/>
  <c r="P45" i="161" s="1"/>
  <c r="N45" i="159"/>
  <c r="M45" i="159"/>
  <c r="L45" i="159"/>
  <c r="K45" i="159"/>
  <c r="J45" i="159"/>
  <c r="I45" i="159"/>
  <c r="H45" i="159"/>
  <c r="G45" i="159"/>
  <c r="F45" i="159"/>
  <c r="E45" i="159"/>
  <c r="N19" i="159"/>
  <c r="M19" i="159"/>
  <c r="L19" i="159"/>
  <c r="K19" i="159"/>
  <c r="J19" i="159"/>
  <c r="I19" i="159"/>
  <c r="H19" i="159"/>
  <c r="G19" i="159"/>
  <c r="F19" i="159"/>
  <c r="E19" i="159"/>
  <c r="N12" i="159"/>
  <c r="M12" i="159"/>
  <c r="L12" i="159"/>
  <c r="K12" i="159"/>
  <c r="J12" i="159"/>
  <c r="I12" i="159"/>
  <c r="H12" i="159"/>
  <c r="G12" i="159"/>
  <c r="F12" i="159"/>
  <c r="E12" i="159"/>
  <c r="U10" i="159"/>
  <c r="D10" i="159"/>
  <c r="N8" i="159"/>
  <c r="M8" i="159"/>
  <c r="L8" i="159"/>
  <c r="K8" i="159"/>
  <c r="J8" i="159"/>
  <c r="I8" i="159"/>
  <c r="H8" i="159"/>
  <c r="G8" i="159"/>
  <c r="F8" i="159"/>
  <c r="E8" i="159"/>
  <c r="N7" i="159"/>
  <c r="M7" i="159"/>
  <c r="L7" i="159"/>
  <c r="K7" i="159"/>
  <c r="K6" i="159" s="1"/>
  <c r="J7" i="159"/>
  <c r="I7" i="159"/>
  <c r="I6" i="159" s="1"/>
  <c r="H7" i="159"/>
  <c r="H6" i="159" s="1"/>
  <c r="G7" i="159"/>
  <c r="G6" i="159" s="1"/>
  <c r="F7" i="159"/>
  <c r="F6" i="159" s="1"/>
  <c r="E7" i="159"/>
  <c r="E6" i="159" s="1"/>
  <c r="N6" i="159"/>
  <c r="L6" i="159"/>
  <c r="J6" i="159"/>
  <c r="O53" i="158"/>
  <c r="O53" i="161" s="1"/>
  <c r="P53" i="161" s="1"/>
  <c r="O52" i="158"/>
  <c r="O52" i="161" s="1"/>
  <c r="P52" i="161" s="1"/>
  <c r="O51" i="158"/>
  <c r="O51" i="161" s="1"/>
  <c r="P51" i="161" s="1"/>
  <c r="O50" i="158"/>
  <c r="P50" i="158" s="1"/>
  <c r="O49" i="158"/>
  <c r="O48" i="158"/>
  <c r="O47" i="158"/>
  <c r="O46" i="158"/>
  <c r="O45" i="158"/>
  <c r="N44" i="158"/>
  <c r="M44" i="158"/>
  <c r="L44" i="158"/>
  <c r="K44" i="158"/>
  <c r="J44" i="158"/>
  <c r="I44" i="158"/>
  <c r="H44" i="158"/>
  <c r="G44" i="158"/>
  <c r="F44" i="158"/>
  <c r="E44" i="158"/>
  <c r="O43" i="158"/>
  <c r="O42" i="158"/>
  <c r="O41" i="158"/>
  <c r="P41" i="158" s="1"/>
  <c r="O40" i="158"/>
  <c r="O39" i="158"/>
  <c r="O38" i="158"/>
  <c r="O37" i="158"/>
  <c r="P37" i="158" s="1"/>
  <c r="O36" i="158"/>
  <c r="P35" i="158"/>
  <c r="O35" i="158"/>
  <c r="O34" i="158"/>
  <c r="O33" i="158"/>
  <c r="O32" i="158"/>
  <c r="O31" i="158"/>
  <c r="O30" i="158"/>
  <c r="O29" i="158"/>
  <c r="O28" i="158"/>
  <c r="O27" i="158"/>
  <c r="O26" i="158"/>
  <c r="O25" i="158"/>
  <c r="P25" i="158" s="1"/>
  <c r="O24" i="158"/>
  <c r="O23" i="158"/>
  <c r="P23" i="158" s="1"/>
  <c r="O22" i="158"/>
  <c r="O21" i="158"/>
  <c r="O20" i="158"/>
  <c r="O19" i="158"/>
  <c r="P19" i="158" s="1"/>
  <c r="N18" i="158"/>
  <c r="M18" i="158"/>
  <c r="M5" i="158" s="1"/>
  <c r="L18" i="158"/>
  <c r="K18" i="158"/>
  <c r="J18" i="158"/>
  <c r="I18" i="158"/>
  <c r="H18" i="158"/>
  <c r="H5" i="158" s="1"/>
  <c r="G18" i="158"/>
  <c r="F18" i="158"/>
  <c r="E18" i="158"/>
  <c r="R17" i="158"/>
  <c r="U17" i="158" s="1"/>
  <c r="P17" i="158"/>
  <c r="O17" i="158"/>
  <c r="Q17" i="158" s="1"/>
  <c r="O16" i="158"/>
  <c r="O15" i="158"/>
  <c r="R14" i="158"/>
  <c r="U14" i="158" s="1"/>
  <c r="P14" i="158"/>
  <c r="O14" i="158"/>
  <c r="O13" i="158"/>
  <c r="O12" i="158"/>
  <c r="O11" i="158"/>
  <c r="N11" i="158"/>
  <c r="M11" i="158"/>
  <c r="L11" i="158"/>
  <c r="K11" i="158"/>
  <c r="J11" i="158"/>
  <c r="I11" i="158"/>
  <c r="H11" i="158"/>
  <c r="G11" i="158"/>
  <c r="F11" i="158"/>
  <c r="E11" i="158"/>
  <c r="O10" i="158"/>
  <c r="R10" i="158" s="1"/>
  <c r="U10" i="158" s="1"/>
  <c r="P9" i="158"/>
  <c r="O9" i="158"/>
  <c r="Q9" i="158" s="1"/>
  <c r="D9" i="158"/>
  <c r="R9" i="158" s="1"/>
  <c r="U9" i="158" s="1"/>
  <c r="O8" i="158"/>
  <c r="R8" i="158" s="1"/>
  <c r="R7" i="158" s="1"/>
  <c r="N7" i="158"/>
  <c r="M7" i="158"/>
  <c r="L7" i="158"/>
  <c r="K7" i="158"/>
  <c r="J7" i="158"/>
  <c r="I7" i="158"/>
  <c r="H7" i="158"/>
  <c r="G7" i="158"/>
  <c r="F7" i="158"/>
  <c r="E7" i="158"/>
  <c r="N6" i="158"/>
  <c r="M6" i="158"/>
  <c r="L6" i="158"/>
  <c r="K6" i="158"/>
  <c r="J6" i="158"/>
  <c r="I6" i="158"/>
  <c r="H6" i="158"/>
  <c r="G6" i="158"/>
  <c r="F6" i="158"/>
  <c r="E6" i="158"/>
  <c r="O6" i="158" s="1"/>
  <c r="N5" i="158"/>
  <c r="L5" i="158"/>
  <c r="K5" i="158"/>
  <c r="J5" i="158"/>
  <c r="I5" i="158"/>
  <c r="G5" i="158"/>
  <c r="F5" i="158"/>
  <c r="E5" i="158"/>
  <c r="H54" i="99" l="1"/>
  <c r="P6" i="161"/>
  <c r="M6" i="159"/>
  <c r="M5" i="161"/>
  <c r="O43" i="161"/>
  <c r="O39" i="161"/>
  <c r="O32" i="161"/>
  <c r="O30" i="161"/>
  <c r="O27" i="161"/>
  <c r="O26" i="161"/>
  <c r="O23" i="161"/>
  <c r="O22" i="161"/>
  <c r="G5" i="161"/>
  <c r="O20" i="161"/>
  <c r="O19" i="161"/>
  <c r="F6" i="161"/>
  <c r="F5" i="161"/>
  <c r="H5" i="162"/>
  <c r="H11" i="161"/>
  <c r="H6" i="161" s="1"/>
  <c r="H18" i="161"/>
  <c r="H44" i="161"/>
  <c r="N5" i="162"/>
  <c r="O11" i="162"/>
  <c r="O17" i="161"/>
  <c r="O15" i="161"/>
  <c r="R15" i="161" s="1"/>
  <c r="O13" i="161"/>
  <c r="N6" i="161"/>
  <c r="N5" i="161" s="1"/>
  <c r="O50" i="161"/>
  <c r="O49" i="161"/>
  <c r="P49" i="161" s="1"/>
  <c r="O5" i="158"/>
  <c r="O48" i="161"/>
  <c r="P48" i="161" s="1"/>
  <c r="E5" i="162"/>
  <c r="R45" i="162"/>
  <c r="R51" i="162"/>
  <c r="P45" i="162"/>
  <c r="Q45" i="162" s="1"/>
  <c r="Q46" i="162"/>
  <c r="R46" i="162"/>
  <c r="U46" i="162" s="1"/>
  <c r="P51" i="162"/>
  <c r="Q51" i="162" s="1"/>
  <c r="Q52" i="162"/>
  <c r="R52" i="162"/>
  <c r="U52" i="162" s="1"/>
  <c r="Q19" i="162"/>
  <c r="R19" i="162"/>
  <c r="Q25" i="162"/>
  <c r="R25" i="162"/>
  <c r="R33" i="162"/>
  <c r="U33" i="162" s="1"/>
  <c r="R39" i="162"/>
  <c r="U39" i="162" s="1"/>
  <c r="Q20" i="162"/>
  <c r="R20" i="162"/>
  <c r="U20" i="162" s="1"/>
  <c r="Q26" i="162"/>
  <c r="R26" i="162"/>
  <c r="U26" i="162" s="1"/>
  <c r="Q30" i="162"/>
  <c r="R30" i="162"/>
  <c r="U30" i="162" s="1"/>
  <c r="P33" i="162"/>
  <c r="Q33" i="162" s="1"/>
  <c r="Q36" i="162"/>
  <c r="R36" i="162"/>
  <c r="U36" i="162" s="1"/>
  <c r="P39" i="162"/>
  <c r="Q39" i="162" s="1"/>
  <c r="Q42" i="162"/>
  <c r="R42" i="162"/>
  <c r="U42" i="162" s="1"/>
  <c r="Q14" i="162"/>
  <c r="R14" i="162"/>
  <c r="U14" i="162" s="1"/>
  <c r="R8" i="162"/>
  <c r="O7" i="162"/>
  <c r="P8" i="162"/>
  <c r="Q8" i="162" s="1"/>
  <c r="Q10" i="162"/>
  <c r="R10" i="162"/>
  <c r="U10" i="162" s="1"/>
  <c r="E11" i="161"/>
  <c r="E6" i="161" s="1"/>
  <c r="E5" i="161" s="1"/>
  <c r="Q46" i="160"/>
  <c r="R46" i="160"/>
  <c r="U46" i="160" s="1"/>
  <c r="Q48" i="160"/>
  <c r="R48" i="160"/>
  <c r="R52" i="160"/>
  <c r="U52" i="160" s="1"/>
  <c r="Q45" i="160"/>
  <c r="R45" i="160"/>
  <c r="Q49" i="160"/>
  <c r="R49" i="160"/>
  <c r="U49" i="160" s="1"/>
  <c r="Q51" i="160"/>
  <c r="R51" i="160"/>
  <c r="P52" i="160"/>
  <c r="Q52" i="160" s="1"/>
  <c r="R30" i="160"/>
  <c r="U30" i="160" s="1"/>
  <c r="P37" i="160"/>
  <c r="P38" i="160"/>
  <c r="P30" i="160"/>
  <c r="Q30" i="160" s="1"/>
  <c r="Q35" i="160"/>
  <c r="R35" i="160"/>
  <c r="U35" i="160" s="1"/>
  <c r="P43" i="160"/>
  <c r="U50" i="159"/>
  <c r="U31" i="159"/>
  <c r="U39" i="159"/>
  <c r="U36" i="159"/>
  <c r="U42" i="159"/>
  <c r="U14" i="159"/>
  <c r="U17" i="159"/>
  <c r="O8" i="159"/>
  <c r="U11" i="159"/>
  <c r="R8" i="159"/>
  <c r="R47" i="158"/>
  <c r="U47" i="158" s="1"/>
  <c r="P47" i="158"/>
  <c r="Q47" i="158" s="1"/>
  <c r="Q50" i="158"/>
  <c r="R50" i="158"/>
  <c r="U50" i="158" s="1"/>
  <c r="R20" i="158"/>
  <c r="U20" i="158" s="1"/>
  <c r="R22" i="158"/>
  <c r="R34" i="158"/>
  <c r="R38" i="158"/>
  <c r="U38" i="158" s="1"/>
  <c r="R40" i="158"/>
  <c r="Q19" i="158"/>
  <c r="R19" i="158"/>
  <c r="P20" i="158"/>
  <c r="Q20" i="158" s="1"/>
  <c r="P22" i="158"/>
  <c r="Q22" i="158" s="1"/>
  <c r="Q23" i="158"/>
  <c r="R23" i="158"/>
  <c r="U23" i="158" s="1"/>
  <c r="Q25" i="158"/>
  <c r="R25" i="158"/>
  <c r="P34" i="158"/>
  <c r="Q34" i="158" s="1"/>
  <c r="Q35" i="158"/>
  <c r="R35" i="158"/>
  <c r="U35" i="158" s="1"/>
  <c r="Q37" i="158"/>
  <c r="R37" i="158"/>
  <c r="P38" i="158"/>
  <c r="Q38" i="158" s="1"/>
  <c r="P40" i="158"/>
  <c r="Q40" i="158" s="1"/>
  <c r="Q41" i="158"/>
  <c r="R41" i="158"/>
  <c r="U41" i="158" s="1"/>
  <c r="R21" i="162"/>
  <c r="U21" i="162" s="1"/>
  <c r="P21" i="162"/>
  <c r="O18" i="162"/>
  <c r="Q21" i="162"/>
  <c r="R47" i="162"/>
  <c r="U47" i="162" s="1"/>
  <c r="P47" i="162"/>
  <c r="O44" i="162"/>
  <c r="Q47" i="162"/>
  <c r="P9" i="162"/>
  <c r="P7" i="162" s="1"/>
  <c r="P12" i="162"/>
  <c r="P13" i="162"/>
  <c r="Q13" i="162" s="1"/>
  <c r="P15" i="162"/>
  <c r="Q15" i="162" s="1"/>
  <c r="R27" i="162"/>
  <c r="U27" i="162" s="1"/>
  <c r="P27" i="162"/>
  <c r="Q27" i="162" s="1"/>
  <c r="R53" i="162"/>
  <c r="U53" i="162" s="1"/>
  <c r="P53" i="162"/>
  <c r="Q53" i="162" s="1"/>
  <c r="P16" i="162"/>
  <c r="Q16" i="162" s="1"/>
  <c r="R16" i="162"/>
  <c r="U16" i="162" s="1"/>
  <c r="P22" i="162"/>
  <c r="R22" i="162"/>
  <c r="P23" i="162"/>
  <c r="Q23" i="162" s="1"/>
  <c r="R23" i="162"/>
  <c r="U23" i="162" s="1"/>
  <c r="P24" i="162"/>
  <c r="Q24" i="162" s="1"/>
  <c r="R24" i="162"/>
  <c r="U24" i="162" s="1"/>
  <c r="P28" i="162"/>
  <c r="Q28" i="162" s="1"/>
  <c r="R28" i="162"/>
  <c r="P29" i="162"/>
  <c r="Q29" i="162" s="1"/>
  <c r="R29" i="162"/>
  <c r="U29" i="162" s="1"/>
  <c r="P31" i="162"/>
  <c r="Q31" i="162" s="1"/>
  <c r="R31" i="162"/>
  <c r="P32" i="162"/>
  <c r="Q32" i="162" s="1"/>
  <c r="R32" i="162"/>
  <c r="U32" i="162" s="1"/>
  <c r="P34" i="162"/>
  <c r="Q34" i="162" s="1"/>
  <c r="R34" i="162"/>
  <c r="P35" i="162"/>
  <c r="Q35" i="162" s="1"/>
  <c r="R35" i="162"/>
  <c r="U35" i="162" s="1"/>
  <c r="P37" i="162"/>
  <c r="Q37" i="162" s="1"/>
  <c r="R37" i="162"/>
  <c r="P38" i="162"/>
  <c r="Q38" i="162" s="1"/>
  <c r="R38" i="162"/>
  <c r="U38" i="162" s="1"/>
  <c r="P40" i="162"/>
  <c r="Q40" i="162" s="1"/>
  <c r="R40" i="162"/>
  <c r="P41" i="162"/>
  <c r="Q41" i="162" s="1"/>
  <c r="R41" i="162"/>
  <c r="U41" i="162" s="1"/>
  <c r="P43" i="162"/>
  <c r="Q43" i="162" s="1"/>
  <c r="R43" i="162"/>
  <c r="P48" i="162"/>
  <c r="Q48" i="162" s="1"/>
  <c r="R48" i="162"/>
  <c r="P49" i="162"/>
  <c r="Q49" i="162" s="1"/>
  <c r="R49" i="162"/>
  <c r="U49" i="162" s="1"/>
  <c r="P50" i="162"/>
  <c r="Q50" i="162" s="1"/>
  <c r="R50" i="162"/>
  <c r="U50" i="162" s="1"/>
  <c r="P54" i="162"/>
  <c r="R54" i="162"/>
  <c r="P55" i="162"/>
  <c r="P17" i="162"/>
  <c r="Q17" i="162" s="1"/>
  <c r="Q54" i="162"/>
  <c r="Q8" i="161"/>
  <c r="R8" i="161"/>
  <c r="O7" i="161"/>
  <c r="Q10" i="161"/>
  <c r="R10" i="161"/>
  <c r="U10" i="161" s="1"/>
  <c r="R12" i="161"/>
  <c r="Q12" i="161"/>
  <c r="O11" i="161"/>
  <c r="Q14" i="161"/>
  <c r="R14" i="161"/>
  <c r="U14" i="161" s="1"/>
  <c r="R16" i="161"/>
  <c r="U16" i="161" s="1"/>
  <c r="Q16" i="161"/>
  <c r="Q20" i="161"/>
  <c r="R20" i="161"/>
  <c r="U20" i="161" s="1"/>
  <c r="Q22" i="161"/>
  <c r="R22" i="161"/>
  <c r="R24" i="161"/>
  <c r="U24" i="161" s="1"/>
  <c r="Q24" i="161"/>
  <c r="Q26" i="161"/>
  <c r="R26" i="161"/>
  <c r="U26" i="161" s="1"/>
  <c r="Q28" i="161"/>
  <c r="R28" i="161"/>
  <c r="R30" i="161"/>
  <c r="U30" i="161" s="1"/>
  <c r="Q30" i="161"/>
  <c r="Q32" i="161"/>
  <c r="R32" i="161"/>
  <c r="U32" i="161" s="1"/>
  <c r="Q34" i="161"/>
  <c r="R34" i="161"/>
  <c r="R36" i="161"/>
  <c r="U36" i="161" s="1"/>
  <c r="Q36" i="161"/>
  <c r="Q38" i="161"/>
  <c r="R38" i="161"/>
  <c r="U38" i="161" s="1"/>
  <c r="Q40" i="161"/>
  <c r="R40" i="161"/>
  <c r="R42" i="161"/>
  <c r="U42" i="161" s="1"/>
  <c r="Q42" i="161"/>
  <c r="R46" i="161"/>
  <c r="U46" i="161" s="1"/>
  <c r="Q46" i="161"/>
  <c r="R48" i="161"/>
  <c r="Q48" i="161"/>
  <c r="R52" i="161"/>
  <c r="U52" i="161" s="1"/>
  <c r="Q52" i="161"/>
  <c r="R9" i="161"/>
  <c r="U9" i="161" s="1"/>
  <c r="Q9" i="161"/>
  <c r="R13" i="161"/>
  <c r="U13" i="161" s="1"/>
  <c r="Q13" i="161"/>
  <c r="Q15" i="161"/>
  <c r="Q17" i="161"/>
  <c r="R17" i="161"/>
  <c r="U17" i="161" s="1"/>
  <c r="Q19" i="161"/>
  <c r="R19" i="161"/>
  <c r="O18" i="161"/>
  <c r="R21" i="161"/>
  <c r="U21" i="161" s="1"/>
  <c r="Q21" i="161"/>
  <c r="Q23" i="161"/>
  <c r="R23" i="161"/>
  <c r="U23" i="161" s="1"/>
  <c r="Q25" i="161"/>
  <c r="R25" i="161"/>
  <c r="R27" i="161"/>
  <c r="U27" i="161" s="1"/>
  <c r="Q27" i="161"/>
  <c r="Q29" i="161"/>
  <c r="R29" i="161"/>
  <c r="U29" i="161" s="1"/>
  <c r="Q31" i="161"/>
  <c r="R31" i="161"/>
  <c r="R33" i="161"/>
  <c r="U33" i="161" s="1"/>
  <c r="Q33" i="161"/>
  <c r="Q35" i="161"/>
  <c r="R35" i="161"/>
  <c r="U35" i="161" s="1"/>
  <c r="Q37" i="161"/>
  <c r="R37" i="161"/>
  <c r="R39" i="161"/>
  <c r="U39" i="161" s="1"/>
  <c r="Q39" i="161"/>
  <c r="Q41" i="161"/>
  <c r="R41" i="161"/>
  <c r="U41" i="161" s="1"/>
  <c r="Q43" i="161"/>
  <c r="R43" i="161"/>
  <c r="R45" i="161"/>
  <c r="Q45" i="161"/>
  <c r="Q47" i="161"/>
  <c r="R47" i="161"/>
  <c r="U47" i="161" s="1"/>
  <c r="R49" i="161"/>
  <c r="U49" i="161" s="1"/>
  <c r="Q49" i="161"/>
  <c r="R51" i="161"/>
  <c r="Q51" i="161"/>
  <c r="Q53" i="161"/>
  <c r="R53" i="161"/>
  <c r="U53" i="161" s="1"/>
  <c r="R10" i="160"/>
  <c r="U10" i="160" s="1"/>
  <c r="U7" i="160" s="1"/>
  <c r="P10" i="160"/>
  <c r="R12" i="160"/>
  <c r="P12" i="160"/>
  <c r="R21" i="160"/>
  <c r="P21" i="160"/>
  <c r="Q21" i="160" s="1"/>
  <c r="R24" i="160"/>
  <c r="U24" i="160" s="1"/>
  <c r="P24" i="160"/>
  <c r="Q24" i="160" s="1"/>
  <c r="R27" i="160"/>
  <c r="U27" i="160" s="1"/>
  <c r="P27" i="160"/>
  <c r="Q27" i="160" s="1"/>
  <c r="O44" i="160"/>
  <c r="R50" i="160"/>
  <c r="U50" i="160" s="1"/>
  <c r="P50" i="160"/>
  <c r="Q50" i="160" s="1"/>
  <c r="R53" i="160"/>
  <c r="U53" i="160" s="1"/>
  <c r="P53" i="160"/>
  <c r="Q53" i="160" s="1"/>
  <c r="O7" i="160"/>
  <c r="O6" i="160" s="1"/>
  <c r="P8" i="160"/>
  <c r="P7" i="160" s="1"/>
  <c r="Q10" i="160"/>
  <c r="Q12" i="160"/>
  <c r="R33" i="160"/>
  <c r="U33" i="160" s="1"/>
  <c r="P33" i="160"/>
  <c r="Q33" i="160" s="1"/>
  <c r="P13" i="160"/>
  <c r="Q13" i="160" s="1"/>
  <c r="R13" i="160"/>
  <c r="U13" i="160" s="1"/>
  <c r="P15" i="160"/>
  <c r="Q15" i="160" s="1"/>
  <c r="R15" i="160"/>
  <c r="P16" i="160"/>
  <c r="Q16" i="160" s="1"/>
  <c r="R16" i="160"/>
  <c r="U16" i="160" s="1"/>
  <c r="O18" i="160"/>
  <c r="P19" i="160"/>
  <c r="Q19" i="160" s="1"/>
  <c r="R19" i="160"/>
  <c r="P20" i="160"/>
  <c r="Q20" i="160" s="1"/>
  <c r="R20" i="160"/>
  <c r="U20" i="160" s="1"/>
  <c r="P22" i="160"/>
  <c r="Q22" i="160" s="1"/>
  <c r="R22" i="160"/>
  <c r="P23" i="160"/>
  <c r="Q23" i="160" s="1"/>
  <c r="R23" i="160"/>
  <c r="U23" i="160" s="1"/>
  <c r="P25" i="160"/>
  <c r="Q25" i="160" s="1"/>
  <c r="R25" i="160"/>
  <c r="P26" i="160"/>
  <c r="Q26" i="160" s="1"/>
  <c r="R26" i="160"/>
  <c r="U26" i="160" s="1"/>
  <c r="P28" i="160"/>
  <c r="Q28" i="160" s="1"/>
  <c r="R28" i="160"/>
  <c r="P29" i="160"/>
  <c r="Q29" i="160" s="1"/>
  <c r="R29" i="160"/>
  <c r="U29" i="160" s="1"/>
  <c r="P31" i="160"/>
  <c r="Q31" i="160" s="1"/>
  <c r="R31" i="160"/>
  <c r="P32" i="160"/>
  <c r="Q32" i="160" s="1"/>
  <c r="R32" i="160"/>
  <c r="U32" i="160" s="1"/>
  <c r="P36" i="160"/>
  <c r="Q36" i="160" s="1"/>
  <c r="R36" i="160"/>
  <c r="U36" i="160" s="1"/>
  <c r="Q37" i="160"/>
  <c r="Q38" i="160"/>
  <c r="P39" i="160"/>
  <c r="Q39" i="160" s="1"/>
  <c r="R39" i="160"/>
  <c r="U39" i="160" s="1"/>
  <c r="Q41" i="160"/>
  <c r="P42" i="160"/>
  <c r="Q42" i="160" s="1"/>
  <c r="R42" i="160"/>
  <c r="U42" i="160" s="1"/>
  <c r="Q43" i="160"/>
  <c r="P47" i="160"/>
  <c r="P44" i="160" s="1"/>
  <c r="R47" i="160"/>
  <c r="U47" i="160" s="1"/>
  <c r="P34" i="160"/>
  <c r="Q34" i="160" s="1"/>
  <c r="P40" i="160"/>
  <c r="Q40" i="160" s="1"/>
  <c r="U15" i="159"/>
  <c r="O12" i="159"/>
  <c r="O7" i="159" s="1"/>
  <c r="U22" i="159"/>
  <c r="U25" i="159"/>
  <c r="U28" i="159"/>
  <c r="U48" i="159"/>
  <c r="U51" i="159"/>
  <c r="U54" i="159"/>
  <c r="P8" i="159"/>
  <c r="U18" i="159"/>
  <c r="O19" i="159"/>
  <c r="U21" i="159"/>
  <c r="U24" i="159"/>
  <c r="U27" i="159"/>
  <c r="U30" i="159"/>
  <c r="U33" i="159"/>
  <c r="U34" i="159"/>
  <c r="U37" i="159"/>
  <c r="U40" i="159"/>
  <c r="U43" i="159"/>
  <c r="O45" i="159"/>
  <c r="U47" i="159"/>
  <c r="U53" i="159"/>
  <c r="R12" i="158"/>
  <c r="P12" i="158"/>
  <c r="R13" i="158"/>
  <c r="U13" i="158" s="1"/>
  <c r="U7" i="158" s="1"/>
  <c r="P13" i="158"/>
  <c r="R30" i="158"/>
  <c r="U30" i="158" s="1"/>
  <c r="P30" i="158"/>
  <c r="Q30" i="158" s="1"/>
  <c r="R33" i="158"/>
  <c r="U33" i="158" s="1"/>
  <c r="P33" i="158"/>
  <c r="Q33" i="158" s="1"/>
  <c r="R53" i="158"/>
  <c r="U53" i="158" s="1"/>
  <c r="P53" i="158"/>
  <c r="Q53" i="158" s="1"/>
  <c r="O7" i="158"/>
  <c r="P8" i="158"/>
  <c r="P7" i="158" s="1"/>
  <c r="P10" i="158"/>
  <c r="Q10" i="158" s="1"/>
  <c r="Q12" i="158"/>
  <c r="Q13" i="158"/>
  <c r="Q14" i="158"/>
  <c r="O18" i="158"/>
  <c r="R21" i="158"/>
  <c r="U21" i="158" s="1"/>
  <c r="P21" i="158"/>
  <c r="Q21" i="158" s="1"/>
  <c r="R24" i="158"/>
  <c r="U24" i="158" s="1"/>
  <c r="P24" i="158"/>
  <c r="Q24" i="158" s="1"/>
  <c r="R27" i="158"/>
  <c r="U27" i="158" s="1"/>
  <c r="P27" i="158"/>
  <c r="Q27" i="158" s="1"/>
  <c r="R32" i="158"/>
  <c r="U32" i="158" s="1"/>
  <c r="P32" i="158"/>
  <c r="Q32" i="158" s="1"/>
  <c r="R39" i="158"/>
  <c r="U39" i="158" s="1"/>
  <c r="P39" i="158"/>
  <c r="Q39" i="158" s="1"/>
  <c r="R42" i="158"/>
  <c r="U42" i="158" s="1"/>
  <c r="P42" i="158"/>
  <c r="Q42" i="158" s="1"/>
  <c r="P15" i="158"/>
  <c r="Q15" i="158" s="1"/>
  <c r="R15" i="158"/>
  <c r="P16" i="158"/>
  <c r="Q16" i="158" s="1"/>
  <c r="R16" i="158"/>
  <c r="U16" i="158" s="1"/>
  <c r="P26" i="158"/>
  <c r="Q26" i="158" s="1"/>
  <c r="R26" i="158"/>
  <c r="U26" i="158" s="1"/>
  <c r="P28" i="158"/>
  <c r="Q28" i="158" s="1"/>
  <c r="R28" i="158"/>
  <c r="P29" i="158"/>
  <c r="Q29" i="158" s="1"/>
  <c r="R29" i="158"/>
  <c r="U29" i="158" s="1"/>
  <c r="P31" i="158"/>
  <c r="Q31" i="158" s="1"/>
  <c r="R31" i="158"/>
  <c r="P36" i="158"/>
  <c r="Q36" i="158" s="1"/>
  <c r="R36" i="158"/>
  <c r="U36" i="158" s="1"/>
  <c r="P43" i="158"/>
  <c r="Q43" i="158" s="1"/>
  <c r="R43" i="158"/>
  <c r="O44" i="158"/>
  <c r="P45" i="158"/>
  <c r="R45" i="158"/>
  <c r="P46" i="158"/>
  <c r="Q46" i="158" s="1"/>
  <c r="R46" i="158"/>
  <c r="U46" i="158" s="1"/>
  <c r="P48" i="158"/>
  <c r="Q48" i="158" s="1"/>
  <c r="R48" i="158"/>
  <c r="P49" i="158"/>
  <c r="Q49" i="158" s="1"/>
  <c r="R49" i="158"/>
  <c r="U49" i="158" s="1"/>
  <c r="P51" i="158"/>
  <c r="Q51" i="158" s="1"/>
  <c r="R51" i="158"/>
  <c r="P52" i="158"/>
  <c r="Q52" i="158" s="1"/>
  <c r="R52" i="158"/>
  <c r="U52" i="158" s="1"/>
  <c r="U21" i="160" l="1"/>
  <c r="R50" i="161"/>
  <c r="U50" i="161" s="1"/>
  <c r="P50" i="161"/>
  <c r="Q50" i="161" s="1"/>
  <c r="Q44" i="161" s="1"/>
  <c r="U44" i="160"/>
  <c r="O44" i="161"/>
  <c r="H5" i="161"/>
  <c r="O6" i="162"/>
  <c r="O5" i="162" s="1"/>
  <c r="U44" i="162"/>
  <c r="R44" i="162"/>
  <c r="P18" i="162"/>
  <c r="U18" i="162"/>
  <c r="U7" i="162"/>
  <c r="R7" i="162"/>
  <c r="O6" i="161"/>
  <c r="Q7" i="161"/>
  <c r="U8" i="159"/>
  <c r="U18" i="158"/>
  <c r="P18" i="158"/>
  <c r="Q44" i="162"/>
  <c r="Q55" i="162"/>
  <c r="R55" i="162" s="1"/>
  <c r="P11" i="162"/>
  <c r="P6" i="162" s="1"/>
  <c r="P44" i="162"/>
  <c r="Q12" i="162"/>
  <c r="Q11" i="162" s="1"/>
  <c r="R11" i="162"/>
  <c r="Q22" i="162"/>
  <c r="Q18" i="162" s="1"/>
  <c r="R18" i="162"/>
  <c r="Q9" i="162"/>
  <c r="Q7" i="162" s="1"/>
  <c r="Q18" i="161"/>
  <c r="U6" i="161"/>
  <c r="U44" i="161"/>
  <c r="Q11" i="161"/>
  <c r="R44" i="161"/>
  <c r="R18" i="161"/>
  <c r="U18" i="161"/>
  <c r="R11" i="161"/>
  <c r="R7" i="161"/>
  <c r="Q18" i="160"/>
  <c r="U18" i="160"/>
  <c r="R18" i="160"/>
  <c r="R44" i="160"/>
  <c r="O5" i="160"/>
  <c r="R11" i="160"/>
  <c r="P18" i="160"/>
  <c r="Q47" i="160"/>
  <c r="Q44" i="160" s="1"/>
  <c r="Q11" i="160"/>
  <c r="P6" i="160"/>
  <c r="P11" i="160"/>
  <c r="Q8" i="160"/>
  <c r="Q7" i="160" s="1"/>
  <c r="Q6" i="160" s="1"/>
  <c r="R7" i="160"/>
  <c r="R6" i="160" s="1"/>
  <c r="Q12" i="159"/>
  <c r="P45" i="159"/>
  <c r="U19" i="159"/>
  <c r="R19" i="159"/>
  <c r="Q45" i="159"/>
  <c r="O6" i="159"/>
  <c r="Q8" i="159"/>
  <c r="R12" i="159"/>
  <c r="R7" i="159" s="1"/>
  <c r="U45" i="159"/>
  <c r="R45" i="159"/>
  <c r="P19" i="159"/>
  <c r="Q19" i="159"/>
  <c r="P12" i="159"/>
  <c r="P7" i="159" s="1"/>
  <c r="Q18" i="158"/>
  <c r="P44" i="158"/>
  <c r="Q45" i="158"/>
  <c r="Q44" i="158" s="1"/>
  <c r="R18" i="158"/>
  <c r="P11" i="158"/>
  <c r="U44" i="158"/>
  <c r="U5" i="158" s="1"/>
  <c r="R44" i="158"/>
  <c r="Q11" i="158"/>
  <c r="P6" i="158"/>
  <c r="R11" i="158"/>
  <c r="R6" i="158" s="1"/>
  <c r="Q8" i="158"/>
  <c r="Q7" i="158" s="1"/>
  <c r="P44" i="161" l="1"/>
  <c r="P5" i="161" s="1"/>
  <c r="Q6" i="161"/>
  <c r="R6" i="162"/>
  <c r="U5" i="160"/>
  <c r="O5" i="161"/>
  <c r="Q7" i="159"/>
  <c r="U5" i="162"/>
  <c r="Q6" i="162"/>
  <c r="R5" i="158"/>
  <c r="P5" i="162"/>
  <c r="P57" i="162" s="1"/>
  <c r="Q5" i="160"/>
  <c r="Q5" i="161"/>
  <c r="R6" i="161"/>
  <c r="R5" i="161" s="1"/>
  <c r="R5" i="160"/>
  <c r="P5" i="160"/>
  <c r="U6" i="159"/>
  <c r="P6" i="159"/>
  <c r="Q5" i="162"/>
  <c r="R5" i="162"/>
  <c r="U5" i="161"/>
  <c r="R6" i="159"/>
  <c r="Q6" i="159"/>
  <c r="Q6" i="158"/>
  <c r="Q5" i="158" s="1"/>
  <c r="P5" i="158"/>
  <c r="F43" i="157"/>
  <c r="G43" i="157"/>
  <c r="F17" i="157"/>
  <c r="G17" i="157"/>
  <c r="F10" i="157"/>
  <c r="G10" i="157"/>
  <c r="R52" i="157"/>
  <c r="S52" i="157" s="1"/>
  <c r="R51" i="157"/>
  <c r="S51" i="157" s="1"/>
  <c r="R50" i="157"/>
  <c r="S50" i="157" s="1"/>
  <c r="R49" i="157"/>
  <c r="S49" i="157" s="1"/>
  <c r="R48" i="157"/>
  <c r="S48" i="157" s="1"/>
  <c r="R47" i="157"/>
  <c r="S47" i="157" s="1"/>
  <c r="R46" i="157"/>
  <c r="S46" i="157" s="1"/>
  <c r="R45" i="157"/>
  <c r="S45" i="157" s="1"/>
  <c r="R44" i="157"/>
  <c r="S44" i="157" s="1"/>
  <c r="P43" i="157"/>
  <c r="O43" i="157"/>
  <c r="N43" i="157"/>
  <c r="M43" i="157"/>
  <c r="L43" i="157"/>
  <c r="K43" i="157"/>
  <c r="J43" i="157"/>
  <c r="I43" i="157"/>
  <c r="H43" i="157"/>
  <c r="R42" i="157"/>
  <c r="S42" i="157" s="1"/>
  <c r="R41" i="157"/>
  <c r="S41" i="157" s="1"/>
  <c r="R40" i="157"/>
  <c r="S40" i="157" s="1"/>
  <c r="R39" i="157"/>
  <c r="S39" i="157" s="1"/>
  <c r="R38" i="157"/>
  <c r="S38" i="157" s="1"/>
  <c r="R37" i="157"/>
  <c r="S37" i="157" s="1"/>
  <c r="R36" i="157"/>
  <c r="S36" i="157" s="1"/>
  <c r="R35" i="157"/>
  <c r="S35" i="157" s="1"/>
  <c r="R34" i="157"/>
  <c r="S34" i="157" s="1"/>
  <c r="R33" i="157"/>
  <c r="S33" i="157" s="1"/>
  <c r="R32" i="157"/>
  <c r="S32" i="157" s="1"/>
  <c r="R31" i="157"/>
  <c r="S31" i="157" s="1"/>
  <c r="R30" i="157"/>
  <c r="S30" i="157" s="1"/>
  <c r="R29" i="157"/>
  <c r="S29" i="157" s="1"/>
  <c r="R28" i="157"/>
  <c r="S28" i="157" s="1"/>
  <c r="R27" i="157"/>
  <c r="S27" i="157" s="1"/>
  <c r="R26" i="157"/>
  <c r="S26" i="157" s="1"/>
  <c r="R25" i="157"/>
  <c r="S25" i="157" s="1"/>
  <c r="R24" i="157"/>
  <c r="S24" i="157" s="1"/>
  <c r="R23" i="157"/>
  <c r="S23" i="157" s="1"/>
  <c r="R22" i="157"/>
  <c r="S22" i="157" s="1"/>
  <c r="R21" i="157"/>
  <c r="S21" i="157" s="1"/>
  <c r="R20" i="157"/>
  <c r="S20" i="157" s="1"/>
  <c r="R19" i="157"/>
  <c r="S19" i="157" s="1"/>
  <c r="R18" i="157"/>
  <c r="S18" i="157" s="1"/>
  <c r="P17" i="157"/>
  <c r="O17" i="157"/>
  <c r="N17" i="157"/>
  <c r="M17" i="157"/>
  <c r="L17" i="157"/>
  <c r="K17" i="157"/>
  <c r="J17" i="157"/>
  <c r="I17" i="157"/>
  <c r="H17" i="157"/>
  <c r="R16" i="157"/>
  <c r="S16" i="157" s="1"/>
  <c r="R15" i="157"/>
  <c r="S15" i="157" s="1"/>
  <c r="R14" i="157"/>
  <c r="S14" i="157" s="1"/>
  <c r="R13" i="157"/>
  <c r="S13" i="157" s="1"/>
  <c r="R12" i="157"/>
  <c r="S12" i="157" s="1"/>
  <c r="R11" i="157"/>
  <c r="S11" i="157" s="1"/>
  <c r="P10" i="157"/>
  <c r="O10" i="157"/>
  <c r="N10" i="157"/>
  <c r="M10" i="157"/>
  <c r="L10" i="157"/>
  <c r="K10" i="157"/>
  <c r="J10" i="157"/>
  <c r="I10" i="157"/>
  <c r="I5" i="157" s="1"/>
  <c r="I4" i="157" s="1"/>
  <c r="H10" i="157"/>
  <c r="R9" i="157"/>
  <c r="S9" i="157" s="1"/>
  <c r="R8" i="157"/>
  <c r="S8" i="157" s="1"/>
  <c r="D8" i="157"/>
  <c r="S7" i="157"/>
  <c r="R7" i="157"/>
  <c r="Q6" i="157"/>
  <c r="P6" i="157"/>
  <c r="O6" i="157"/>
  <c r="N6" i="157"/>
  <c r="M6" i="157"/>
  <c r="L6" i="157"/>
  <c r="K6" i="157"/>
  <c r="J6" i="157"/>
  <c r="I6" i="157"/>
  <c r="H6" i="157"/>
  <c r="G6" i="157"/>
  <c r="G5" i="157" s="1"/>
  <c r="G4" i="157" s="1"/>
  <c r="F6" i="157"/>
  <c r="Q5" i="157"/>
  <c r="M5" i="157"/>
  <c r="M4" i="157" s="1"/>
  <c r="Q4" i="157"/>
  <c r="F43" i="134"/>
  <c r="G43" i="134"/>
  <c r="F17" i="134"/>
  <c r="G17" i="134"/>
  <c r="F10" i="134"/>
  <c r="G10" i="134"/>
  <c r="F6" i="134"/>
  <c r="G6" i="134"/>
  <c r="F44" i="99"/>
  <c r="G44" i="99"/>
  <c r="F18" i="99"/>
  <c r="G18" i="99"/>
  <c r="F11" i="99"/>
  <c r="G11" i="99"/>
  <c r="H17" i="98"/>
  <c r="I17" i="98"/>
  <c r="J17" i="98"/>
  <c r="K17" i="98"/>
  <c r="L17" i="98"/>
  <c r="M17" i="98"/>
  <c r="N17" i="98"/>
  <c r="O17" i="98"/>
  <c r="Q17" i="98"/>
  <c r="F17" i="98"/>
  <c r="G17" i="98"/>
  <c r="F43" i="98"/>
  <c r="G43" i="98"/>
  <c r="F10" i="98"/>
  <c r="G10" i="98"/>
  <c r="R43" i="157" l="1"/>
  <c r="S43" i="157" s="1"/>
  <c r="P5" i="157"/>
  <c r="P4" i="157" s="1"/>
  <c r="O5" i="157"/>
  <c r="O4" i="157" s="1"/>
  <c r="N5" i="157"/>
  <c r="N4" i="157" s="1"/>
  <c r="L5" i="157"/>
  <c r="L4" i="157" s="1"/>
  <c r="K5" i="157"/>
  <c r="K4" i="157" s="1"/>
  <c r="J5" i="157"/>
  <c r="J4" i="157" s="1"/>
  <c r="H5" i="157"/>
  <c r="H4" i="157" s="1"/>
  <c r="R10" i="157"/>
  <c r="S10" i="157" s="1"/>
  <c r="R17" i="157"/>
  <c r="F5" i="157"/>
  <c r="F4" i="157"/>
  <c r="S17" i="157"/>
  <c r="R6" i="157"/>
  <c r="S6" i="157" s="1"/>
  <c r="N21" i="144"/>
  <c r="N20" i="147"/>
  <c r="R5" i="157" l="1"/>
  <c r="S5" i="157" s="1"/>
  <c r="R4" i="157"/>
  <c r="S4" i="157" s="1"/>
  <c r="U18" i="155"/>
  <c r="U44" i="155"/>
  <c r="P18" i="152"/>
  <c r="Q18" i="152"/>
  <c r="R18" i="152"/>
  <c r="O18" i="152"/>
  <c r="N27" i="156" l="1"/>
  <c r="N24" i="156"/>
  <c r="N21" i="156"/>
  <c r="N53" i="156"/>
  <c r="N50" i="156"/>
  <c r="N47" i="156"/>
  <c r="H39" i="152" l="1"/>
  <c r="H33" i="152"/>
  <c r="H32" i="152"/>
  <c r="H30" i="152"/>
  <c r="H28" i="152"/>
  <c r="H27" i="152"/>
  <c r="H26" i="152"/>
  <c r="N27" i="154" l="1"/>
  <c r="N24" i="154"/>
  <c r="N21" i="154"/>
  <c r="N53" i="154"/>
  <c r="N50" i="154"/>
  <c r="N28" i="153"/>
  <c r="N25" i="153"/>
  <c r="N22" i="153"/>
  <c r="N54" i="153"/>
  <c r="N51" i="153"/>
  <c r="N48" i="153"/>
  <c r="N42" i="152"/>
  <c r="N39" i="152"/>
  <c r="N33" i="152"/>
  <c r="N30" i="152"/>
  <c r="N27" i="152"/>
  <c r="N24" i="152"/>
  <c r="N21" i="152"/>
  <c r="N53" i="152"/>
  <c r="M24" i="154"/>
  <c r="M25" i="153"/>
  <c r="F33" i="154"/>
  <c r="F24" i="154"/>
  <c r="F21" i="154"/>
  <c r="F53" i="154"/>
  <c r="F34" i="153"/>
  <c r="F25" i="153"/>
  <c r="F22" i="153"/>
  <c r="F54" i="153"/>
  <c r="F51" i="153"/>
  <c r="F48" i="153"/>
  <c r="F39" i="152"/>
  <c r="F33" i="152"/>
  <c r="F27" i="152"/>
  <c r="F24" i="152"/>
  <c r="F21" i="152"/>
  <c r="F53" i="152"/>
  <c r="G21" i="154" l="1"/>
  <c r="G50" i="154"/>
  <c r="G22" i="153"/>
  <c r="G54" i="153"/>
  <c r="G51" i="153"/>
  <c r="G48" i="153"/>
  <c r="G33" i="152"/>
  <c r="G27" i="152"/>
  <c r="G24" i="152"/>
  <c r="G21" i="152"/>
  <c r="G53" i="152"/>
  <c r="E27" i="154" l="1"/>
  <c r="E24" i="154"/>
  <c r="E21" i="154"/>
  <c r="E39" i="152"/>
  <c r="E27" i="152"/>
  <c r="E24" i="152"/>
  <c r="E21" i="152"/>
  <c r="E28" i="153"/>
  <c r="E25" i="153"/>
  <c r="E22" i="153"/>
  <c r="F45" i="155" l="1"/>
  <c r="G45" i="155"/>
  <c r="H45" i="155"/>
  <c r="I45" i="155"/>
  <c r="J45" i="155"/>
  <c r="K45" i="155"/>
  <c r="L45" i="155"/>
  <c r="M45" i="155"/>
  <c r="N45" i="155"/>
  <c r="F46" i="155"/>
  <c r="G46" i="155"/>
  <c r="H46" i="155"/>
  <c r="I46" i="155"/>
  <c r="J46" i="155"/>
  <c r="K46" i="155"/>
  <c r="L46" i="155"/>
  <c r="M46" i="155"/>
  <c r="N46" i="155"/>
  <c r="F47" i="155"/>
  <c r="G47" i="155"/>
  <c r="H47" i="155"/>
  <c r="I47" i="155"/>
  <c r="J47" i="155"/>
  <c r="K47" i="155"/>
  <c r="L47" i="155"/>
  <c r="M47" i="155"/>
  <c r="N47" i="155"/>
  <c r="F48" i="155"/>
  <c r="G48" i="155"/>
  <c r="H48" i="155"/>
  <c r="I48" i="155"/>
  <c r="J48" i="155"/>
  <c r="K48" i="155"/>
  <c r="L48" i="155"/>
  <c r="M48" i="155"/>
  <c r="N48" i="155"/>
  <c r="F49" i="155"/>
  <c r="G49" i="155"/>
  <c r="H49" i="155"/>
  <c r="I49" i="155"/>
  <c r="J49" i="155"/>
  <c r="K49" i="155"/>
  <c r="L49" i="155"/>
  <c r="M49" i="155"/>
  <c r="N49" i="155"/>
  <c r="F50" i="155"/>
  <c r="G50" i="155"/>
  <c r="H50" i="155"/>
  <c r="I50" i="155"/>
  <c r="J50" i="155"/>
  <c r="K50" i="155"/>
  <c r="L50" i="155"/>
  <c r="M50" i="155"/>
  <c r="N50" i="155"/>
  <c r="F51" i="155"/>
  <c r="G51" i="155"/>
  <c r="H51" i="155"/>
  <c r="I51" i="155"/>
  <c r="J51" i="155"/>
  <c r="K51" i="155"/>
  <c r="L51" i="155"/>
  <c r="M51" i="155"/>
  <c r="N51" i="155"/>
  <c r="F52" i="155"/>
  <c r="G52" i="155"/>
  <c r="H52" i="155"/>
  <c r="I52" i="155"/>
  <c r="J52" i="155"/>
  <c r="K52" i="155"/>
  <c r="L52" i="155"/>
  <c r="M52" i="155"/>
  <c r="N52" i="155"/>
  <c r="F53" i="155"/>
  <c r="G53" i="155"/>
  <c r="H53" i="155"/>
  <c r="I53" i="155"/>
  <c r="J53" i="155"/>
  <c r="K53" i="155"/>
  <c r="L53" i="155"/>
  <c r="M53" i="155"/>
  <c r="N53" i="155"/>
  <c r="E46" i="155"/>
  <c r="E47" i="155"/>
  <c r="E48" i="155"/>
  <c r="E49" i="155"/>
  <c r="E50" i="155"/>
  <c r="E51" i="155"/>
  <c r="E52" i="155"/>
  <c r="E53" i="155"/>
  <c r="E45" i="155"/>
  <c r="F19" i="155"/>
  <c r="G19" i="155"/>
  <c r="H19" i="155"/>
  <c r="I19" i="155"/>
  <c r="J19" i="155"/>
  <c r="K19" i="155"/>
  <c r="L19" i="155"/>
  <c r="M19" i="155"/>
  <c r="N19" i="155"/>
  <c r="F20" i="155"/>
  <c r="G20" i="155"/>
  <c r="H20" i="155"/>
  <c r="I20" i="155"/>
  <c r="J20" i="155"/>
  <c r="K20" i="155"/>
  <c r="L20" i="155"/>
  <c r="M20" i="155"/>
  <c r="N20" i="155"/>
  <c r="F21" i="155"/>
  <c r="G21" i="155"/>
  <c r="H21" i="155"/>
  <c r="I21" i="155"/>
  <c r="J21" i="155"/>
  <c r="K21" i="155"/>
  <c r="L21" i="155"/>
  <c r="M21" i="155"/>
  <c r="N21" i="155"/>
  <c r="F22" i="155"/>
  <c r="G22" i="155"/>
  <c r="H22" i="155"/>
  <c r="I22" i="155"/>
  <c r="J22" i="155"/>
  <c r="K22" i="155"/>
  <c r="L22" i="155"/>
  <c r="M22" i="155"/>
  <c r="N22" i="155"/>
  <c r="F23" i="155"/>
  <c r="G23" i="155"/>
  <c r="H23" i="155"/>
  <c r="I23" i="155"/>
  <c r="J23" i="155"/>
  <c r="K23" i="155"/>
  <c r="L23" i="155"/>
  <c r="M23" i="155"/>
  <c r="N23" i="155"/>
  <c r="F24" i="155"/>
  <c r="G24" i="155"/>
  <c r="H24" i="155"/>
  <c r="I24" i="155"/>
  <c r="J24" i="155"/>
  <c r="K24" i="155"/>
  <c r="L24" i="155"/>
  <c r="M24" i="155"/>
  <c r="N24" i="155"/>
  <c r="F25" i="155"/>
  <c r="G25" i="155"/>
  <c r="H25" i="155"/>
  <c r="I25" i="155"/>
  <c r="J25" i="155"/>
  <c r="K25" i="155"/>
  <c r="L25" i="155"/>
  <c r="M25" i="155"/>
  <c r="N25" i="155"/>
  <c r="F26" i="155"/>
  <c r="G26" i="155"/>
  <c r="H26" i="155"/>
  <c r="I26" i="155"/>
  <c r="J26" i="155"/>
  <c r="K26" i="155"/>
  <c r="L26" i="155"/>
  <c r="M26" i="155"/>
  <c r="N26" i="155"/>
  <c r="F27" i="155"/>
  <c r="G27" i="155"/>
  <c r="H27" i="155"/>
  <c r="I27" i="155"/>
  <c r="J27" i="155"/>
  <c r="K27" i="155"/>
  <c r="L27" i="155"/>
  <c r="M27" i="155"/>
  <c r="N27" i="155"/>
  <c r="F28" i="155"/>
  <c r="G28" i="155"/>
  <c r="H28" i="155"/>
  <c r="I28" i="155"/>
  <c r="J28" i="155"/>
  <c r="K28" i="155"/>
  <c r="L28" i="155"/>
  <c r="M28" i="155"/>
  <c r="N28" i="155"/>
  <c r="F29" i="155"/>
  <c r="G29" i="155"/>
  <c r="H29" i="155"/>
  <c r="I29" i="155"/>
  <c r="J29" i="155"/>
  <c r="K29" i="155"/>
  <c r="L29" i="155"/>
  <c r="M29" i="155"/>
  <c r="N29" i="155"/>
  <c r="F30" i="155"/>
  <c r="G30" i="155"/>
  <c r="H30" i="155"/>
  <c r="I30" i="155"/>
  <c r="J30" i="155"/>
  <c r="K30" i="155"/>
  <c r="L30" i="155"/>
  <c r="M30" i="155"/>
  <c r="N30" i="155"/>
  <c r="F31" i="155"/>
  <c r="G31" i="155"/>
  <c r="H31" i="155"/>
  <c r="I31" i="155"/>
  <c r="J31" i="155"/>
  <c r="K31" i="155"/>
  <c r="L31" i="155"/>
  <c r="M31" i="155"/>
  <c r="N31" i="155"/>
  <c r="F32" i="155"/>
  <c r="G32" i="155"/>
  <c r="H32" i="155"/>
  <c r="I32" i="155"/>
  <c r="J32" i="155"/>
  <c r="K32" i="155"/>
  <c r="L32" i="155"/>
  <c r="M32" i="155"/>
  <c r="N32" i="155"/>
  <c r="F33" i="155"/>
  <c r="G33" i="155"/>
  <c r="H33" i="155"/>
  <c r="I33" i="155"/>
  <c r="J33" i="155"/>
  <c r="K33" i="155"/>
  <c r="L33" i="155"/>
  <c r="M33" i="155"/>
  <c r="N33" i="155"/>
  <c r="F34" i="155"/>
  <c r="G34" i="155"/>
  <c r="H34" i="155"/>
  <c r="I34" i="155"/>
  <c r="J34" i="155"/>
  <c r="K34" i="155"/>
  <c r="L34" i="155"/>
  <c r="M34" i="155"/>
  <c r="N34" i="155"/>
  <c r="F35" i="155"/>
  <c r="G35" i="155"/>
  <c r="H35" i="155"/>
  <c r="I35" i="155"/>
  <c r="J35" i="155"/>
  <c r="K35" i="155"/>
  <c r="L35" i="155"/>
  <c r="M35" i="155"/>
  <c r="N35" i="155"/>
  <c r="F36" i="155"/>
  <c r="G36" i="155"/>
  <c r="H36" i="155"/>
  <c r="I36" i="155"/>
  <c r="J36" i="155"/>
  <c r="K36" i="155"/>
  <c r="L36" i="155"/>
  <c r="M36" i="155"/>
  <c r="N36" i="155"/>
  <c r="F37" i="155"/>
  <c r="G37" i="155"/>
  <c r="H37" i="155"/>
  <c r="I37" i="155"/>
  <c r="J37" i="155"/>
  <c r="K37" i="155"/>
  <c r="L37" i="155"/>
  <c r="M37" i="155"/>
  <c r="N37" i="155"/>
  <c r="F38" i="155"/>
  <c r="G38" i="155"/>
  <c r="H38" i="155"/>
  <c r="I38" i="155"/>
  <c r="J38" i="155"/>
  <c r="K38" i="155"/>
  <c r="L38" i="155"/>
  <c r="M38" i="155"/>
  <c r="N38" i="155"/>
  <c r="F39" i="155"/>
  <c r="G39" i="155"/>
  <c r="H39" i="155"/>
  <c r="I39" i="155"/>
  <c r="J39" i="155"/>
  <c r="K39" i="155"/>
  <c r="L39" i="155"/>
  <c r="M39" i="155"/>
  <c r="N39" i="155"/>
  <c r="F40" i="155"/>
  <c r="G40" i="155"/>
  <c r="H40" i="155"/>
  <c r="I40" i="155"/>
  <c r="J40" i="155"/>
  <c r="K40" i="155"/>
  <c r="L40" i="155"/>
  <c r="M40" i="155"/>
  <c r="N40" i="155"/>
  <c r="F41" i="155"/>
  <c r="G41" i="155"/>
  <c r="H41" i="155"/>
  <c r="I41" i="155"/>
  <c r="J41" i="155"/>
  <c r="K41" i="155"/>
  <c r="L41" i="155"/>
  <c r="M41" i="155"/>
  <c r="N41" i="155"/>
  <c r="F42" i="155"/>
  <c r="G42" i="155"/>
  <c r="H42" i="155"/>
  <c r="I42" i="155"/>
  <c r="J42" i="155"/>
  <c r="K42" i="155"/>
  <c r="L42" i="155"/>
  <c r="M42" i="155"/>
  <c r="N42" i="155"/>
  <c r="F43" i="155"/>
  <c r="G43" i="155"/>
  <c r="H43" i="155"/>
  <c r="I43" i="155"/>
  <c r="J43" i="155"/>
  <c r="K43" i="155"/>
  <c r="L43" i="155"/>
  <c r="M43" i="155"/>
  <c r="N43" i="155"/>
  <c r="E20" i="155"/>
  <c r="E21" i="155"/>
  <c r="E22" i="155"/>
  <c r="E23" i="155"/>
  <c r="E24" i="155"/>
  <c r="E25" i="155"/>
  <c r="E26" i="155"/>
  <c r="E27" i="155"/>
  <c r="E28" i="155"/>
  <c r="E29" i="155"/>
  <c r="E30" i="155"/>
  <c r="E31" i="155"/>
  <c r="E32" i="155"/>
  <c r="E33" i="155"/>
  <c r="E34" i="155"/>
  <c r="E35" i="155"/>
  <c r="E36" i="155"/>
  <c r="E37" i="155"/>
  <c r="E38" i="155"/>
  <c r="E39" i="155"/>
  <c r="E40" i="155"/>
  <c r="E41" i="155"/>
  <c r="E42" i="155"/>
  <c r="E43" i="155"/>
  <c r="E19" i="155"/>
  <c r="F12" i="155"/>
  <c r="G12" i="155"/>
  <c r="H12" i="155"/>
  <c r="I12" i="155"/>
  <c r="J12" i="155"/>
  <c r="K12" i="155"/>
  <c r="L12" i="155"/>
  <c r="M12" i="155"/>
  <c r="N12" i="155"/>
  <c r="F13" i="155"/>
  <c r="G13" i="155"/>
  <c r="H13" i="155"/>
  <c r="I13" i="155"/>
  <c r="J13" i="155"/>
  <c r="K13" i="155"/>
  <c r="L13" i="155"/>
  <c r="M13" i="155"/>
  <c r="N13" i="155"/>
  <c r="F14" i="155"/>
  <c r="G14" i="155"/>
  <c r="H14" i="155"/>
  <c r="I14" i="155"/>
  <c r="J14" i="155"/>
  <c r="K14" i="155"/>
  <c r="L14" i="155"/>
  <c r="M14" i="155"/>
  <c r="N14" i="155"/>
  <c r="F15" i="155"/>
  <c r="G15" i="155"/>
  <c r="H15" i="155"/>
  <c r="I15" i="155"/>
  <c r="J15" i="155"/>
  <c r="K15" i="155"/>
  <c r="L15" i="155"/>
  <c r="M15" i="155"/>
  <c r="N15" i="155"/>
  <c r="F16" i="155"/>
  <c r="G16" i="155"/>
  <c r="H16" i="155"/>
  <c r="I16" i="155"/>
  <c r="J16" i="155"/>
  <c r="K16" i="155"/>
  <c r="L16" i="155"/>
  <c r="M16" i="155"/>
  <c r="N16" i="155"/>
  <c r="F17" i="155"/>
  <c r="G17" i="155"/>
  <c r="H17" i="155"/>
  <c r="I17" i="155"/>
  <c r="J17" i="155"/>
  <c r="K17" i="155"/>
  <c r="L17" i="155"/>
  <c r="M17" i="155"/>
  <c r="N17" i="155"/>
  <c r="E13" i="155"/>
  <c r="E14" i="155"/>
  <c r="E15" i="155"/>
  <c r="E16" i="155"/>
  <c r="E17" i="155"/>
  <c r="E12" i="155"/>
  <c r="F8" i="155"/>
  <c r="G8" i="155"/>
  <c r="H8" i="155"/>
  <c r="I8" i="155"/>
  <c r="J8" i="155"/>
  <c r="K8" i="155"/>
  <c r="L8" i="155"/>
  <c r="M8" i="155"/>
  <c r="N8" i="155"/>
  <c r="F9" i="155"/>
  <c r="G9" i="155"/>
  <c r="H9" i="155"/>
  <c r="I9" i="155"/>
  <c r="J9" i="155"/>
  <c r="K9" i="155"/>
  <c r="L9" i="155"/>
  <c r="M9" i="155"/>
  <c r="N9" i="155"/>
  <c r="F10" i="155"/>
  <c r="G10" i="155"/>
  <c r="H10" i="155"/>
  <c r="I10" i="155"/>
  <c r="J10" i="155"/>
  <c r="K10" i="155"/>
  <c r="L10" i="155"/>
  <c r="M10" i="155"/>
  <c r="N10" i="155"/>
  <c r="E9" i="155"/>
  <c r="E10" i="155"/>
  <c r="E8" i="155"/>
  <c r="O55" i="156"/>
  <c r="P55" i="156" s="1"/>
  <c r="O53" i="156"/>
  <c r="P53" i="156" s="1"/>
  <c r="O52" i="156"/>
  <c r="P52" i="156" s="1"/>
  <c r="O51" i="156"/>
  <c r="P51" i="156" s="1"/>
  <c r="O50" i="156"/>
  <c r="O49" i="156"/>
  <c r="O48" i="156"/>
  <c r="O46" i="156"/>
  <c r="O45" i="156"/>
  <c r="R45" i="156" s="1"/>
  <c r="M44" i="156"/>
  <c r="L44" i="156"/>
  <c r="K44" i="156"/>
  <c r="J44" i="156"/>
  <c r="I44" i="156"/>
  <c r="H44" i="156"/>
  <c r="G44" i="156"/>
  <c r="F44" i="156"/>
  <c r="E44" i="156"/>
  <c r="O43" i="156"/>
  <c r="O42" i="156"/>
  <c r="P42" i="156" s="1"/>
  <c r="O41" i="156"/>
  <c r="O40" i="156"/>
  <c r="O39" i="156"/>
  <c r="P39" i="156" s="1"/>
  <c r="O38" i="156"/>
  <c r="O37" i="156"/>
  <c r="P36" i="156"/>
  <c r="O36" i="156"/>
  <c r="O35" i="156"/>
  <c r="O34" i="156"/>
  <c r="O33" i="156"/>
  <c r="O32" i="156"/>
  <c r="R32" i="156" s="1"/>
  <c r="U32" i="156" s="1"/>
  <c r="O31" i="156"/>
  <c r="P31" i="156" s="1"/>
  <c r="O30" i="156"/>
  <c r="O29" i="156"/>
  <c r="O28" i="156"/>
  <c r="O27" i="156"/>
  <c r="O26" i="156"/>
  <c r="R26" i="156" s="1"/>
  <c r="U26" i="156" s="1"/>
  <c r="O25" i="156"/>
  <c r="P25" i="156" s="1"/>
  <c r="O24" i="156"/>
  <c r="O23" i="156"/>
  <c r="O22" i="156"/>
  <c r="O21" i="156"/>
  <c r="O20" i="156"/>
  <c r="O19" i="156"/>
  <c r="N18" i="156"/>
  <c r="M18" i="156"/>
  <c r="L18" i="156"/>
  <c r="K18" i="156"/>
  <c r="J18" i="156"/>
  <c r="I18" i="156"/>
  <c r="H18" i="156"/>
  <c r="G18" i="156"/>
  <c r="F18" i="156"/>
  <c r="E18" i="156"/>
  <c r="O17" i="156"/>
  <c r="R17" i="156" s="1"/>
  <c r="O16" i="156"/>
  <c r="R16" i="156" s="1"/>
  <c r="O15" i="156"/>
  <c r="P15" i="156" s="1"/>
  <c r="O14" i="156"/>
  <c r="O13" i="156"/>
  <c r="P13" i="156" s="1"/>
  <c r="O12" i="156"/>
  <c r="R12" i="156" s="1"/>
  <c r="N11" i="156"/>
  <c r="M11" i="156"/>
  <c r="L11" i="156"/>
  <c r="K11" i="156"/>
  <c r="J11" i="156"/>
  <c r="I11" i="156"/>
  <c r="H11" i="156"/>
  <c r="G11" i="156"/>
  <c r="F11" i="156"/>
  <c r="E11" i="156"/>
  <c r="O10" i="156"/>
  <c r="O9" i="156"/>
  <c r="D9" i="156"/>
  <c r="O8" i="156"/>
  <c r="N7" i="156"/>
  <c r="M7" i="156"/>
  <c r="L7" i="156"/>
  <c r="K7" i="156"/>
  <c r="J7" i="156"/>
  <c r="I7" i="156"/>
  <c r="H7" i="156"/>
  <c r="G7" i="156"/>
  <c r="F7" i="156"/>
  <c r="F6" i="156" s="1"/>
  <c r="E7" i="156"/>
  <c r="N6" i="156"/>
  <c r="M6" i="156"/>
  <c r="L6" i="156"/>
  <c r="L5" i="156" s="1"/>
  <c r="K6" i="156"/>
  <c r="K5" i="156" s="1"/>
  <c r="J6" i="156"/>
  <c r="J5" i="156" s="1"/>
  <c r="I6" i="156"/>
  <c r="H6" i="156"/>
  <c r="M5" i="156"/>
  <c r="I5" i="156"/>
  <c r="O53" i="155"/>
  <c r="O52" i="155"/>
  <c r="O51" i="155"/>
  <c r="O50" i="155"/>
  <c r="O49" i="155"/>
  <c r="O48" i="155"/>
  <c r="O47" i="155"/>
  <c r="O46" i="155"/>
  <c r="O45" i="155"/>
  <c r="N44" i="155"/>
  <c r="M44" i="155"/>
  <c r="L44" i="155"/>
  <c r="K44" i="155"/>
  <c r="J44" i="155"/>
  <c r="I44" i="155"/>
  <c r="H44" i="155"/>
  <c r="F44" i="155"/>
  <c r="E44" i="155"/>
  <c r="O43" i="155"/>
  <c r="O41" i="155"/>
  <c r="O39" i="155"/>
  <c r="O37" i="155"/>
  <c r="O35" i="155"/>
  <c r="O33" i="155"/>
  <c r="O31" i="155"/>
  <c r="O29" i="155"/>
  <c r="O27" i="155"/>
  <c r="O25" i="155"/>
  <c r="O23" i="155"/>
  <c r="O21" i="155"/>
  <c r="O19" i="155"/>
  <c r="N18" i="155"/>
  <c r="M18" i="155"/>
  <c r="L18" i="155"/>
  <c r="K18" i="155"/>
  <c r="J18" i="155"/>
  <c r="I18" i="155"/>
  <c r="H18" i="155"/>
  <c r="G18" i="155"/>
  <c r="F18" i="155"/>
  <c r="E18" i="155"/>
  <c r="O17" i="155"/>
  <c r="O16" i="155"/>
  <c r="O15" i="155"/>
  <c r="O14" i="155"/>
  <c r="O13" i="155"/>
  <c r="O12" i="155"/>
  <c r="N11" i="155"/>
  <c r="M11" i="155"/>
  <c r="L11" i="155"/>
  <c r="K11" i="155"/>
  <c r="J11" i="155"/>
  <c r="I11" i="155"/>
  <c r="H11" i="155"/>
  <c r="G11" i="155"/>
  <c r="F11" i="155"/>
  <c r="E11" i="155"/>
  <c r="O10" i="155"/>
  <c r="O9" i="155"/>
  <c r="D9" i="155"/>
  <c r="O8" i="155"/>
  <c r="N7" i="155"/>
  <c r="M7" i="155"/>
  <c r="L7" i="155"/>
  <c r="K7" i="155"/>
  <c r="J7" i="155"/>
  <c r="I7" i="155"/>
  <c r="I6" i="155" s="1"/>
  <c r="I5" i="155" s="1"/>
  <c r="H7" i="155"/>
  <c r="G7" i="155"/>
  <c r="F7" i="155"/>
  <c r="E7" i="155"/>
  <c r="N6" i="155"/>
  <c r="M6" i="155"/>
  <c r="L6" i="155"/>
  <c r="K6" i="155"/>
  <c r="H6" i="155"/>
  <c r="G6" i="155"/>
  <c r="F6" i="155"/>
  <c r="M5" i="155"/>
  <c r="K5" i="155"/>
  <c r="O53" i="154"/>
  <c r="O52" i="154"/>
  <c r="O51" i="154"/>
  <c r="O50" i="154"/>
  <c r="P50" i="154" s="1"/>
  <c r="O49" i="154"/>
  <c r="O48" i="154"/>
  <c r="P47" i="154"/>
  <c r="O47" i="154"/>
  <c r="O46" i="154"/>
  <c r="O45" i="154"/>
  <c r="N44" i="154"/>
  <c r="M44" i="154"/>
  <c r="K44" i="154"/>
  <c r="J44" i="154"/>
  <c r="I44" i="154"/>
  <c r="H44" i="154"/>
  <c r="G44" i="154"/>
  <c r="F44" i="154"/>
  <c r="E44" i="154"/>
  <c r="O43" i="154"/>
  <c r="O42" i="154"/>
  <c r="P42" i="154" s="1"/>
  <c r="O41" i="154"/>
  <c r="O40" i="154"/>
  <c r="O39" i="154"/>
  <c r="O38" i="154"/>
  <c r="O37" i="154"/>
  <c r="O36" i="154"/>
  <c r="P36" i="154" s="1"/>
  <c r="O35" i="154"/>
  <c r="O34" i="154"/>
  <c r="O33" i="154"/>
  <c r="O32" i="154"/>
  <c r="O31" i="154"/>
  <c r="O30" i="154"/>
  <c r="O29" i="154"/>
  <c r="O28" i="154"/>
  <c r="P28" i="154" s="1"/>
  <c r="O27" i="154"/>
  <c r="O26" i="154"/>
  <c r="P26" i="154" s="1"/>
  <c r="O25" i="154"/>
  <c r="O24" i="154"/>
  <c r="O23" i="154"/>
  <c r="O22" i="154"/>
  <c r="P22" i="154" s="1"/>
  <c r="O21" i="154"/>
  <c r="O20" i="154"/>
  <c r="P20" i="154" s="1"/>
  <c r="O19" i="154"/>
  <c r="N18" i="154"/>
  <c r="M18" i="154"/>
  <c r="K18" i="154"/>
  <c r="J18" i="154"/>
  <c r="I18" i="154"/>
  <c r="H18" i="154"/>
  <c r="G18" i="154"/>
  <c r="F18" i="154"/>
  <c r="E18" i="154"/>
  <c r="O17" i="154"/>
  <c r="R16" i="154"/>
  <c r="U16" i="154" s="1"/>
  <c r="P16" i="154"/>
  <c r="O16" i="154"/>
  <c r="Q16" i="154" s="1"/>
  <c r="R15" i="154"/>
  <c r="P15" i="154"/>
  <c r="O15" i="154"/>
  <c r="Q15" i="154" s="1"/>
  <c r="O14" i="154"/>
  <c r="R13" i="154"/>
  <c r="U13" i="154" s="1"/>
  <c r="P13" i="154"/>
  <c r="O13" i="154"/>
  <c r="Q13" i="154" s="1"/>
  <c r="R12" i="154"/>
  <c r="P12" i="154"/>
  <c r="O12" i="154"/>
  <c r="Q12" i="154" s="1"/>
  <c r="O11" i="154"/>
  <c r="N11" i="154"/>
  <c r="M11" i="154"/>
  <c r="K11" i="154"/>
  <c r="J11" i="154"/>
  <c r="I11" i="154"/>
  <c r="H11" i="154"/>
  <c r="G11" i="154"/>
  <c r="F11" i="154"/>
  <c r="E11" i="154"/>
  <c r="R10" i="154"/>
  <c r="U10" i="154" s="1"/>
  <c r="P10" i="154"/>
  <c r="O10" i="154"/>
  <c r="P9" i="154"/>
  <c r="O9" i="154"/>
  <c r="D9" i="154"/>
  <c r="O8" i="154"/>
  <c r="R8" i="154" s="1"/>
  <c r="N7" i="154"/>
  <c r="M7" i="154"/>
  <c r="K7" i="154"/>
  <c r="J7" i="154"/>
  <c r="I7" i="154"/>
  <c r="H7" i="154"/>
  <c r="G7" i="154"/>
  <c r="F7" i="154"/>
  <c r="E7" i="154"/>
  <c r="N6" i="154"/>
  <c r="M6" i="154"/>
  <c r="K6" i="154"/>
  <c r="J6" i="154"/>
  <c r="I6" i="154"/>
  <c r="H6" i="154"/>
  <c r="G6" i="154"/>
  <c r="F6" i="154"/>
  <c r="E6" i="154"/>
  <c r="N5" i="154"/>
  <c r="M5" i="154"/>
  <c r="K5" i="154"/>
  <c r="J5" i="154"/>
  <c r="I5" i="154"/>
  <c r="H5" i="154"/>
  <c r="G5" i="154"/>
  <c r="F5" i="154"/>
  <c r="E5" i="154"/>
  <c r="O54" i="153"/>
  <c r="O53" i="153"/>
  <c r="R53" i="153" s="1"/>
  <c r="U53" i="153" s="1"/>
  <c r="O52" i="153"/>
  <c r="P52" i="153" s="1"/>
  <c r="O51" i="153"/>
  <c r="O50" i="153"/>
  <c r="P50" i="153" s="1"/>
  <c r="O49" i="153"/>
  <c r="O48" i="153"/>
  <c r="O47" i="153"/>
  <c r="O46" i="153"/>
  <c r="P46" i="153" s="1"/>
  <c r="P45" i="155" s="1"/>
  <c r="N45" i="153"/>
  <c r="M45" i="153"/>
  <c r="L45" i="153"/>
  <c r="K45" i="153"/>
  <c r="J45" i="153"/>
  <c r="I45" i="153"/>
  <c r="H45" i="153"/>
  <c r="G45" i="153"/>
  <c r="F45" i="153"/>
  <c r="E45" i="153"/>
  <c r="O44" i="153"/>
  <c r="O43" i="153"/>
  <c r="O42" i="153"/>
  <c r="O41" i="153"/>
  <c r="O40" i="153"/>
  <c r="P40" i="153" s="1"/>
  <c r="O39" i="153"/>
  <c r="O38" i="153"/>
  <c r="O37" i="153"/>
  <c r="P37" i="153" s="1"/>
  <c r="O36" i="153"/>
  <c r="O35" i="153"/>
  <c r="O34" i="153"/>
  <c r="O33" i="153"/>
  <c r="O32" i="153"/>
  <c r="O31" i="153"/>
  <c r="O30" i="153"/>
  <c r="P30" i="153" s="1"/>
  <c r="O29" i="153"/>
  <c r="P29" i="153" s="1"/>
  <c r="O28" i="153"/>
  <c r="O27" i="153"/>
  <c r="P27" i="153" s="1"/>
  <c r="O26" i="153"/>
  <c r="P26" i="153" s="1"/>
  <c r="O25" i="153"/>
  <c r="O24" i="153"/>
  <c r="P24" i="153" s="1"/>
  <c r="O23" i="153"/>
  <c r="O22" i="153"/>
  <c r="O21" i="153"/>
  <c r="O20" i="153"/>
  <c r="N19" i="153"/>
  <c r="M19" i="153"/>
  <c r="L19" i="153"/>
  <c r="K19" i="153"/>
  <c r="J19" i="153"/>
  <c r="I19" i="153"/>
  <c r="H19" i="153"/>
  <c r="G19" i="153"/>
  <c r="F19" i="153"/>
  <c r="E19" i="153"/>
  <c r="O18" i="153"/>
  <c r="O17" i="153"/>
  <c r="P17" i="153" s="1"/>
  <c r="P16" i="155" s="1"/>
  <c r="O16" i="153"/>
  <c r="O15" i="153"/>
  <c r="O14" i="153"/>
  <c r="O13" i="153"/>
  <c r="R13" i="153" s="1"/>
  <c r="N12" i="153"/>
  <c r="M12" i="153"/>
  <c r="L12" i="153"/>
  <c r="K12" i="153"/>
  <c r="J12" i="153"/>
  <c r="I12" i="153"/>
  <c r="H12" i="153"/>
  <c r="G12" i="153"/>
  <c r="G7" i="153" s="1"/>
  <c r="F12" i="153"/>
  <c r="E12" i="153"/>
  <c r="E7" i="153" s="1"/>
  <c r="E6" i="153" s="1"/>
  <c r="O11" i="153"/>
  <c r="O10" i="153"/>
  <c r="D10" i="153"/>
  <c r="O9" i="153"/>
  <c r="R9" i="153" s="1"/>
  <c r="N8" i="153"/>
  <c r="M8" i="153"/>
  <c r="L8" i="153"/>
  <c r="K8" i="153"/>
  <c r="J8" i="153"/>
  <c r="I8" i="153"/>
  <c r="H8" i="153"/>
  <c r="G8" i="153"/>
  <c r="F8" i="153"/>
  <c r="E8" i="153"/>
  <c r="N7" i="153"/>
  <c r="M7" i="153"/>
  <c r="L7" i="153"/>
  <c r="K7" i="153"/>
  <c r="J7" i="153"/>
  <c r="I7" i="153"/>
  <c r="H7" i="153"/>
  <c r="F7" i="153"/>
  <c r="N6" i="153"/>
  <c r="M6" i="153"/>
  <c r="L6" i="153"/>
  <c r="K6" i="153"/>
  <c r="J6" i="153"/>
  <c r="I6" i="153"/>
  <c r="H6" i="153"/>
  <c r="F6" i="153"/>
  <c r="O53" i="152"/>
  <c r="O52" i="152"/>
  <c r="O51" i="152"/>
  <c r="O49" i="152"/>
  <c r="O48" i="152"/>
  <c r="O47" i="152"/>
  <c r="P47" i="152" s="1"/>
  <c r="O46" i="152"/>
  <c r="O45" i="152"/>
  <c r="N44" i="152"/>
  <c r="M44" i="152"/>
  <c r="L44" i="152"/>
  <c r="K44" i="152"/>
  <c r="J44" i="152"/>
  <c r="I44" i="152"/>
  <c r="H44" i="152"/>
  <c r="G44" i="152"/>
  <c r="F44" i="152"/>
  <c r="E44" i="152"/>
  <c r="O43" i="152"/>
  <c r="O42" i="152"/>
  <c r="O41" i="152"/>
  <c r="P41" i="152" s="1"/>
  <c r="O40" i="152"/>
  <c r="P40" i="152" s="1"/>
  <c r="O39" i="152"/>
  <c r="O38" i="152"/>
  <c r="R38" i="152" s="1"/>
  <c r="U38" i="152" s="1"/>
  <c r="O37" i="152"/>
  <c r="O36" i="152"/>
  <c r="O35" i="152"/>
  <c r="O34" i="152"/>
  <c r="R34" i="152" s="1"/>
  <c r="F18" i="152"/>
  <c r="F5" i="152" s="1"/>
  <c r="O32" i="152"/>
  <c r="P32" i="152" s="1"/>
  <c r="O31" i="152"/>
  <c r="O30" i="152"/>
  <c r="P30" i="152" s="1"/>
  <c r="O29" i="152"/>
  <c r="R29" i="152" s="1"/>
  <c r="U29" i="152" s="1"/>
  <c r="O28" i="152"/>
  <c r="P28" i="152" s="1"/>
  <c r="N18" i="152"/>
  <c r="O27" i="152"/>
  <c r="P27" i="152" s="1"/>
  <c r="O25" i="152"/>
  <c r="O24" i="152"/>
  <c r="O23" i="152"/>
  <c r="P23" i="152" s="1"/>
  <c r="O22" i="152"/>
  <c r="P22" i="152" s="1"/>
  <c r="O21" i="152"/>
  <c r="O20" i="152"/>
  <c r="P20" i="152" s="1"/>
  <c r="O19" i="152"/>
  <c r="P19" i="152" s="1"/>
  <c r="M18" i="152"/>
  <c r="L18" i="152"/>
  <c r="K18" i="152"/>
  <c r="J18" i="152"/>
  <c r="I18" i="152"/>
  <c r="G18" i="152"/>
  <c r="E18" i="152"/>
  <c r="E5" i="152" s="1"/>
  <c r="R17" i="152"/>
  <c r="U17" i="152" s="1"/>
  <c r="P17" i="152"/>
  <c r="O17" i="152"/>
  <c r="Q17" i="152" s="1"/>
  <c r="O16" i="152"/>
  <c r="O15" i="152"/>
  <c r="R14" i="152"/>
  <c r="U14" i="152" s="1"/>
  <c r="P14" i="152"/>
  <c r="O14" i="152"/>
  <c r="Q14" i="152" s="1"/>
  <c r="O13" i="152"/>
  <c r="O12" i="152"/>
  <c r="O11" i="152"/>
  <c r="N11" i="152"/>
  <c r="M11" i="152"/>
  <c r="L11" i="152"/>
  <c r="K11" i="152"/>
  <c r="J11" i="152"/>
  <c r="I11" i="152"/>
  <c r="H11" i="152"/>
  <c r="G11" i="152"/>
  <c r="F11" i="152"/>
  <c r="E11" i="152"/>
  <c r="O10" i="152"/>
  <c r="O9" i="152"/>
  <c r="D9" i="152"/>
  <c r="O8" i="152"/>
  <c r="N7" i="152"/>
  <c r="M7" i="152"/>
  <c r="L7" i="152"/>
  <c r="K7" i="152"/>
  <c r="J7" i="152"/>
  <c r="J6" i="152" s="1"/>
  <c r="J5" i="152" s="1"/>
  <c r="I7" i="152"/>
  <c r="H7" i="152"/>
  <c r="G7" i="152"/>
  <c r="F7" i="152"/>
  <c r="E7" i="152"/>
  <c r="N6" i="152"/>
  <c r="M6" i="152"/>
  <c r="L6" i="152"/>
  <c r="K6" i="152"/>
  <c r="K5" i="152" s="1"/>
  <c r="I6" i="152"/>
  <c r="H6" i="152"/>
  <c r="G6" i="152"/>
  <c r="F6" i="152"/>
  <c r="E6" i="152"/>
  <c r="M5" i="152"/>
  <c r="L5" i="152"/>
  <c r="I5" i="152"/>
  <c r="D10" i="151"/>
  <c r="C10" i="151"/>
  <c r="E9" i="151"/>
  <c r="E8" i="151"/>
  <c r="E7" i="151"/>
  <c r="E6" i="151"/>
  <c r="E5" i="151"/>
  <c r="E4" i="151"/>
  <c r="F5" i="156" l="1"/>
  <c r="H5" i="156"/>
  <c r="P45" i="156"/>
  <c r="P32" i="156"/>
  <c r="P26" i="156"/>
  <c r="O11" i="156"/>
  <c r="H5" i="155"/>
  <c r="L5" i="155"/>
  <c r="E10" i="151"/>
  <c r="N5" i="155"/>
  <c r="O40" i="155"/>
  <c r="P34" i="152"/>
  <c r="O34" i="155"/>
  <c r="O26" i="155"/>
  <c r="N5" i="152"/>
  <c r="O8" i="153"/>
  <c r="R10" i="152"/>
  <c r="U10" i="152" s="1"/>
  <c r="P10" i="152"/>
  <c r="R8" i="152"/>
  <c r="J6" i="155"/>
  <c r="O6" i="152"/>
  <c r="O7" i="152"/>
  <c r="P8" i="152"/>
  <c r="F5" i="155"/>
  <c r="O42" i="155"/>
  <c r="O38" i="155"/>
  <c r="O36" i="155"/>
  <c r="O32" i="155"/>
  <c r="O30" i="155"/>
  <c r="P29" i="152"/>
  <c r="O28" i="155"/>
  <c r="O24" i="155"/>
  <c r="O22" i="155"/>
  <c r="O20" i="155"/>
  <c r="G44" i="155"/>
  <c r="G6" i="153"/>
  <c r="G5" i="152"/>
  <c r="P28" i="155"/>
  <c r="P29" i="155"/>
  <c r="G5" i="155"/>
  <c r="P23" i="155"/>
  <c r="E6" i="155"/>
  <c r="E5" i="155" s="1"/>
  <c r="R46" i="156"/>
  <c r="U46" i="156" s="1"/>
  <c r="R51" i="156"/>
  <c r="P46" i="156"/>
  <c r="Q46" i="156" s="1"/>
  <c r="Q52" i="156"/>
  <c r="R52" i="156"/>
  <c r="U52" i="156" s="1"/>
  <c r="Q36" i="156"/>
  <c r="R36" i="156"/>
  <c r="U36" i="156" s="1"/>
  <c r="Q42" i="156"/>
  <c r="R42" i="156"/>
  <c r="U42" i="156" s="1"/>
  <c r="Q25" i="156"/>
  <c r="R25" i="156"/>
  <c r="Q31" i="156"/>
  <c r="R31" i="156"/>
  <c r="Q39" i="156"/>
  <c r="R39" i="156"/>
  <c r="U39" i="156" s="1"/>
  <c r="U17" i="156"/>
  <c r="R14" i="156"/>
  <c r="U14" i="156" s="1"/>
  <c r="P17" i="156"/>
  <c r="Q13" i="156"/>
  <c r="R13" i="156"/>
  <c r="U13" i="156" s="1"/>
  <c r="P14" i="156"/>
  <c r="Q14" i="156" s="1"/>
  <c r="Q15" i="156"/>
  <c r="R15" i="156"/>
  <c r="E6" i="156"/>
  <c r="E5" i="156" s="1"/>
  <c r="G6" i="156"/>
  <c r="G5" i="156" s="1"/>
  <c r="J5" i="155"/>
  <c r="Q47" i="154"/>
  <c r="R47" i="154"/>
  <c r="U47" i="154" s="1"/>
  <c r="Q50" i="154"/>
  <c r="R50" i="154"/>
  <c r="U50" i="154" s="1"/>
  <c r="R19" i="154"/>
  <c r="R23" i="154"/>
  <c r="U23" i="154" s="1"/>
  <c r="R25" i="154"/>
  <c r="R29" i="154"/>
  <c r="U29" i="154" s="1"/>
  <c r="R39" i="154"/>
  <c r="U39" i="154" s="1"/>
  <c r="P19" i="154"/>
  <c r="Q19" i="154" s="1"/>
  <c r="Q20" i="154"/>
  <c r="R20" i="154"/>
  <c r="U20" i="154" s="1"/>
  <c r="Q22" i="154"/>
  <c r="R22" i="154"/>
  <c r="P23" i="154"/>
  <c r="Q23" i="154" s="1"/>
  <c r="P25" i="154"/>
  <c r="Q25" i="154" s="1"/>
  <c r="Q26" i="154"/>
  <c r="R26" i="154"/>
  <c r="U26" i="154" s="1"/>
  <c r="Q28" i="154"/>
  <c r="R28" i="154"/>
  <c r="P29" i="154"/>
  <c r="Q29" i="154" s="1"/>
  <c r="Q36" i="154"/>
  <c r="R36" i="154"/>
  <c r="U36" i="154" s="1"/>
  <c r="P39" i="154"/>
  <c r="Q39" i="154" s="1"/>
  <c r="Q42" i="154"/>
  <c r="R42" i="154"/>
  <c r="U42" i="154" s="1"/>
  <c r="R47" i="153"/>
  <c r="U47" i="153" s="1"/>
  <c r="R49" i="153"/>
  <c r="Q46" i="153"/>
  <c r="R46" i="153"/>
  <c r="P47" i="153"/>
  <c r="P49" i="153"/>
  <c r="Q50" i="153"/>
  <c r="R50" i="153"/>
  <c r="U50" i="153" s="1"/>
  <c r="Q52" i="153"/>
  <c r="R52" i="153"/>
  <c r="P53" i="153"/>
  <c r="Q27" i="153"/>
  <c r="R27" i="153"/>
  <c r="U27" i="153" s="1"/>
  <c r="Q29" i="153"/>
  <c r="R29" i="153"/>
  <c r="Q37" i="153"/>
  <c r="R37" i="153"/>
  <c r="U37" i="153" s="1"/>
  <c r="R43" i="153"/>
  <c r="U43" i="153" s="1"/>
  <c r="Q24" i="153"/>
  <c r="R24" i="153"/>
  <c r="U24" i="153" s="1"/>
  <c r="Q26" i="153"/>
  <c r="R26" i="153"/>
  <c r="Q30" i="153"/>
  <c r="R30" i="153"/>
  <c r="U30" i="153" s="1"/>
  <c r="Q40" i="153"/>
  <c r="R40" i="153"/>
  <c r="U40" i="153" s="1"/>
  <c r="P43" i="153"/>
  <c r="Q43" i="153" s="1"/>
  <c r="R14" i="153"/>
  <c r="U14" i="153" s="1"/>
  <c r="R16" i="153"/>
  <c r="O12" i="153"/>
  <c r="O7" i="153" s="1"/>
  <c r="P13" i="153"/>
  <c r="P12" i="155" s="1"/>
  <c r="P14" i="153"/>
  <c r="P16" i="153"/>
  <c r="Q17" i="153"/>
  <c r="R17" i="153"/>
  <c r="U17" i="153" s="1"/>
  <c r="R47" i="152"/>
  <c r="U47" i="152" s="1"/>
  <c r="R19" i="152"/>
  <c r="R23" i="152"/>
  <c r="U23" i="152" s="1"/>
  <c r="R35" i="152"/>
  <c r="U35" i="152" s="1"/>
  <c r="R37" i="152"/>
  <c r="P38" i="152"/>
  <c r="R41" i="152"/>
  <c r="U41" i="152" s="1"/>
  <c r="Q20" i="152"/>
  <c r="R20" i="152"/>
  <c r="U20" i="152" s="1"/>
  <c r="Q22" i="152"/>
  <c r="R22" i="152"/>
  <c r="P35" i="152"/>
  <c r="Q35" i="152" s="1"/>
  <c r="P37" i="152"/>
  <c r="Q40" i="152"/>
  <c r="R40" i="152"/>
  <c r="O7" i="156"/>
  <c r="R8" i="156"/>
  <c r="P8" i="156"/>
  <c r="R9" i="156"/>
  <c r="U9" i="156" s="1"/>
  <c r="P9" i="156"/>
  <c r="Q9" i="156" s="1"/>
  <c r="R10" i="156"/>
  <c r="U10" i="156" s="1"/>
  <c r="P10" i="156"/>
  <c r="Q10" i="156" s="1"/>
  <c r="R11" i="156"/>
  <c r="U16" i="156"/>
  <c r="R27" i="156"/>
  <c r="U27" i="156" s="1"/>
  <c r="R33" i="156"/>
  <c r="U33" i="156" s="1"/>
  <c r="R48" i="156"/>
  <c r="P48" i="156"/>
  <c r="R49" i="156"/>
  <c r="U49" i="156" s="1"/>
  <c r="P49" i="156"/>
  <c r="Q49" i="156" s="1"/>
  <c r="R50" i="156"/>
  <c r="U50" i="156" s="1"/>
  <c r="P50" i="156"/>
  <c r="Q50" i="156" s="1"/>
  <c r="R54" i="156"/>
  <c r="P54" i="156"/>
  <c r="P12" i="156"/>
  <c r="P16" i="156"/>
  <c r="Q16" i="156" s="1"/>
  <c r="Q17" i="156"/>
  <c r="R19" i="156"/>
  <c r="P19" i="156"/>
  <c r="O18" i="156"/>
  <c r="R20" i="156"/>
  <c r="U20" i="156" s="1"/>
  <c r="P20" i="156"/>
  <c r="Q20" i="156" s="1"/>
  <c r="R21" i="156"/>
  <c r="U21" i="156" s="1"/>
  <c r="P21" i="156"/>
  <c r="Q21" i="156" s="1"/>
  <c r="R22" i="156"/>
  <c r="P22" i="156"/>
  <c r="Q22" i="156" s="1"/>
  <c r="R23" i="156"/>
  <c r="U23" i="156" s="1"/>
  <c r="P23" i="156"/>
  <c r="Q23" i="156" s="1"/>
  <c r="R24" i="156"/>
  <c r="U24" i="156" s="1"/>
  <c r="P24" i="156"/>
  <c r="Q24" i="156" s="1"/>
  <c r="Q26" i="156"/>
  <c r="P27" i="156"/>
  <c r="Q27" i="156" s="1"/>
  <c r="R28" i="156"/>
  <c r="P28" i="156"/>
  <c r="Q28" i="156" s="1"/>
  <c r="R29" i="156"/>
  <c r="U29" i="156" s="1"/>
  <c r="P29" i="156"/>
  <c r="Q29" i="156" s="1"/>
  <c r="R30" i="156"/>
  <c r="U30" i="156" s="1"/>
  <c r="P30" i="156"/>
  <c r="Q30" i="156" s="1"/>
  <c r="Q32" i="156"/>
  <c r="P33" i="156"/>
  <c r="Q33" i="156" s="1"/>
  <c r="R34" i="156"/>
  <c r="P34" i="156"/>
  <c r="Q34" i="156" s="1"/>
  <c r="R35" i="156"/>
  <c r="U35" i="156" s="1"/>
  <c r="P35" i="156"/>
  <c r="Q35" i="156" s="1"/>
  <c r="R37" i="156"/>
  <c r="P37" i="156"/>
  <c r="Q37" i="156" s="1"/>
  <c r="R38" i="156"/>
  <c r="U38" i="156" s="1"/>
  <c r="P38" i="156"/>
  <c r="Q38" i="156" s="1"/>
  <c r="R40" i="156"/>
  <c r="P40" i="156"/>
  <c r="Q40" i="156" s="1"/>
  <c r="R41" i="156"/>
  <c r="U41" i="156" s="1"/>
  <c r="P41" i="156"/>
  <c r="Q41" i="156" s="1"/>
  <c r="R43" i="156"/>
  <c r="P43" i="156"/>
  <c r="Q43" i="156" s="1"/>
  <c r="Q45" i="156"/>
  <c r="O47" i="156"/>
  <c r="N44" i="156"/>
  <c r="N5" i="156" s="1"/>
  <c r="Q48" i="156"/>
  <c r="Q51" i="156"/>
  <c r="Q53" i="156"/>
  <c r="R53" i="156"/>
  <c r="U53" i="156" s="1"/>
  <c r="Q54" i="156"/>
  <c r="Q55" i="156"/>
  <c r="R55" i="156" s="1"/>
  <c r="R8" i="155"/>
  <c r="O7" i="155"/>
  <c r="R10" i="155"/>
  <c r="U10" i="155" s="1"/>
  <c r="R12" i="155"/>
  <c r="Q12" i="155"/>
  <c r="O11" i="155"/>
  <c r="R14" i="155"/>
  <c r="U14" i="155" s="1"/>
  <c r="R16" i="155"/>
  <c r="U16" i="155" s="1"/>
  <c r="Q16" i="155"/>
  <c r="R20" i="155"/>
  <c r="U20" i="155" s="1"/>
  <c r="R22" i="155"/>
  <c r="R24" i="155"/>
  <c r="U24" i="155" s="1"/>
  <c r="R26" i="155"/>
  <c r="U26" i="155" s="1"/>
  <c r="Q28" i="155"/>
  <c r="R28" i="155"/>
  <c r="R30" i="155"/>
  <c r="U30" i="155" s="1"/>
  <c r="R32" i="155"/>
  <c r="U32" i="155" s="1"/>
  <c r="R34" i="155"/>
  <c r="R36" i="155"/>
  <c r="U36" i="155" s="1"/>
  <c r="R38" i="155"/>
  <c r="U38" i="155" s="1"/>
  <c r="R40" i="155"/>
  <c r="R42" i="155"/>
  <c r="U42" i="155" s="1"/>
  <c r="R46" i="155"/>
  <c r="U46" i="155" s="1"/>
  <c r="R48" i="155"/>
  <c r="R50" i="155"/>
  <c r="U50" i="155" s="1"/>
  <c r="R52" i="155"/>
  <c r="U52" i="155" s="1"/>
  <c r="R9" i="155"/>
  <c r="U9" i="155" s="1"/>
  <c r="R13" i="155"/>
  <c r="U13" i="155" s="1"/>
  <c r="R15" i="155"/>
  <c r="R17" i="155"/>
  <c r="U17" i="155" s="1"/>
  <c r="R19" i="155"/>
  <c r="O18" i="155"/>
  <c r="R21" i="155"/>
  <c r="U21" i="155" s="1"/>
  <c r="Q23" i="155"/>
  <c r="R23" i="155"/>
  <c r="U23" i="155" s="1"/>
  <c r="R25" i="155"/>
  <c r="R27" i="155"/>
  <c r="U27" i="155" s="1"/>
  <c r="Q29" i="155"/>
  <c r="R29" i="155"/>
  <c r="U29" i="155" s="1"/>
  <c r="R31" i="155"/>
  <c r="R33" i="155"/>
  <c r="U33" i="155" s="1"/>
  <c r="R35" i="155"/>
  <c r="U35" i="155" s="1"/>
  <c r="R37" i="155"/>
  <c r="R39" i="155"/>
  <c r="U39" i="155" s="1"/>
  <c r="R41" i="155"/>
  <c r="U41" i="155" s="1"/>
  <c r="R43" i="155"/>
  <c r="R45" i="155"/>
  <c r="O44" i="155"/>
  <c r="Q45" i="155"/>
  <c r="R47" i="155"/>
  <c r="U47" i="155" s="1"/>
  <c r="R49" i="155"/>
  <c r="U49" i="155" s="1"/>
  <c r="R51" i="155"/>
  <c r="R53" i="155"/>
  <c r="U53" i="155" s="1"/>
  <c r="R33" i="154"/>
  <c r="U33" i="154" s="1"/>
  <c r="P33" i="154"/>
  <c r="Q33" i="154" s="1"/>
  <c r="R53" i="154"/>
  <c r="U53" i="154" s="1"/>
  <c r="P53" i="154"/>
  <c r="Q53" i="154" s="1"/>
  <c r="O7" i="154"/>
  <c r="O6" i="154" s="1"/>
  <c r="P8" i="154"/>
  <c r="P7" i="154" s="1"/>
  <c r="R9" i="154"/>
  <c r="U9" i="154" s="1"/>
  <c r="Q9" i="154"/>
  <c r="Q10" i="154"/>
  <c r="O18" i="154"/>
  <c r="R21" i="154"/>
  <c r="U21" i="154" s="1"/>
  <c r="P21" i="154"/>
  <c r="R24" i="154"/>
  <c r="U24" i="154" s="1"/>
  <c r="P24" i="154"/>
  <c r="Q24" i="154" s="1"/>
  <c r="R27" i="154"/>
  <c r="U27" i="154" s="1"/>
  <c r="P27" i="154"/>
  <c r="Q27" i="154" s="1"/>
  <c r="R30" i="154"/>
  <c r="U30" i="154" s="1"/>
  <c r="P30" i="154"/>
  <c r="Q30" i="154" s="1"/>
  <c r="P14" i="154"/>
  <c r="Q14" i="154" s="1"/>
  <c r="R14" i="154"/>
  <c r="P17" i="154"/>
  <c r="Q17" i="154" s="1"/>
  <c r="R17" i="154"/>
  <c r="U17" i="154" s="1"/>
  <c r="P31" i="154"/>
  <c r="Q31" i="154" s="1"/>
  <c r="R31" i="154"/>
  <c r="P32" i="154"/>
  <c r="Q32" i="154" s="1"/>
  <c r="R32" i="154"/>
  <c r="U32" i="154" s="1"/>
  <c r="P34" i="154"/>
  <c r="Q34" i="154" s="1"/>
  <c r="R34" i="154"/>
  <c r="P35" i="154"/>
  <c r="Q35" i="154" s="1"/>
  <c r="R35" i="154"/>
  <c r="U35" i="154" s="1"/>
  <c r="P37" i="154"/>
  <c r="Q37" i="154" s="1"/>
  <c r="R37" i="154"/>
  <c r="P38" i="154"/>
  <c r="Q38" i="154" s="1"/>
  <c r="R38" i="154"/>
  <c r="U38" i="154" s="1"/>
  <c r="P40" i="154"/>
  <c r="Q40" i="154" s="1"/>
  <c r="R40" i="154"/>
  <c r="P41" i="154"/>
  <c r="Q41" i="154" s="1"/>
  <c r="R41" i="154"/>
  <c r="U41" i="154" s="1"/>
  <c r="P43" i="154"/>
  <c r="Q43" i="154" s="1"/>
  <c r="R43" i="154"/>
  <c r="O44" i="154"/>
  <c r="P45" i="154"/>
  <c r="R45" i="154"/>
  <c r="P46" i="154"/>
  <c r="Q46" i="154" s="1"/>
  <c r="R46" i="154"/>
  <c r="U46" i="154" s="1"/>
  <c r="P48" i="154"/>
  <c r="Q48" i="154" s="1"/>
  <c r="R48" i="154"/>
  <c r="P49" i="154"/>
  <c r="Q49" i="154" s="1"/>
  <c r="R49" i="154"/>
  <c r="U49" i="154" s="1"/>
  <c r="P51" i="154"/>
  <c r="Q51" i="154" s="1"/>
  <c r="R51" i="154"/>
  <c r="P52" i="154"/>
  <c r="Q52" i="154" s="1"/>
  <c r="R52" i="154"/>
  <c r="U52" i="154" s="1"/>
  <c r="R10" i="153"/>
  <c r="U10" i="153" s="1"/>
  <c r="R22" i="153"/>
  <c r="U22" i="153" s="1"/>
  <c r="P22" i="153"/>
  <c r="Q22" i="153" s="1"/>
  <c r="R23" i="153"/>
  <c r="P23" i="153"/>
  <c r="R25" i="153"/>
  <c r="U25" i="153" s="1"/>
  <c r="P25" i="153"/>
  <c r="R28" i="153"/>
  <c r="U28" i="153" s="1"/>
  <c r="P28" i="153"/>
  <c r="R31" i="153"/>
  <c r="U31" i="153" s="1"/>
  <c r="P31" i="153"/>
  <c r="R54" i="153"/>
  <c r="U54" i="153" s="1"/>
  <c r="P54" i="153"/>
  <c r="P9" i="153"/>
  <c r="Q9" i="153" s="1"/>
  <c r="P10" i="153"/>
  <c r="Q10" i="153" s="1"/>
  <c r="R34" i="153"/>
  <c r="U34" i="153" s="1"/>
  <c r="P34" i="153"/>
  <c r="Q34" i="153" s="1"/>
  <c r="O45" i="153"/>
  <c r="R48" i="153"/>
  <c r="U48" i="153" s="1"/>
  <c r="P48" i="153"/>
  <c r="P47" i="155" s="1"/>
  <c r="Q47" i="155" s="1"/>
  <c r="R51" i="153"/>
  <c r="U51" i="153" s="1"/>
  <c r="P51" i="153"/>
  <c r="P11" i="153"/>
  <c r="Q11" i="153" s="1"/>
  <c r="R11" i="153"/>
  <c r="U11" i="153" s="1"/>
  <c r="Q13" i="153"/>
  <c r="P15" i="153"/>
  <c r="P14" i="155" s="1"/>
  <c r="Q14" i="155" s="1"/>
  <c r="R15" i="153"/>
  <c r="U15" i="153" s="1"/>
  <c r="P18" i="153"/>
  <c r="R18" i="153"/>
  <c r="U18" i="153" s="1"/>
  <c r="O19" i="153"/>
  <c r="P20" i="153"/>
  <c r="R20" i="153"/>
  <c r="P21" i="153"/>
  <c r="R21" i="153"/>
  <c r="U21" i="153" s="1"/>
  <c r="P32" i="153"/>
  <c r="R32" i="153"/>
  <c r="P33" i="153"/>
  <c r="R33" i="153"/>
  <c r="U33" i="153" s="1"/>
  <c r="P35" i="153"/>
  <c r="R35" i="153"/>
  <c r="P36" i="153"/>
  <c r="R36" i="153"/>
  <c r="U36" i="153" s="1"/>
  <c r="P38" i="153"/>
  <c r="Q38" i="153" s="1"/>
  <c r="R38" i="153"/>
  <c r="P39" i="153"/>
  <c r="Q39" i="153" s="1"/>
  <c r="R39" i="153"/>
  <c r="U39" i="153" s="1"/>
  <c r="P41" i="153"/>
  <c r="R41" i="153"/>
  <c r="P42" i="153"/>
  <c r="R42" i="153"/>
  <c r="U42" i="153" s="1"/>
  <c r="P44" i="153"/>
  <c r="R44" i="153"/>
  <c r="Q53" i="153"/>
  <c r="R21" i="152"/>
  <c r="U21" i="152" s="1"/>
  <c r="P21" i="152"/>
  <c r="Q21" i="152" s="1"/>
  <c r="R24" i="152"/>
  <c r="U24" i="152" s="1"/>
  <c r="P24" i="152"/>
  <c r="Q24" i="152" s="1"/>
  <c r="R39" i="152"/>
  <c r="U39" i="152" s="1"/>
  <c r="P39" i="152"/>
  <c r="P9" i="152"/>
  <c r="R9" i="152"/>
  <c r="U9" i="152" s="1"/>
  <c r="P12" i="152"/>
  <c r="R12" i="152"/>
  <c r="P13" i="152"/>
  <c r="Q13" i="152" s="1"/>
  <c r="R13" i="152"/>
  <c r="U13" i="152" s="1"/>
  <c r="R15" i="152"/>
  <c r="P15" i="152"/>
  <c r="Q15" i="152" s="1"/>
  <c r="R16" i="152"/>
  <c r="U16" i="152" s="1"/>
  <c r="P16" i="152"/>
  <c r="Q16" i="152" s="1"/>
  <c r="Q19" i="152"/>
  <c r="Q23" i="152"/>
  <c r="Q27" i="152"/>
  <c r="R27" i="152"/>
  <c r="U27" i="152" s="1"/>
  <c r="Q29" i="152"/>
  <c r="R31" i="152"/>
  <c r="P31" i="152"/>
  <c r="Q31" i="152" s="1"/>
  <c r="Q32" i="152"/>
  <c r="R32" i="152"/>
  <c r="U32" i="152" s="1"/>
  <c r="Q34" i="152"/>
  <c r="R36" i="152"/>
  <c r="U36" i="152" s="1"/>
  <c r="P36" i="152"/>
  <c r="Q38" i="152"/>
  <c r="R42" i="152"/>
  <c r="U42" i="152" s="1"/>
  <c r="R45" i="152"/>
  <c r="P45" i="152"/>
  <c r="R46" i="152"/>
  <c r="U46" i="152" s="1"/>
  <c r="P46" i="152"/>
  <c r="R48" i="152"/>
  <c r="P48" i="152"/>
  <c r="R49" i="152"/>
  <c r="U49" i="152" s="1"/>
  <c r="P49" i="152"/>
  <c r="P49" i="155" s="1"/>
  <c r="Q49" i="155" s="1"/>
  <c r="P53" i="152"/>
  <c r="Q53" i="152" s="1"/>
  <c r="R25" i="152"/>
  <c r="P25" i="152"/>
  <c r="P25" i="155" s="1"/>
  <c r="Q25" i="155" s="1"/>
  <c r="O26" i="152"/>
  <c r="H18" i="152"/>
  <c r="H5" i="152" s="1"/>
  <c r="O5" i="152" s="1"/>
  <c r="Q28" i="152"/>
  <c r="R28" i="152"/>
  <c r="Q30" i="152"/>
  <c r="R30" i="152"/>
  <c r="U30" i="152" s="1"/>
  <c r="O33" i="152"/>
  <c r="Q41" i="152"/>
  <c r="P42" i="152"/>
  <c r="R43" i="152"/>
  <c r="U43" i="152" s="1"/>
  <c r="P43" i="152"/>
  <c r="Q43" i="152" s="1"/>
  <c r="Q45" i="152"/>
  <c r="Q46" i="152"/>
  <c r="Q47" i="152"/>
  <c r="Q48" i="152"/>
  <c r="Q49" i="152"/>
  <c r="O50" i="152"/>
  <c r="R51" i="152"/>
  <c r="P51" i="152"/>
  <c r="Q51" i="152" s="1"/>
  <c r="R52" i="152"/>
  <c r="U52" i="152" s="1"/>
  <c r="P52" i="152"/>
  <c r="Q52" i="152" s="1"/>
  <c r="R53" i="152"/>
  <c r="U53" i="152" s="1"/>
  <c r="F4" i="150"/>
  <c r="O6" i="156" l="1"/>
  <c r="P11" i="156"/>
  <c r="O6" i="153"/>
  <c r="P8" i="155"/>
  <c r="Q8" i="155" s="1"/>
  <c r="P10" i="155"/>
  <c r="Q10" i="155" s="1"/>
  <c r="Q10" i="152"/>
  <c r="P7" i="152"/>
  <c r="P9" i="155"/>
  <c r="Q9" i="155" s="1"/>
  <c r="Q8" i="152"/>
  <c r="Q42" i="153"/>
  <c r="P41" i="155"/>
  <c r="Q41" i="155" s="1"/>
  <c r="Q41" i="153"/>
  <c r="P40" i="155"/>
  <c r="Q40" i="155" s="1"/>
  <c r="Q36" i="153"/>
  <c r="P35" i="155"/>
  <c r="Q35" i="155" s="1"/>
  <c r="Q35" i="153"/>
  <c r="P34" i="155"/>
  <c r="Q34" i="155" s="1"/>
  <c r="Q33" i="153"/>
  <c r="P32" i="155"/>
  <c r="Q32" i="155" s="1"/>
  <c r="P38" i="155"/>
  <c r="Q38" i="155" s="1"/>
  <c r="P21" i="155"/>
  <c r="Q21" i="155" s="1"/>
  <c r="Q42" i="152"/>
  <c r="P42" i="155"/>
  <c r="Q42" i="155" s="1"/>
  <c r="Q39" i="152"/>
  <c r="P39" i="155"/>
  <c r="Q39" i="155" s="1"/>
  <c r="Q37" i="152"/>
  <c r="P37" i="155"/>
  <c r="Q37" i="155" s="1"/>
  <c r="Q36" i="152"/>
  <c r="P36" i="155"/>
  <c r="Q36" i="155" s="1"/>
  <c r="P52" i="155"/>
  <c r="Q52" i="155" s="1"/>
  <c r="P51" i="155"/>
  <c r="Q51" i="155" s="1"/>
  <c r="Q44" i="153"/>
  <c r="P43" i="155"/>
  <c r="Q43" i="155" s="1"/>
  <c r="Q32" i="153"/>
  <c r="P31" i="155"/>
  <c r="Q31" i="155" s="1"/>
  <c r="Q31" i="153"/>
  <c r="P30" i="155"/>
  <c r="Q30" i="155" s="1"/>
  <c r="Q28" i="153"/>
  <c r="P27" i="155"/>
  <c r="Q27" i="155" s="1"/>
  <c r="Q25" i="153"/>
  <c r="P24" i="155"/>
  <c r="Q24" i="155" s="1"/>
  <c r="Q23" i="153"/>
  <c r="P22" i="155"/>
  <c r="Q22" i="155" s="1"/>
  <c r="Q21" i="153"/>
  <c r="P20" i="155"/>
  <c r="Q20" i="155" s="1"/>
  <c r="Q20" i="153"/>
  <c r="P19" i="155"/>
  <c r="Q54" i="153"/>
  <c r="P53" i="155"/>
  <c r="Q53" i="155" s="1"/>
  <c r="Q51" i="153"/>
  <c r="Q49" i="153"/>
  <c r="P48" i="155"/>
  <c r="Q48" i="155" s="1"/>
  <c r="Q47" i="153"/>
  <c r="P46" i="155"/>
  <c r="Q18" i="153"/>
  <c r="P17" i="155"/>
  <c r="Q17" i="155" s="1"/>
  <c r="Q16" i="153"/>
  <c r="P15" i="155"/>
  <c r="Q15" i="155" s="1"/>
  <c r="Q14" i="153"/>
  <c r="P13" i="155"/>
  <c r="Q13" i="155" s="1"/>
  <c r="P7" i="156"/>
  <c r="P18" i="154"/>
  <c r="U18" i="154"/>
  <c r="Q21" i="154"/>
  <c r="U45" i="153"/>
  <c r="P45" i="153"/>
  <c r="Q8" i="153"/>
  <c r="R18" i="156"/>
  <c r="R7" i="156"/>
  <c r="R6" i="156" s="1"/>
  <c r="Q8" i="156"/>
  <c r="Q7" i="156" s="1"/>
  <c r="R47" i="156"/>
  <c r="P47" i="156"/>
  <c r="P44" i="156" s="1"/>
  <c r="O44" i="156"/>
  <c r="O5" i="156" s="1"/>
  <c r="U18" i="156"/>
  <c r="P18" i="156"/>
  <c r="Q19" i="156"/>
  <c r="Q18" i="156" s="1"/>
  <c r="Q12" i="156"/>
  <c r="Q11" i="156" s="1"/>
  <c r="U7" i="156"/>
  <c r="P6" i="156"/>
  <c r="R44" i="155"/>
  <c r="R18" i="155"/>
  <c r="R11" i="155"/>
  <c r="R7" i="155"/>
  <c r="U6" i="155"/>
  <c r="Q11" i="155"/>
  <c r="O6" i="155"/>
  <c r="O5" i="155" s="1"/>
  <c r="Q11" i="154"/>
  <c r="Q18" i="154"/>
  <c r="P44" i="154"/>
  <c r="U14" i="154"/>
  <c r="R11" i="154"/>
  <c r="Q45" i="154"/>
  <c r="Q44" i="154" s="1"/>
  <c r="U7" i="154"/>
  <c r="O5" i="154"/>
  <c r="Q8" i="154"/>
  <c r="Q7" i="154" s="1"/>
  <c r="Q6" i="154" s="1"/>
  <c r="U44" i="154"/>
  <c r="R44" i="154"/>
  <c r="P11" i="154"/>
  <c r="R18" i="154"/>
  <c r="P6" i="154"/>
  <c r="R7" i="154"/>
  <c r="R6" i="154" s="1"/>
  <c r="U19" i="153"/>
  <c r="R19" i="153"/>
  <c r="P12" i="153"/>
  <c r="Q48" i="153"/>
  <c r="Q45" i="153" s="1"/>
  <c r="R12" i="153"/>
  <c r="P19" i="153"/>
  <c r="R45" i="153"/>
  <c r="P8" i="153"/>
  <c r="Q15" i="153"/>
  <c r="Q12" i="153" s="1"/>
  <c r="U8" i="153"/>
  <c r="R8" i="153"/>
  <c r="R7" i="153" s="1"/>
  <c r="P50" i="152"/>
  <c r="Q50" i="152" s="1"/>
  <c r="Q44" i="152" s="1"/>
  <c r="R50" i="152"/>
  <c r="U50" i="152" s="1"/>
  <c r="R33" i="152"/>
  <c r="U33" i="152" s="1"/>
  <c r="P33" i="152"/>
  <c r="R26" i="152"/>
  <c r="U26" i="152" s="1"/>
  <c r="U18" i="152" s="1"/>
  <c r="P26" i="152"/>
  <c r="O44" i="152"/>
  <c r="R44" i="152"/>
  <c r="P11" i="152"/>
  <c r="P6" i="152" s="1"/>
  <c r="Q9" i="152"/>
  <c r="Q7" i="152" s="1"/>
  <c r="Q25" i="152"/>
  <c r="U44" i="152"/>
  <c r="P44" i="152"/>
  <c r="R11" i="152"/>
  <c r="U7" i="152"/>
  <c r="R7" i="152"/>
  <c r="R6" i="152" s="1"/>
  <c r="Q12" i="152"/>
  <c r="Q11" i="152" s="1"/>
  <c r="P5" i="156" l="1"/>
  <c r="P57" i="156" s="1"/>
  <c r="Q19" i="153"/>
  <c r="Q6" i="153" s="1"/>
  <c r="Q7" i="153"/>
  <c r="Q7" i="155"/>
  <c r="Q6" i="155" s="1"/>
  <c r="P7" i="155"/>
  <c r="R5" i="154"/>
  <c r="P5" i="154"/>
  <c r="U6" i="153"/>
  <c r="P50" i="155"/>
  <c r="Q50" i="155" s="1"/>
  <c r="P5" i="152"/>
  <c r="P26" i="155"/>
  <c r="Q26" i="155" s="1"/>
  <c r="Q5" i="154"/>
  <c r="Q33" i="152"/>
  <c r="P33" i="155"/>
  <c r="Q33" i="155" s="1"/>
  <c r="Q19" i="155"/>
  <c r="Q46" i="155"/>
  <c r="P11" i="155"/>
  <c r="P6" i="155" s="1"/>
  <c r="U5" i="155"/>
  <c r="R6" i="155"/>
  <c r="R5" i="155" s="1"/>
  <c r="R6" i="153"/>
  <c r="P7" i="153"/>
  <c r="P6" i="153" s="1"/>
  <c r="U5" i="152"/>
  <c r="Q47" i="156"/>
  <c r="Q44" i="156" s="1"/>
  <c r="U47" i="156"/>
  <c r="U44" i="156" s="1"/>
  <c r="U5" i="156" s="1"/>
  <c r="R44" i="156"/>
  <c r="R5" i="156" s="1"/>
  <c r="Q6" i="156"/>
  <c r="U5" i="154"/>
  <c r="Q6" i="152"/>
  <c r="Q26" i="152"/>
  <c r="R5" i="152"/>
  <c r="O9" i="144"/>
  <c r="O8" i="144" s="1"/>
  <c r="O10" i="144"/>
  <c r="O11" i="144"/>
  <c r="O13" i="144"/>
  <c r="O12" i="144" s="1"/>
  <c r="O14" i="144"/>
  <c r="O15" i="144"/>
  <c r="O16" i="144"/>
  <c r="O17" i="144"/>
  <c r="O18" i="144"/>
  <c r="O20" i="144"/>
  <c r="O21" i="144"/>
  <c r="O22" i="144"/>
  <c r="O23" i="144"/>
  <c r="O24" i="144"/>
  <c r="O25" i="144"/>
  <c r="O26" i="144"/>
  <c r="O27" i="144"/>
  <c r="O28" i="144"/>
  <c r="O29" i="144"/>
  <c r="O30" i="144"/>
  <c r="O31" i="144"/>
  <c r="O32" i="144"/>
  <c r="O33" i="144"/>
  <c r="O34" i="144"/>
  <c r="O35" i="144"/>
  <c r="O36" i="144"/>
  <c r="O37" i="144"/>
  <c r="O38" i="144"/>
  <c r="O39" i="144"/>
  <c r="O40" i="144"/>
  <c r="O41" i="144"/>
  <c r="O42" i="144"/>
  <c r="O43" i="144"/>
  <c r="O44" i="144"/>
  <c r="O46" i="144"/>
  <c r="O45" i="144" s="1"/>
  <c r="O47" i="144"/>
  <c r="O48" i="144"/>
  <c r="O49" i="144"/>
  <c r="O50" i="144"/>
  <c r="O51" i="144"/>
  <c r="O52" i="144"/>
  <c r="O53" i="144"/>
  <c r="O54" i="144"/>
  <c r="N23" i="144"/>
  <c r="N22" i="144"/>
  <c r="N21" i="147"/>
  <c r="N22" i="147"/>
  <c r="H4" i="150"/>
  <c r="O19" i="144" l="1"/>
  <c r="Q5" i="156"/>
  <c r="P44" i="155"/>
  <c r="P18" i="155"/>
  <c r="Q44" i="155"/>
  <c r="Q18" i="155"/>
  <c r="Q5" i="152"/>
  <c r="O7" i="144"/>
  <c r="O6" i="144" s="1"/>
  <c r="P5" i="155" l="1"/>
  <c r="Q5" i="155"/>
  <c r="L45" i="144"/>
  <c r="L19" i="144"/>
  <c r="L8" i="144"/>
  <c r="L7" i="144" s="1"/>
  <c r="L44" i="143"/>
  <c r="L18" i="143"/>
  <c r="L11" i="143"/>
  <c r="L7" i="143"/>
  <c r="L8" i="146"/>
  <c r="L9" i="146"/>
  <c r="L10" i="146"/>
  <c r="L12" i="146"/>
  <c r="L13" i="146"/>
  <c r="L14" i="146"/>
  <c r="L15" i="146"/>
  <c r="L16" i="146"/>
  <c r="L17" i="146"/>
  <c r="L19" i="146"/>
  <c r="L20" i="146"/>
  <c r="L21" i="146"/>
  <c r="L22" i="146"/>
  <c r="L23" i="146"/>
  <c r="L24" i="146"/>
  <c r="L25" i="146"/>
  <c r="L26" i="146"/>
  <c r="L27" i="146"/>
  <c r="L28" i="146"/>
  <c r="L29" i="146"/>
  <c r="L30" i="146"/>
  <c r="L31" i="146"/>
  <c r="L32" i="146"/>
  <c r="L33" i="146"/>
  <c r="L34" i="146"/>
  <c r="L35" i="146"/>
  <c r="L36" i="146"/>
  <c r="L37" i="146"/>
  <c r="L38" i="146"/>
  <c r="L39" i="146"/>
  <c r="L40" i="146"/>
  <c r="L41" i="146"/>
  <c r="L42" i="146"/>
  <c r="L43" i="146"/>
  <c r="L45" i="146"/>
  <c r="L46" i="146"/>
  <c r="L47" i="146"/>
  <c r="L48" i="146"/>
  <c r="L49" i="146"/>
  <c r="L50" i="146"/>
  <c r="L51" i="146"/>
  <c r="L52" i="146"/>
  <c r="L53" i="146"/>
  <c r="I21" i="146"/>
  <c r="R55" i="147"/>
  <c r="P43" i="147"/>
  <c r="Q43" i="147" s="1"/>
  <c r="R43" i="147"/>
  <c r="L44" i="147"/>
  <c r="L18" i="147"/>
  <c r="L7" i="147"/>
  <c r="L6" i="147" s="1"/>
  <c r="L11" i="147"/>
  <c r="L44" i="146" l="1"/>
  <c r="L18" i="146"/>
  <c r="L7" i="146"/>
  <c r="L11" i="146"/>
  <c r="L6" i="146" s="1"/>
  <c r="L5" i="146" s="1"/>
  <c r="L6" i="144"/>
  <c r="L6" i="143"/>
  <c r="L5" i="143" s="1"/>
  <c r="L5" i="147"/>
  <c r="N33" i="147"/>
  <c r="N30" i="147"/>
  <c r="N27" i="147"/>
  <c r="N24" i="147"/>
  <c r="N53" i="147"/>
  <c r="N50" i="147"/>
  <c r="N47" i="147"/>
  <c r="J10" i="147"/>
  <c r="J9" i="147"/>
  <c r="J8" i="147"/>
  <c r="H21" i="146" l="1"/>
  <c r="H22" i="146"/>
  <c r="H32" i="143"/>
  <c r="H28" i="143"/>
  <c r="H27" i="143"/>
  <c r="H26" i="143"/>
  <c r="H39" i="143"/>
  <c r="H33" i="143"/>
  <c r="H25" i="143"/>
  <c r="N33" i="145" l="1"/>
  <c r="N30" i="145"/>
  <c r="N27" i="145"/>
  <c r="N24" i="145"/>
  <c r="N21" i="145"/>
  <c r="N53" i="145"/>
  <c r="N34" i="144"/>
  <c r="N31" i="144"/>
  <c r="N28" i="144"/>
  <c r="N25" i="144"/>
  <c r="N54" i="144" l="1"/>
  <c r="N51" i="144"/>
  <c r="N48" i="144"/>
  <c r="N42" i="143"/>
  <c r="N39" i="143"/>
  <c r="N33" i="143"/>
  <c r="N30" i="143"/>
  <c r="N27" i="143"/>
  <c r="N24" i="143"/>
  <c r="N21" i="143"/>
  <c r="L12" i="144" l="1"/>
  <c r="E5" i="149"/>
  <c r="E6" i="149"/>
  <c r="E7" i="149"/>
  <c r="E8" i="149"/>
  <c r="E9" i="149"/>
  <c r="E4" i="149"/>
  <c r="D10" i="149"/>
  <c r="C10" i="149"/>
  <c r="E10" i="149" l="1"/>
  <c r="J11" i="144"/>
  <c r="J10" i="144"/>
  <c r="J9" i="144"/>
  <c r="E24" i="145"/>
  <c r="E21" i="145"/>
  <c r="E25" i="144"/>
  <c r="E22" i="144"/>
  <c r="E54" i="144"/>
  <c r="E51" i="144"/>
  <c r="E48" i="144"/>
  <c r="E39" i="143"/>
  <c r="E27" i="143"/>
  <c r="E24" i="143"/>
  <c r="E21" i="143"/>
  <c r="E53" i="143"/>
  <c r="E50" i="143"/>
  <c r="F33" i="145"/>
  <c r="F27" i="145"/>
  <c r="F21" i="145"/>
  <c r="F24" i="145"/>
  <c r="F53" i="145"/>
  <c r="F34" i="144"/>
  <c r="F28" i="144"/>
  <c r="F25" i="144"/>
  <c r="F22" i="144"/>
  <c r="F54" i="144"/>
  <c r="F51" i="144"/>
  <c r="F48" i="144"/>
  <c r="F39" i="143"/>
  <c r="F33" i="143"/>
  <c r="F27" i="143"/>
  <c r="F24" i="143"/>
  <c r="F18" i="143" s="1"/>
  <c r="F21" i="143"/>
  <c r="F53" i="143"/>
  <c r="F50" i="143"/>
  <c r="G33" i="143"/>
  <c r="G24" i="145"/>
  <c r="G21" i="145"/>
  <c r="G53" i="145"/>
  <c r="G25" i="144"/>
  <c r="G22" i="144"/>
  <c r="G54" i="144"/>
  <c r="G51" i="144"/>
  <c r="G48" i="144"/>
  <c r="H17" i="134"/>
  <c r="I17" i="134"/>
  <c r="J17" i="134"/>
  <c r="K17" i="134"/>
  <c r="L17" i="134"/>
  <c r="M17" i="134"/>
  <c r="N17" i="134"/>
  <c r="O17" i="134"/>
  <c r="P17" i="134"/>
  <c r="Q17" i="134"/>
  <c r="R42" i="134"/>
  <c r="S42" i="134" s="1"/>
  <c r="H18" i="99"/>
  <c r="I18" i="99"/>
  <c r="J18" i="99"/>
  <c r="K18" i="99"/>
  <c r="L18" i="99"/>
  <c r="M18" i="99"/>
  <c r="N18" i="99"/>
  <c r="O18" i="99"/>
  <c r="P18" i="99"/>
  <c r="Q18" i="99"/>
  <c r="R43" i="99"/>
  <c r="S43" i="99" s="1"/>
  <c r="T43" i="99" s="1"/>
  <c r="F43" i="136"/>
  <c r="G43" i="136"/>
  <c r="H43" i="136"/>
  <c r="I43" i="136"/>
  <c r="J43" i="136"/>
  <c r="K43" i="136"/>
  <c r="L43" i="136"/>
  <c r="M43" i="136"/>
  <c r="N43" i="136"/>
  <c r="O43" i="136"/>
  <c r="P43" i="136"/>
  <c r="Q43" i="136"/>
  <c r="R13" i="98"/>
  <c r="R14" i="98"/>
  <c r="R15" i="98"/>
  <c r="R16" i="98"/>
  <c r="F18" i="147"/>
  <c r="G18" i="147"/>
  <c r="H18" i="147"/>
  <c r="I18" i="147"/>
  <c r="J18" i="147"/>
  <c r="K18" i="147"/>
  <c r="M18" i="147"/>
  <c r="N18" i="147"/>
  <c r="E18" i="147"/>
  <c r="M14" i="146"/>
  <c r="M15" i="146"/>
  <c r="M16" i="146"/>
  <c r="M17" i="146"/>
  <c r="K14" i="146"/>
  <c r="K15" i="146"/>
  <c r="K16" i="146"/>
  <c r="K17" i="146"/>
  <c r="F18" i="145"/>
  <c r="G18" i="145"/>
  <c r="H18" i="145"/>
  <c r="I18" i="145"/>
  <c r="J18" i="145"/>
  <c r="K18" i="145"/>
  <c r="M18" i="145"/>
  <c r="N18" i="145"/>
  <c r="E18" i="145"/>
  <c r="F19" i="144"/>
  <c r="G19" i="144"/>
  <c r="H19" i="144"/>
  <c r="I19" i="144"/>
  <c r="J19" i="144"/>
  <c r="K19" i="144"/>
  <c r="M19" i="144"/>
  <c r="N19" i="144"/>
  <c r="E19" i="144"/>
  <c r="O43" i="147"/>
  <c r="E43" i="146"/>
  <c r="F43" i="146"/>
  <c r="G43" i="146"/>
  <c r="H43" i="146"/>
  <c r="I43" i="146"/>
  <c r="J43" i="146"/>
  <c r="K43" i="146"/>
  <c r="M43" i="146"/>
  <c r="N43" i="146"/>
  <c r="O43" i="145"/>
  <c r="H18" i="143"/>
  <c r="I18" i="143"/>
  <c r="J18" i="143"/>
  <c r="K18" i="143"/>
  <c r="M18" i="143"/>
  <c r="N18" i="143"/>
  <c r="E18" i="143"/>
  <c r="O43" i="143"/>
  <c r="P43" i="143" s="1"/>
  <c r="Q43" i="143" s="1"/>
  <c r="G27" i="143"/>
  <c r="G24" i="143"/>
  <c r="G21" i="143"/>
  <c r="S16" i="98" l="1"/>
  <c r="T16" i="98" s="1"/>
  <c r="S14" i="98"/>
  <c r="T14" i="98" s="1"/>
  <c r="S15" i="98"/>
  <c r="T15" i="98" s="1"/>
  <c r="S13" i="98"/>
  <c r="T13" i="98" s="1"/>
  <c r="P17" i="98"/>
  <c r="R43" i="136"/>
  <c r="U43" i="99"/>
  <c r="G18" i="143"/>
  <c r="O43" i="146"/>
  <c r="R43" i="146" s="1"/>
  <c r="U13" i="98"/>
  <c r="U15" i="98"/>
  <c r="U14" i="98"/>
  <c r="U16" i="98"/>
  <c r="P43" i="145"/>
  <c r="Q43" i="145" s="1"/>
  <c r="R43" i="145"/>
  <c r="P44" i="144"/>
  <c r="R44" i="144"/>
  <c r="R43" i="143"/>
  <c r="U43" i="143" s="1"/>
  <c r="U46" i="98"/>
  <c r="R19" i="98"/>
  <c r="R20" i="98"/>
  <c r="R21" i="98"/>
  <c r="R22" i="98"/>
  <c r="R23" i="98"/>
  <c r="R24" i="98"/>
  <c r="R25" i="98"/>
  <c r="R26" i="98"/>
  <c r="R27" i="98"/>
  <c r="R28" i="98"/>
  <c r="R29" i="98"/>
  <c r="R30" i="98"/>
  <c r="S30" i="98" s="1"/>
  <c r="R31" i="98"/>
  <c r="R32" i="98"/>
  <c r="R33" i="98"/>
  <c r="S33" i="98" s="1"/>
  <c r="R34" i="98"/>
  <c r="R35" i="98"/>
  <c r="R36" i="98"/>
  <c r="R37" i="98"/>
  <c r="R38" i="98"/>
  <c r="R39" i="98"/>
  <c r="R40" i="98"/>
  <c r="S40" i="98" s="1"/>
  <c r="R41" i="98"/>
  <c r="S41" i="98" s="1"/>
  <c r="R18" i="98"/>
  <c r="S18" i="98" s="1"/>
  <c r="U44" i="98" l="1"/>
  <c r="S44" i="98"/>
  <c r="S51" i="98"/>
  <c r="T51" i="98" s="1"/>
  <c r="S49" i="98"/>
  <c r="T49" i="98" s="1"/>
  <c r="S47" i="98"/>
  <c r="T47" i="98" s="1"/>
  <c r="S46" i="98"/>
  <c r="T46" i="98" s="1"/>
  <c r="S52" i="98"/>
  <c r="T52" i="98" s="1"/>
  <c r="S50" i="98"/>
  <c r="T50" i="98" s="1"/>
  <c r="S48" i="98"/>
  <c r="T48" i="98" s="1"/>
  <c r="S45" i="98"/>
  <c r="T45" i="98" s="1"/>
  <c r="S39" i="98"/>
  <c r="T39" i="98" s="1"/>
  <c r="S37" i="98"/>
  <c r="T37" i="98" s="1"/>
  <c r="S35" i="98"/>
  <c r="T35" i="98" s="1"/>
  <c r="S31" i="98"/>
  <c r="T31" i="98" s="1"/>
  <c r="S29" i="98"/>
  <c r="T29" i="98" s="1"/>
  <c r="S38" i="98"/>
  <c r="T38" i="98" s="1"/>
  <c r="S36" i="98"/>
  <c r="T36" i="98" s="1"/>
  <c r="S34" i="98"/>
  <c r="T34" i="98" s="1"/>
  <c r="S32" i="98"/>
  <c r="T32" i="98" s="1"/>
  <c r="S28" i="98"/>
  <c r="T28" i="98" s="1"/>
  <c r="S26" i="98"/>
  <c r="T26" i="98" s="1"/>
  <c r="S24" i="98"/>
  <c r="T24" i="98" s="1"/>
  <c r="S22" i="98"/>
  <c r="T22" i="98" s="1"/>
  <c r="S20" i="98"/>
  <c r="T20" i="98" s="1"/>
  <c r="S27" i="98"/>
  <c r="T27" i="98" s="1"/>
  <c r="S25" i="98"/>
  <c r="T25" i="98" s="1"/>
  <c r="S23" i="98"/>
  <c r="T23" i="98" s="1"/>
  <c r="S21" i="98"/>
  <c r="T21" i="98" s="1"/>
  <c r="S19" i="98"/>
  <c r="T19" i="98" s="1"/>
  <c r="U18" i="98"/>
  <c r="Q44" i="144"/>
  <c r="P43" i="146"/>
  <c r="Q43" i="146" s="1"/>
  <c r="U49" i="98"/>
  <c r="U47" i="98"/>
  <c r="U52" i="98"/>
  <c r="U51" i="98"/>
  <c r="U50" i="98"/>
  <c r="U48" i="98"/>
  <c r="U45" i="98"/>
  <c r="T44" i="98"/>
  <c r="T41" i="98"/>
  <c r="T40" i="98"/>
  <c r="U41" i="98"/>
  <c r="U40" i="98"/>
  <c r="U39" i="98"/>
  <c r="U38" i="98"/>
  <c r="U37" i="98"/>
  <c r="U36" i="98"/>
  <c r="U35" i="98"/>
  <c r="U34" i="98"/>
  <c r="U33" i="98"/>
  <c r="T33" i="98"/>
  <c r="U32" i="98"/>
  <c r="U31" i="98"/>
  <c r="U30" i="98"/>
  <c r="T30" i="98"/>
  <c r="U29" i="98"/>
  <c r="U28" i="98"/>
  <c r="U27" i="98"/>
  <c r="U26" i="98"/>
  <c r="U25" i="98"/>
  <c r="U24" i="98"/>
  <c r="U23" i="98"/>
  <c r="U22" i="98"/>
  <c r="U21" i="98"/>
  <c r="U20" i="98"/>
  <c r="U19" i="98"/>
  <c r="R17" i="98" l="1"/>
  <c r="S17" i="98"/>
  <c r="T18" i="98"/>
  <c r="T17" i="98" s="1"/>
  <c r="U17" i="98"/>
  <c r="Q60" i="98"/>
  <c r="O14" i="145" l="1"/>
  <c r="P14" i="145" s="1"/>
  <c r="Q14" i="145" s="1"/>
  <c r="O15" i="145"/>
  <c r="P15" i="145" s="1"/>
  <c r="Q15" i="145" s="1"/>
  <c r="O16" i="145"/>
  <c r="P16" i="145" s="1"/>
  <c r="Q16" i="145" s="1"/>
  <c r="O14" i="143"/>
  <c r="P14" i="143" s="1"/>
  <c r="Q14" i="143" s="1"/>
  <c r="O15" i="143"/>
  <c r="P15" i="143" s="1"/>
  <c r="Q15" i="143" s="1"/>
  <c r="O16" i="143"/>
  <c r="P16" i="143" s="1"/>
  <c r="Q16" i="143" s="1"/>
  <c r="E14" i="146"/>
  <c r="F14" i="146"/>
  <c r="G14" i="146"/>
  <c r="H14" i="146"/>
  <c r="I14" i="146"/>
  <c r="J14" i="146"/>
  <c r="N14" i="146"/>
  <c r="E15" i="146"/>
  <c r="F15" i="146"/>
  <c r="G15" i="146"/>
  <c r="H15" i="146"/>
  <c r="I15" i="146"/>
  <c r="J15" i="146"/>
  <c r="N15" i="146"/>
  <c r="E16" i="146"/>
  <c r="F16" i="146"/>
  <c r="G16" i="146"/>
  <c r="H16" i="146"/>
  <c r="I16" i="146"/>
  <c r="J16" i="146"/>
  <c r="N16" i="146"/>
  <c r="K12" i="146"/>
  <c r="R16" i="143" l="1"/>
  <c r="R15" i="143"/>
  <c r="R14" i="143"/>
  <c r="O14" i="146"/>
  <c r="R14" i="146" s="1"/>
  <c r="O16" i="146"/>
  <c r="R16" i="146" s="1"/>
  <c r="R16" i="145"/>
  <c r="R15" i="145"/>
  <c r="R14" i="145"/>
  <c r="P17" i="144" l="1"/>
  <c r="R17" i="144"/>
  <c r="P15" i="144"/>
  <c r="R15" i="144"/>
  <c r="O15" i="146"/>
  <c r="R15" i="146" s="1"/>
  <c r="K13" i="146"/>
  <c r="O45" i="147"/>
  <c r="O46" i="147"/>
  <c r="P14" i="144" l="1"/>
  <c r="R14" i="144"/>
  <c r="P16" i="144"/>
  <c r="R16" i="144"/>
  <c r="Q15" i="144"/>
  <c r="P14" i="146"/>
  <c r="Q17" i="144"/>
  <c r="P16" i="146"/>
  <c r="O55" i="147"/>
  <c r="P55" i="147" s="1"/>
  <c r="O53" i="147"/>
  <c r="R53" i="147" s="1"/>
  <c r="U53" i="147" s="1"/>
  <c r="O52" i="147"/>
  <c r="R52" i="147" s="1"/>
  <c r="U52" i="147" s="1"/>
  <c r="O51" i="147"/>
  <c r="R51" i="147" s="1"/>
  <c r="O50" i="147"/>
  <c r="P50" i="147" s="1"/>
  <c r="O49" i="147"/>
  <c r="R49" i="147" s="1"/>
  <c r="U49" i="147" s="1"/>
  <c r="O48" i="147"/>
  <c r="R48" i="147" s="1"/>
  <c r="O47" i="147"/>
  <c r="R46" i="147"/>
  <c r="U46" i="147" s="1"/>
  <c r="R45" i="147"/>
  <c r="N44" i="147"/>
  <c r="M44" i="147"/>
  <c r="K44" i="147"/>
  <c r="J44" i="147"/>
  <c r="I44" i="147"/>
  <c r="H44" i="147"/>
  <c r="G44" i="147"/>
  <c r="F44" i="147"/>
  <c r="E44" i="147"/>
  <c r="O42" i="147"/>
  <c r="P42" i="147" s="1"/>
  <c r="O41" i="147"/>
  <c r="R41" i="147" s="1"/>
  <c r="U41" i="147" s="1"/>
  <c r="O40" i="147"/>
  <c r="R40" i="147" s="1"/>
  <c r="O39" i="147"/>
  <c r="O38" i="147"/>
  <c r="R38" i="147" s="1"/>
  <c r="U38" i="147" s="1"/>
  <c r="O37" i="147"/>
  <c r="R37" i="147" s="1"/>
  <c r="O36" i="147"/>
  <c r="P36" i="147" s="1"/>
  <c r="O35" i="147"/>
  <c r="R35" i="147" s="1"/>
  <c r="U35" i="147" s="1"/>
  <c r="O34" i="147"/>
  <c r="R34" i="147" s="1"/>
  <c r="O33" i="147"/>
  <c r="O32" i="147"/>
  <c r="R32" i="147" s="1"/>
  <c r="U32" i="147" s="1"/>
  <c r="O31" i="147"/>
  <c r="R31" i="147" s="1"/>
  <c r="O30" i="147"/>
  <c r="P30" i="147" s="1"/>
  <c r="O29" i="147"/>
  <c r="R29" i="147" s="1"/>
  <c r="U29" i="147" s="1"/>
  <c r="O28" i="147"/>
  <c r="R28" i="147" s="1"/>
  <c r="O27" i="147"/>
  <c r="O26" i="147"/>
  <c r="P26" i="147" s="1"/>
  <c r="O25" i="147"/>
  <c r="O24" i="147"/>
  <c r="R24" i="147" s="1"/>
  <c r="U24" i="147" s="1"/>
  <c r="O23" i="147"/>
  <c r="R23" i="147" s="1"/>
  <c r="U23" i="147" s="1"/>
  <c r="O22" i="147"/>
  <c r="R22" i="147" s="1"/>
  <c r="O21" i="147"/>
  <c r="O20" i="147"/>
  <c r="P20" i="147" s="1"/>
  <c r="O19" i="147"/>
  <c r="O17" i="147"/>
  <c r="O16" i="147"/>
  <c r="O15" i="147"/>
  <c r="O14" i="147"/>
  <c r="O13" i="147"/>
  <c r="R13" i="147" s="1"/>
  <c r="U13" i="147" s="1"/>
  <c r="O12" i="147"/>
  <c r="R12" i="147" s="1"/>
  <c r="N11" i="147"/>
  <c r="M11" i="147"/>
  <c r="M6" i="147" s="1"/>
  <c r="M5" i="147" s="1"/>
  <c r="K11" i="147"/>
  <c r="J11" i="147"/>
  <c r="I11" i="147"/>
  <c r="H11" i="147"/>
  <c r="G11" i="147"/>
  <c r="F11" i="147"/>
  <c r="E11" i="147"/>
  <c r="O10" i="147"/>
  <c r="P10" i="147" s="1"/>
  <c r="O9" i="147"/>
  <c r="D9" i="147"/>
  <c r="O8" i="147"/>
  <c r="N7" i="147"/>
  <c r="M7" i="147"/>
  <c r="K7" i="147"/>
  <c r="J7" i="147"/>
  <c r="J6" i="147" s="1"/>
  <c r="J5" i="147" s="1"/>
  <c r="I7" i="147"/>
  <c r="H7" i="147"/>
  <c r="G7" i="147"/>
  <c r="F7" i="147"/>
  <c r="E7" i="147"/>
  <c r="K6" i="147"/>
  <c r="K5" i="147" s="1"/>
  <c r="I6" i="147"/>
  <c r="I5" i="147" s="1"/>
  <c r="F45" i="146"/>
  <c r="G45" i="146"/>
  <c r="H45" i="146"/>
  <c r="I45" i="146"/>
  <c r="J45" i="146"/>
  <c r="K45" i="146"/>
  <c r="M45" i="146"/>
  <c r="N45" i="146"/>
  <c r="F46" i="146"/>
  <c r="G46" i="146"/>
  <c r="H46" i="146"/>
  <c r="I46" i="146"/>
  <c r="J46" i="146"/>
  <c r="K46" i="146"/>
  <c r="M46" i="146"/>
  <c r="N46" i="146"/>
  <c r="F47" i="146"/>
  <c r="G47" i="146"/>
  <c r="H47" i="146"/>
  <c r="I47" i="146"/>
  <c r="J47" i="146"/>
  <c r="K47" i="146"/>
  <c r="M47" i="146"/>
  <c r="N47" i="146"/>
  <c r="F48" i="146"/>
  <c r="G48" i="146"/>
  <c r="H48" i="146"/>
  <c r="I48" i="146"/>
  <c r="J48" i="146"/>
  <c r="K48" i="146"/>
  <c r="M48" i="146"/>
  <c r="N48" i="146"/>
  <c r="F49" i="146"/>
  <c r="G49" i="146"/>
  <c r="H49" i="146"/>
  <c r="I49" i="146"/>
  <c r="J49" i="146"/>
  <c r="K49" i="146"/>
  <c r="M49" i="146"/>
  <c r="N49" i="146"/>
  <c r="F50" i="146"/>
  <c r="G50" i="146"/>
  <c r="H50" i="146"/>
  <c r="I50" i="146"/>
  <c r="J50" i="146"/>
  <c r="K50" i="146"/>
  <c r="M50" i="146"/>
  <c r="N50" i="146"/>
  <c r="F51" i="146"/>
  <c r="G51" i="146"/>
  <c r="H51" i="146"/>
  <c r="I51" i="146"/>
  <c r="J51" i="146"/>
  <c r="K51" i="146"/>
  <c r="M51" i="146"/>
  <c r="N51" i="146"/>
  <c r="F52" i="146"/>
  <c r="G52" i="146"/>
  <c r="H52" i="146"/>
  <c r="I52" i="146"/>
  <c r="J52" i="146"/>
  <c r="K52" i="146"/>
  <c r="M52" i="146"/>
  <c r="N52" i="146"/>
  <c r="F53" i="146"/>
  <c r="G53" i="146"/>
  <c r="H53" i="146"/>
  <c r="I53" i="146"/>
  <c r="J53" i="146"/>
  <c r="K53" i="146"/>
  <c r="M53" i="146"/>
  <c r="N53" i="146"/>
  <c r="E46" i="146"/>
  <c r="E47" i="146"/>
  <c r="E48" i="146"/>
  <c r="E49" i="146"/>
  <c r="E50" i="146"/>
  <c r="E51" i="146"/>
  <c r="E52" i="146"/>
  <c r="E53" i="146"/>
  <c r="E45" i="146"/>
  <c r="F19" i="146"/>
  <c r="G19" i="146"/>
  <c r="H19" i="146"/>
  <c r="I19" i="146"/>
  <c r="J19" i="146"/>
  <c r="K19" i="146"/>
  <c r="M19" i="146"/>
  <c r="N19" i="146"/>
  <c r="F20" i="146"/>
  <c r="G20" i="146"/>
  <c r="H20" i="146"/>
  <c r="I20" i="146"/>
  <c r="J20" i="146"/>
  <c r="K20" i="146"/>
  <c r="M20" i="146"/>
  <c r="N20" i="146"/>
  <c r="F21" i="146"/>
  <c r="G21" i="146"/>
  <c r="J21" i="146"/>
  <c r="K21" i="146"/>
  <c r="M21" i="146"/>
  <c r="N21" i="146"/>
  <c r="F22" i="146"/>
  <c r="G22" i="146"/>
  <c r="I22" i="146"/>
  <c r="J22" i="146"/>
  <c r="K22" i="146"/>
  <c r="M22" i="146"/>
  <c r="N22" i="146"/>
  <c r="F23" i="146"/>
  <c r="G23" i="146"/>
  <c r="H23" i="146"/>
  <c r="I23" i="146"/>
  <c r="J23" i="146"/>
  <c r="K23" i="146"/>
  <c r="M23" i="146"/>
  <c r="N23" i="146"/>
  <c r="F24" i="146"/>
  <c r="G24" i="146"/>
  <c r="H24" i="146"/>
  <c r="I24" i="146"/>
  <c r="J24" i="146"/>
  <c r="K24" i="146"/>
  <c r="M24" i="146"/>
  <c r="N24" i="146"/>
  <c r="F25" i="146"/>
  <c r="G25" i="146"/>
  <c r="H25" i="146"/>
  <c r="I25" i="146"/>
  <c r="J25" i="146"/>
  <c r="K25" i="146"/>
  <c r="M25" i="146"/>
  <c r="N25" i="146"/>
  <c r="F26" i="146"/>
  <c r="G26" i="146"/>
  <c r="H26" i="146"/>
  <c r="I26" i="146"/>
  <c r="J26" i="146"/>
  <c r="K26" i="146"/>
  <c r="M26" i="146"/>
  <c r="N26" i="146"/>
  <c r="F27" i="146"/>
  <c r="G27" i="146"/>
  <c r="H27" i="146"/>
  <c r="I27" i="146"/>
  <c r="J27" i="146"/>
  <c r="K27" i="146"/>
  <c r="M27" i="146"/>
  <c r="N27" i="146"/>
  <c r="F28" i="146"/>
  <c r="G28" i="146"/>
  <c r="H28" i="146"/>
  <c r="I28" i="146"/>
  <c r="J28" i="146"/>
  <c r="K28" i="146"/>
  <c r="M28" i="146"/>
  <c r="N28" i="146"/>
  <c r="F29" i="146"/>
  <c r="G29" i="146"/>
  <c r="H29" i="146"/>
  <c r="I29" i="146"/>
  <c r="J29" i="146"/>
  <c r="K29" i="146"/>
  <c r="M29" i="146"/>
  <c r="N29" i="146"/>
  <c r="F30" i="146"/>
  <c r="G30" i="146"/>
  <c r="H30" i="146"/>
  <c r="I30" i="146"/>
  <c r="J30" i="146"/>
  <c r="K30" i="146"/>
  <c r="M30" i="146"/>
  <c r="N30" i="146"/>
  <c r="F31" i="146"/>
  <c r="G31" i="146"/>
  <c r="H31" i="146"/>
  <c r="I31" i="146"/>
  <c r="J31" i="146"/>
  <c r="K31" i="146"/>
  <c r="M31" i="146"/>
  <c r="N31" i="146"/>
  <c r="F32" i="146"/>
  <c r="G32" i="146"/>
  <c r="H32" i="146"/>
  <c r="I32" i="146"/>
  <c r="J32" i="146"/>
  <c r="K32" i="146"/>
  <c r="M32" i="146"/>
  <c r="N32" i="146"/>
  <c r="F33" i="146"/>
  <c r="G33" i="146"/>
  <c r="H33" i="146"/>
  <c r="I33" i="146"/>
  <c r="J33" i="146"/>
  <c r="K33" i="146"/>
  <c r="M33" i="146"/>
  <c r="N33" i="146"/>
  <c r="F34" i="146"/>
  <c r="G34" i="146"/>
  <c r="H34" i="146"/>
  <c r="I34" i="146"/>
  <c r="J34" i="146"/>
  <c r="K34" i="146"/>
  <c r="M34" i="146"/>
  <c r="N34" i="146"/>
  <c r="F35" i="146"/>
  <c r="G35" i="146"/>
  <c r="H35" i="146"/>
  <c r="I35" i="146"/>
  <c r="J35" i="146"/>
  <c r="K35" i="146"/>
  <c r="M35" i="146"/>
  <c r="N35" i="146"/>
  <c r="F36" i="146"/>
  <c r="G36" i="146"/>
  <c r="H36" i="146"/>
  <c r="I36" i="146"/>
  <c r="J36" i="146"/>
  <c r="K36" i="146"/>
  <c r="M36" i="146"/>
  <c r="N36" i="146"/>
  <c r="F37" i="146"/>
  <c r="G37" i="146"/>
  <c r="H37" i="146"/>
  <c r="I37" i="146"/>
  <c r="J37" i="146"/>
  <c r="K37" i="146"/>
  <c r="M37" i="146"/>
  <c r="N37" i="146"/>
  <c r="F38" i="146"/>
  <c r="G38" i="146"/>
  <c r="H38" i="146"/>
  <c r="I38" i="146"/>
  <c r="J38" i="146"/>
  <c r="K38" i="146"/>
  <c r="M38" i="146"/>
  <c r="N38" i="146"/>
  <c r="F39" i="146"/>
  <c r="G39" i="146"/>
  <c r="H39" i="146"/>
  <c r="I39" i="146"/>
  <c r="J39" i="146"/>
  <c r="K39" i="146"/>
  <c r="M39" i="146"/>
  <c r="N39" i="146"/>
  <c r="F40" i="146"/>
  <c r="G40" i="146"/>
  <c r="H40" i="146"/>
  <c r="I40" i="146"/>
  <c r="J40" i="146"/>
  <c r="K40" i="146"/>
  <c r="M40" i="146"/>
  <c r="N40" i="146"/>
  <c r="F41" i="146"/>
  <c r="G41" i="146"/>
  <c r="H41" i="146"/>
  <c r="I41" i="146"/>
  <c r="J41" i="146"/>
  <c r="K41" i="146"/>
  <c r="M41" i="146"/>
  <c r="N41" i="146"/>
  <c r="F42" i="146"/>
  <c r="G42" i="146"/>
  <c r="H42" i="146"/>
  <c r="I42" i="146"/>
  <c r="J42" i="146"/>
  <c r="K42" i="146"/>
  <c r="M42" i="146"/>
  <c r="N42" i="146"/>
  <c r="E20" i="146"/>
  <c r="E21" i="146"/>
  <c r="E22" i="146"/>
  <c r="E23" i="146"/>
  <c r="E24" i="146"/>
  <c r="E25" i="146"/>
  <c r="E26" i="146"/>
  <c r="E27" i="146"/>
  <c r="E28" i="146"/>
  <c r="E29" i="146"/>
  <c r="E30" i="146"/>
  <c r="E31" i="146"/>
  <c r="E32" i="146"/>
  <c r="E33" i="146"/>
  <c r="E34" i="146"/>
  <c r="E35" i="146"/>
  <c r="E36" i="146"/>
  <c r="E37" i="146"/>
  <c r="E38" i="146"/>
  <c r="E39" i="146"/>
  <c r="E40" i="146"/>
  <c r="E41" i="146"/>
  <c r="E42" i="146"/>
  <c r="E19" i="146"/>
  <c r="F12" i="146"/>
  <c r="G12" i="146"/>
  <c r="H12" i="146"/>
  <c r="I12" i="146"/>
  <c r="J12" i="146"/>
  <c r="M12" i="146"/>
  <c r="N12" i="146"/>
  <c r="F13" i="146"/>
  <c r="G13" i="146"/>
  <c r="H13" i="146"/>
  <c r="I13" i="146"/>
  <c r="J13" i="146"/>
  <c r="M13" i="146"/>
  <c r="N13" i="146"/>
  <c r="F17" i="146"/>
  <c r="G17" i="146"/>
  <c r="H17" i="146"/>
  <c r="I17" i="146"/>
  <c r="J17" i="146"/>
  <c r="N17" i="146"/>
  <c r="E12" i="146"/>
  <c r="E13" i="146"/>
  <c r="E17" i="146"/>
  <c r="F8" i="146"/>
  <c r="G8" i="146"/>
  <c r="H8" i="146"/>
  <c r="I8" i="146"/>
  <c r="J8" i="146"/>
  <c r="K8" i="146"/>
  <c r="M8" i="146"/>
  <c r="N8" i="146"/>
  <c r="F9" i="146"/>
  <c r="G9" i="146"/>
  <c r="H9" i="146"/>
  <c r="I9" i="146"/>
  <c r="J9" i="146"/>
  <c r="K9" i="146"/>
  <c r="M9" i="146"/>
  <c r="N9" i="146"/>
  <c r="F10" i="146"/>
  <c r="G10" i="146"/>
  <c r="H10" i="146"/>
  <c r="I10" i="146"/>
  <c r="J10" i="146"/>
  <c r="K10" i="146"/>
  <c r="M10" i="146"/>
  <c r="N10" i="146"/>
  <c r="E8" i="146"/>
  <c r="E9" i="146"/>
  <c r="E10" i="146"/>
  <c r="D9" i="146"/>
  <c r="O53" i="145"/>
  <c r="O52" i="145"/>
  <c r="O51" i="145"/>
  <c r="P51" i="145" s="1"/>
  <c r="O50" i="145"/>
  <c r="O49" i="145"/>
  <c r="P49" i="145" s="1"/>
  <c r="O48" i="145"/>
  <c r="O47" i="145"/>
  <c r="O46" i="145"/>
  <c r="O45" i="145"/>
  <c r="P45" i="145" s="1"/>
  <c r="N44" i="145"/>
  <c r="M44" i="145"/>
  <c r="K44" i="145"/>
  <c r="J44" i="145"/>
  <c r="I44" i="145"/>
  <c r="H44" i="145"/>
  <c r="G44" i="145"/>
  <c r="F44" i="145"/>
  <c r="E44" i="145"/>
  <c r="O42" i="145"/>
  <c r="O41" i="145"/>
  <c r="P41" i="145" s="1"/>
  <c r="O40" i="145"/>
  <c r="O39" i="145"/>
  <c r="O38" i="145"/>
  <c r="O37" i="145"/>
  <c r="P37" i="145" s="1"/>
  <c r="O36" i="145"/>
  <c r="O35" i="145"/>
  <c r="P35" i="145" s="1"/>
  <c r="O34" i="145"/>
  <c r="O33" i="145"/>
  <c r="O32" i="145"/>
  <c r="O31" i="145"/>
  <c r="P31" i="145" s="1"/>
  <c r="O30" i="145"/>
  <c r="O29" i="145"/>
  <c r="P29" i="145" s="1"/>
  <c r="O28" i="145"/>
  <c r="O27" i="145"/>
  <c r="O26" i="145"/>
  <c r="O25" i="145"/>
  <c r="P25" i="145" s="1"/>
  <c r="O24" i="145"/>
  <c r="O23" i="145"/>
  <c r="O22" i="145"/>
  <c r="O21" i="145"/>
  <c r="P21" i="145" s="1"/>
  <c r="O20" i="145"/>
  <c r="O19" i="145"/>
  <c r="O17" i="145"/>
  <c r="O13" i="145"/>
  <c r="O12" i="145"/>
  <c r="N11" i="145"/>
  <c r="M11" i="145"/>
  <c r="K11" i="145"/>
  <c r="J11" i="145"/>
  <c r="I11" i="145"/>
  <c r="H11" i="145"/>
  <c r="G11" i="145"/>
  <c r="F11" i="145"/>
  <c r="E11" i="145"/>
  <c r="O10" i="145"/>
  <c r="O9" i="145"/>
  <c r="D9" i="145"/>
  <c r="O8" i="145"/>
  <c r="P8" i="145" s="1"/>
  <c r="N7" i="145"/>
  <c r="N6" i="145" s="1"/>
  <c r="M7" i="145"/>
  <c r="K7" i="145"/>
  <c r="J7" i="145"/>
  <c r="I7" i="145"/>
  <c r="H7" i="145"/>
  <c r="G7" i="145"/>
  <c r="G6" i="145" s="1"/>
  <c r="G5" i="145" s="1"/>
  <c r="F7" i="145"/>
  <c r="E7" i="145"/>
  <c r="I6" i="145"/>
  <c r="I5" i="145"/>
  <c r="P52" i="144"/>
  <c r="P50" i="144"/>
  <c r="P46" i="144"/>
  <c r="N45" i="144"/>
  <c r="M45" i="144"/>
  <c r="K45" i="144"/>
  <c r="J45" i="144"/>
  <c r="I45" i="144"/>
  <c r="H45" i="144"/>
  <c r="G45" i="144"/>
  <c r="F45" i="144"/>
  <c r="E45" i="144"/>
  <c r="P41" i="144"/>
  <c r="P39" i="144"/>
  <c r="P35" i="144"/>
  <c r="P33" i="144"/>
  <c r="P29" i="144"/>
  <c r="P27" i="144"/>
  <c r="N12" i="144"/>
  <c r="M12" i="144"/>
  <c r="K12" i="144"/>
  <c r="J12" i="144"/>
  <c r="I12" i="144"/>
  <c r="H12" i="144"/>
  <c r="G12" i="144"/>
  <c r="F12" i="144"/>
  <c r="E12" i="144"/>
  <c r="D10" i="144"/>
  <c r="R9" i="144"/>
  <c r="N8" i="144"/>
  <c r="M8" i="144"/>
  <c r="K8" i="144"/>
  <c r="J8" i="144"/>
  <c r="J7" i="144" s="1"/>
  <c r="J6" i="144" s="1"/>
  <c r="I8" i="144"/>
  <c r="H8" i="144"/>
  <c r="G8" i="144"/>
  <c r="F8" i="144"/>
  <c r="E8" i="144"/>
  <c r="N7" i="144"/>
  <c r="I7" i="144"/>
  <c r="I6" i="144" s="1"/>
  <c r="O53" i="143"/>
  <c r="O52" i="143"/>
  <c r="O51" i="143"/>
  <c r="P51" i="143" s="1"/>
  <c r="O50" i="143"/>
  <c r="O49" i="143"/>
  <c r="P49" i="143" s="1"/>
  <c r="O48" i="143"/>
  <c r="O47" i="143"/>
  <c r="O46" i="143"/>
  <c r="O45" i="143"/>
  <c r="P45" i="143" s="1"/>
  <c r="N44" i="143"/>
  <c r="M44" i="143"/>
  <c r="K44" i="143"/>
  <c r="J44" i="143"/>
  <c r="I44" i="143"/>
  <c r="H44" i="143"/>
  <c r="G44" i="143"/>
  <c r="F44" i="143"/>
  <c r="E44" i="143"/>
  <c r="O42" i="143"/>
  <c r="O41" i="143"/>
  <c r="P41" i="143" s="1"/>
  <c r="O40" i="143"/>
  <c r="O39" i="143"/>
  <c r="O38" i="143"/>
  <c r="P38" i="143" s="1"/>
  <c r="O37" i="143"/>
  <c r="P37" i="143" s="1"/>
  <c r="O36" i="143"/>
  <c r="O35" i="143"/>
  <c r="P35" i="143" s="1"/>
  <c r="O34" i="143"/>
  <c r="P34" i="143" s="1"/>
  <c r="O33" i="143"/>
  <c r="O32" i="143"/>
  <c r="P32" i="143" s="1"/>
  <c r="O31" i="143"/>
  <c r="P31" i="143" s="1"/>
  <c r="O30" i="143"/>
  <c r="O29" i="143"/>
  <c r="P29" i="143" s="1"/>
  <c r="O28" i="143"/>
  <c r="P28" i="143" s="1"/>
  <c r="O27" i="143"/>
  <c r="O26" i="143"/>
  <c r="P26" i="143" s="1"/>
  <c r="O25" i="143"/>
  <c r="P25" i="143" s="1"/>
  <c r="O24" i="143"/>
  <c r="O23" i="143"/>
  <c r="P23" i="143" s="1"/>
  <c r="O22" i="143"/>
  <c r="P22" i="143" s="1"/>
  <c r="O21" i="143"/>
  <c r="O20" i="143"/>
  <c r="P20" i="143" s="1"/>
  <c r="O19" i="143"/>
  <c r="P19" i="143" s="1"/>
  <c r="O17" i="143"/>
  <c r="O13" i="143"/>
  <c r="O12" i="143"/>
  <c r="N11" i="143"/>
  <c r="M11" i="143"/>
  <c r="K11" i="143"/>
  <c r="J11" i="143"/>
  <c r="I11" i="143"/>
  <c r="H11" i="143"/>
  <c r="G11" i="143"/>
  <c r="F11" i="143"/>
  <c r="E11" i="143"/>
  <c r="O10" i="143"/>
  <c r="R10" i="143" s="1"/>
  <c r="U10" i="143" s="1"/>
  <c r="O9" i="143"/>
  <c r="D9" i="143"/>
  <c r="O8" i="143"/>
  <c r="O7" i="143" s="1"/>
  <c r="N7" i="143"/>
  <c r="M7" i="143"/>
  <c r="K7" i="143"/>
  <c r="K6" i="143" s="1"/>
  <c r="K5" i="143" s="1"/>
  <c r="J7" i="143"/>
  <c r="I7" i="143"/>
  <c r="H7" i="143"/>
  <c r="H6" i="143" s="1"/>
  <c r="G7" i="143"/>
  <c r="F7" i="143"/>
  <c r="F6" i="143" s="1"/>
  <c r="F5" i="143" s="1"/>
  <c r="E7" i="143"/>
  <c r="N6" i="143"/>
  <c r="N5" i="143" s="1"/>
  <c r="I6" i="143"/>
  <c r="I5" i="143" s="1"/>
  <c r="E6" i="143"/>
  <c r="E5" i="143" s="1"/>
  <c r="R54" i="147" l="1"/>
  <c r="F54" i="99"/>
  <c r="O18" i="147"/>
  <c r="N5" i="145"/>
  <c r="F44" i="146"/>
  <c r="H5" i="143"/>
  <c r="M7" i="144"/>
  <c r="M6" i="144" s="1"/>
  <c r="F6" i="145"/>
  <c r="H6" i="145"/>
  <c r="J6" i="145"/>
  <c r="J5" i="145" s="1"/>
  <c r="M6" i="145"/>
  <c r="M5" i="145" s="1"/>
  <c r="E7" i="144"/>
  <c r="G7" i="144"/>
  <c r="J44" i="146"/>
  <c r="G6" i="143"/>
  <c r="G5" i="143" s="1"/>
  <c r="N18" i="146"/>
  <c r="K18" i="146"/>
  <c r="I18" i="146"/>
  <c r="J6" i="143"/>
  <c r="J5" i="143" s="1"/>
  <c r="M6" i="143"/>
  <c r="M5" i="143" s="1"/>
  <c r="M18" i="146"/>
  <c r="J18" i="146"/>
  <c r="H18" i="146"/>
  <c r="O47" i="146"/>
  <c r="R47" i="146" s="1"/>
  <c r="U47" i="146" s="1"/>
  <c r="E18" i="146"/>
  <c r="F7" i="144"/>
  <c r="F6" i="144" s="1"/>
  <c r="F18" i="146"/>
  <c r="O18" i="145"/>
  <c r="G18" i="146"/>
  <c r="R9" i="147"/>
  <c r="U9" i="147" s="1"/>
  <c r="G11" i="146"/>
  <c r="O33" i="146"/>
  <c r="O23" i="146"/>
  <c r="R23" i="146" s="1"/>
  <c r="U23" i="146" s="1"/>
  <c r="E6" i="145"/>
  <c r="K6" i="145"/>
  <c r="K5" i="145" s="1"/>
  <c r="O11" i="145"/>
  <c r="R9" i="145"/>
  <c r="U9" i="145" s="1"/>
  <c r="O6" i="143"/>
  <c r="K7" i="144"/>
  <c r="K6" i="144" s="1"/>
  <c r="F6" i="147"/>
  <c r="F5" i="147" s="1"/>
  <c r="H6" i="147"/>
  <c r="H5" i="147" s="1"/>
  <c r="E6" i="147"/>
  <c r="E5" i="147" s="1"/>
  <c r="G6" i="147"/>
  <c r="N6" i="147"/>
  <c r="N5" i="147" s="1"/>
  <c r="O52" i="146"/>
  <c r="Q16" i="144"/>
  <c r="P15" i="146"/>
  <c r="Q14" i="144"/>
  <c r="M7" i="146"/>
  <c r="F7" i="146"/>
  <c r="M44" i="146"/>
  <c r="J7" i="146"/>
  <c r="H7" i="146"/>
  <c r="F11" i="146"/>
  <c r="O10" i="146"/>
  <c r="R10" i="146" s="1"/>
  <c r="U10" i="146" s="1"/>
  <c r="O8" i="146"/>
  <c r="O9" i="146"/>
  <c r="R9" i="146" s="1"/>
  <c r="U9" i="146" s="1"/>
  <c r="K7" i="146"/>
  <c r="N11" i="146"/>
  <c r="J11" i="146"/>
  <c r="O22" i="146"/>
  <c r="R22" i="146" s="1"/>
  <c r="O20" i="146"/>
  <c r="R20" i="146" s="1"/>
  <c r="U20" i="146" s="1"/>
  <c r="O37" i="146"/>
  <c r="R37" i="146" s="1"/>
  <c r="O29" i="146"/>
  <c r="R29" i="146" s="1"/>
  <c r="U29" i="146" s="1"/>
  <c r="O19" i="146"/>
  <c r="R19" i="146" s="1"/>
  <c r="O51" i="146"/>
  <c r="R51" i="146" s="1"/>
  <c r="O49" i="146"/>
  <c r="R49" i="146" s="1"/>
  <c r="U49" i="146" s="1"/>
  <c r="O50" i="146"/>
  <c r="R50" i="146" s="1"/>
  <c r="U50" i="146" s="1"/>
  <c r="K44" i="146"/>
  <c r="I44" i="146"/>
  <c r="O45" i="146"/>
  <c r="R45" i="146" s="1"/>
  <c r="E7" i="146"/>
  <c r="R13" i="145"/>
  <c r="U13" i="145" s="1"/>
  <c r="R17" i="145"/>
  <c r="U17" i="145" s="1"/>
  <c r="O7" i="145"/>
  <c r="Q8" i="145"/>
  <c r="R8" i="145"/>
  <c r="P13" i="145"/>
  <c r="Q13" i="145" s="1"/>
  <c r="P17" i="145"/>
  <c r="Q17" i="145" s="1"/>
  <c r="N7" i="146"/>
  <c r="I7" i="146"/>
  <c r="G7" i="146"/>
  <c r="I11" i="146"/>
  <c r="M11" i="146"/>
  <c r="O35" i="146"/>
  <c r="R35" i="146" s="1"/>
  <c r="U35" i="146" s="1"/>
  <c r="O31" i="146"/>
  <c r="R31" i="146" s="1"/>
  <c r="O25" i="146"/>
  <c r="R25" i="146" s="1"/>
  <c r="O21" i="146"/>
  <c r="R21" i="146" s="1"/>
  <c r="U21" i="146" s="1"/>
  <c r="E44" i="146"/>
  <c r="O46" i="146"/>
  <c r="G44" i="146"/>
  <c r="P10" i="143"/>
  <c r="R8" i="143"/>
  <c r="R12" i="143"/>
  <c r="P8" i="143"/>
  <c r="Q8" i="143" s="1"/>
  <c r="P12" i="143"/>
  <c r="Q12" i="143" s="1"/>
  <c r="U14" i="143"/>
  <c r="U16" i="143"/>
  <c r="P45" i="146"/>
  <c r="O41" i="146"/>
  <c r="R41" i="146" s="1"/>
  <c r="U41" i="146" s="1"/>
  <c r="O17" i="146"/>
  <c r="R17" i="146" s="1"/>
  <c r="U17" i="146" s="1"/>
  <c r="O13" i="146"/>
  <c r="R13" i="146" s="1"/>
  <c r="U13" i="146" s="1"/>
  <c r="O12" i="146"/>
  <c r="R12" i="146" s="1"/>
  <c r="K11" i="146"/>
  <c r="K6" i="146" s="1"/>
  <c r="O7" i="147"/>
  <c r="G5" i="147"/>
  <c r="H5" i="145"/>
  <c r="H11" i="146"/>
  <c r="H7" i="144"/>
  <c r="H6" i="144" s="1"/>
  <c r="P38" i="146"/>
  <c r="O39" i="146"/>
  <c r="R39" i="146" s="1"/>
  <c r="U39" i="146" s="1"/>
  <c r="H44" i="146"/>
  <c r="O48" i="146"/>
  <c r="R48" i="146" s="1"/>
  <c r="N6" i="144"/>
  <c r="O53" i="146"/>
  <c r="R53" i="146" s="1"/>
  <c r="U53" i="146" s="1"/>
  <c r="N44" i="146"/>
  <c r="O27" i="146"/>
  <c r="R27" i="146" s="1"/>
  <c r="U27" i="146" s="1"/>
  <c r="G6" i="144"/>
  <c r="F5" i="145"/>
  <c r="P34" i="146"/>
  <c r="P32" i="146"/>
  <c r="P28" i="146"/>
  <c r="P26" i="146"/>
  <c r="E5" i="145"/>
  <c r="O44" i="145"/>
  <c r="E6" i="144"/>
  <c r="P51" i="146"/>
  <c r="P49" i="146"/>
  <c r="O42" i="146"/>
  <c r="R42" i="146" s="1"/>
  <c r="U42" i="146" s="1"/>
  <c r="O40" i="146"/>
  <c r="R40" i="146" s="1"/>
  <c r="O38" i="146"/>
  <c r="R38" i="146" s="1"/>
  <c r="U38" i="146" s="1"/>
  <c r="O36" i="146"/>
  <c r="R36" i="146" s="1"/>
  <c r="U36" i="146" s="1"/>
  <c r="O34" i="146"/>
  <c r="Q34" i="146" s="1"/>
  <c r="O32" i="146"/>
  <c r="R32" i="146" s="1"/>
  <c r="U32" i="146" s="1"/>
  <c r="O30" i="146"/>
  <c r="R30" i="146" s="1"/>
  <c r="U30" i="146" s="1"/>
  <c r="O28" i="146"/>
  <c r="R28" i="146" s="1"/>
  <c r="O26" i="146"/>
  <c r="O24" i="146"/>
  <c r="R24" i="146" s="1"/>
  <c r="U24" i="146" s="1"/>
  <c r="O44" i="143"/>
  <c r="R47" i="147"/>
  <c r="U47" i="147" s="1"/>
  <c r="P47" i="147"/>
  <c r="Q47" i="147" s="1"/>
  <c r="Q50" i="147"/>
  <c r="R50" i="147"/>
  <c r="U50" i="147" s="1"/>
  <c r="R19" i="147"/>
  <c r="R25" i="147"/>
  <c r="R33" i="147"/>
  <c r="U33" i="147" s="1"/>
  <c r="R39" i="147"/>
  <c r="U39" i="147" s="1"/>
  <c r="P19" i="147"/>
  <c r="Q20" i="147"/>
  <c r="R20" i="147"/>
  <c r="U20" i="147" s="1"/>
  <c r="P25" i="147"/>
  <c r="Q25" i="147" s="1"/>
  <c r="Q26" i="147"/>
  <c r="R26" i="147"/>
  <c r="U26" i="147" s="1"/>
  <c r="Q30" i="147"/>
  <c r="R30" i="147"/>
  <c r="U30" i="147" s="1"/>
  <c r="P33" i="147"/>
  <c r="Q33" i="147" s="1"/>
  <c r="Q36" i="147"/>
  <c r="R36" i="147"/>
  <c r="U36" i="147" s="1"/>
  <c r="P39" i="147"/>
  <c r="Q39" i="147" s="1"/>
  <c r="Q42" i="147"/>
  <c r="R42" i="147"/>
  <c r="U42" i="147" s="1"/>
  <c r="R8" i="147"/>
  <c r="P8" i="147"/>
  <c r="Q8" i="147" s="1"/>
  <c r="Q10" i="147"/>
  <c r="R10" i="147"/>
  <c r="U10" i="147" s="1"/>
  <c r="R14" i="147"/>
  <c r="U14" i="147" s="1"/>
  <c r="P14" i="147"/>
  <c r="O11" i="147"/>
  <c r="O6" i="147" s="1"/>
  <c r="Q14" i="147"/>
  <c r="R15" i="147"/>
  <c r="P15" i="147"/>
  <c r="Q15" i="147" s="1"/>
  <c r="R16" i="147"/>
  <c r="U16" i="147" s="1"/>
  <c r="P16" i="147"/>
  <c r="Q16" i="147" s="1"/>
  <c r="R27" i="147"/>
  <c r="U27" i="147" s="1"/>
  <c r="P27" i="147"/>
  <c r="Q27" i="147" s="1"/>
  <c r="P9" i="147"/>
  <c r="Q9" i="147" s="1"/>
  <c r="P12" i="147"/>
  <c r="P13" i="147"/>
  <c r="Q13" i="147" s="1"/>
  <c r="R17" i="147"/>
  <c r="U17" i="147" s="1"/>
  <c r="P17" i="147"/>
  <c r="Q17" i="147" s="1"/>
  <c r="R21" i="147"/>
  <c r="U21" i="147" s="1"/>
  <c r="U18" i="147" s="1"/>
  <c r="P21" i="147"/>
  <c r="Q55" i="147"/>
  <c r="P22" i="147"/>
  <c r="Q22" i="147" s="1"/>
  <c r="P23" i="147"/>
  <c r="Q23" i="147" s="1"/>
  <c r="P24" i="147"/>
  <c r="Q24" i="147" s="1"/>
  <c r="P28" i="147"/>
  <c r="Q28" i="147" s="1"/>
  <c r="P29" i="147"/>
  <c r="Q29" i="147" s="1"/>
  <c r="P31" i="147"/>
  <c r="Q31" i="147" s="1"/>
  <c r="P32" i="147"/>
  <c r="Q32" i="147" s="1"/>
  <c r="P34" i="147"/>
  <c r="Q34" i="147" s="1"/>
  <c r="P35" i="147"/>
  <c r="Q35" i="147" s="1"/>
  <c r="P37" i="147"/>
  <c r="Q37" i="147" s="1"/>
  <c r="P38" i="147"/>
  <c r="Q38" i="147" s="1"/>
  <c r="P40" i="147"/>
  <c r="Q40" i="147" s="1"/>
  <c r="P41" i="147"/>
  <c r="Q41" i="147" s="1"/>
  <c r="O44" i="147"/>
  <c r="P45" i="147"/>
  <c r="P46" i="147"/>
  <c r="Q46" i="147" s="1"/>
  <c r="P48" i="147"/>
  <c r="Q48" i="147" s="1"/>
  <c r="P49" i="147"/>
  <c r="Q49" i="147" s="1"/>
  <c r="P51" i="147"/>
  <c r="Q51" i="147" s="1"/>
  <c r="P52" i="147"/>
  <c r="Q52" i="147" s="1"/>
  <c r="P53" i="147"/>
  <c r="Q53" i="147" s="1"/>
  <c r="P54" i="147"/>
  <c r="Q54" i="147" s="1"/>
  <c r="I6" i="146"/>
  <c r="R8" i="146"/>
  <c r="U14" i="146"/>
  <c r="U16" i="146"/>
  <c r="R33" i="146"/>
  <c r="U33" i="146" s="1"/>
  <c r="R34" i="146"/>
  <c r="R46" i="146"/>
  <c r="U46" i="146" s="1"/>
  <c r="R52" i="146"/>
  <c r="U52" i="146" s="1"/>
  <c r="E11" i="146"/>
  <c r="E6" i="146" s="1"/>
  <c r="R46" i="145"/>
  <c r="U46" i="145" s="1"/>
  <c r="R48" i="145"/>
  <c r="R52" i="145"/>
  <c r="U52" i="145" s="1"/>
  <c r="Q45" i="145"/>
  <c r="R45" i="145"/>
  <c r="P46" i="145"/>
  <c r="Q46" i="145" s="1"/>
  <c r="P48" i="145"/>
  <c r="Q48" i="145" s="1"/>
  <c r="Q49" i="145"/>
  <c r="R49" i="145"/>
  <c r="U49" i="145" s="1"/>
  <c r="Q51" i="145"/>
  <c r="R51" i="145"/>
  <c r="P52" i="145"/>
  <c r="Q52" i="145" s="1"/>
  <c r="R26" i="145"/>
  <c r="U26" i="145" s="1"/>
  <c r="R28" i="145"/>
  <c r="R32" i="145"/>
  <c r="U32" i="145" s="1"/>
  <c r="R34" i="145"/>
  <c r="R38" i="145"/>
  <c r="U38" i="145" s="1"/>
  <c r="R40" i="145"/>
  <c r="Q21" i="145"/>
  <c r="R21" i="145"/>
  <c r="U21" i="145" s="1"/>
  <c r="Q25" i="145"/>
  <c r="R25" i="145"/>
  <c r="P26" i="145"/>
  <c r="Q26" i="145" s="1"/>
  <c r="P28" i="145"/>
  <c r="Q28" i="145" s="1"/>
  <c r="Q29" i="145"/>
  <c r="R29" i="145"/>
  <c r="U29" i="145" s="1"/>
  <c r="Q31" i="145"/>
  <c r="R31" i="145"/>
  <c r="P32" i="145"/>
  <c r="Q32" i="145" s="1"/>
  <c r="P34" i="145"/>
  <c r="Q34" i="145" s="1"/>
  <c r="Q35" i="145"/>
  <c r="R35" i="145"/>
  <c r="U35" i="145" s="1"/>
  <c r="Q37" i="145"/>
  <c r="R37" i="145"/>
  <c r="P38" i="145"/>
  <c r="Q38" i="145" s="1"/>
  <c r="P40" i="145"/>
  <c r="Q40" i="145" s="1"/>
  <c r="Q41" i="145"/>
  <c r="R41" i="145"/>
  <c r="U41" i="145" s="1"/>
  <c r="R10" i="145"/>
  <c r="U10" i="145" s="1"/>
  <c r="P10" i="145"/>
  <c r="R12" i="145"/>
  <c r="P12" i="145"/>
  <c r="Q12" i="145" s="1"/>
  <c r="P9" i="145"/>
  <c r="Q9" i="145" s="1"/>
  <c r="Q10" i="145"/>
  <c r="U14" i="145"/>
  <c r="U16" i="145"/>
  <c r="P19" i="145"/>
  <c r="R19" i="145"/>
  <c r="P20" i="145"/>
  <c r="Q20" i="145" s="1"/>
  <c r="R20" i="145"/>
  <c r="U20" i="145" s="1"/>
  <c r="P22" i="145"/>
  <c r="Q22" i="145" s="1"/>
  <c r="R22" i="145"/>
  <c r="P23" i="145"/>
  <c r="Q23" i="145" s="1"/>
  <c r="R23" i="145"/>
  <c r="U23" i="145" s="1"/>
  <c r="P24" i="145"/>
  <c r="Q24" i="145" s="1"/>
  <c r="R24" i="145"/>
  <c r="U24" i="145" s="1"/>
  <c r="P27" i="145"/>
  <c r="Q27" i="145" s="1"/>
  <c r="R27" i="145"/>
  <c r="U27" i="145" s="1"/>
  <c r="P30" i="145"/>
  <c r="Q30" i="145" s="1"/>
  <c r="R30" i="145"/>
  <c r="U30" i="145" s="1"/>
  <c r="P33" i="145"/>
  <c r="Q33" i="145" s="1"/>
  <c r="R33" i="145"/>
  <c r="U33" i="145" s="1"/>
  <c r="P36" i="145"/>
  <c r="Q36" i="145" s="1"/>
  <c r="R36" i="145"/>
  <c r="U36" i="145" s="1"/>
  <c r="P39" i="145"/>
  <c r="Q39" i="145" s="1"/>
  <c r="R39" i="145"/>
  <c r="U39" i="145" s="1"/>
  <c r="P42" i="145"/>
  <c r="Q42" i="145" s="1"/>
  <c r="R42" i="145"/>
  <c r="U42" i="145" s="1"/>
  <c r="P47" i="145"/>
  <c r="R47" i="145"/>
  <c r="U47" i="145" s="1"/>
  <c r="P50" i="145"/>
  <c r="Q50" i="145" s="1"/>
  <c r="R50" i="145"/>
  <c r="U50" i="145" s="1"/>
  <c r="P53" i="145"/>
  <c r="Q53" i="145" s="1"/>
  <c r="R53" i="145"/>
  <c r="U53" i="145" s="1"/>
  <c r="R47" i="144"/>
  <c r="U47" i="144" s="1"/>
  <c r="R49" i="144"/>
  <c r="R53" i="144"/>
  <c r="U53" i="144" s="1"/>
  <c r="Q46" i="144"/>
  <c r="R46" i="144"/>
  <c r="P47" i="144"/>
  <c r="P49" i="144"/>
  <c r="Q49" i="144" s="1"/>
  <c r="Q50" i="144"/>
  <c r="R50" i="144"/>
  <c r="U50" i="144" s="1"/>
  <c r="Q52" i="144"/>
  <c r="R52" i="144"/>
  <c r="P53" i="144"/>
  <c r="Q53" i="144" s="1"/>
  <c r="R22" i="144"/>
  <c r="U22" i="144" s="1"/>
  <c r="R26" i="144"/>
  <c r="R30" i="144"/>
  <c r="U30" i="144" s="1"/>
  <c r="R32" i="144"/>
  <c r="R36" i="144"/>
  <c r="U36" i="144" s="1"/>
  <c r="R38" i="144"/>
  <c r="R42" i="144"/>
  <c r="U42" i="144" s="1"/>
  <c r="P22" i="144"/>
  <c r="Q22" i="144" s="1"/>
  <c r="P26" i="144"/>
  <c r="Q26" i="144" s="1"/>
  <c r="Q27" i="144"/>
  <c r="R27" i="144"/>
  <c r="U27" i="144" s="1"/>
  <c r="Q29" i="144"/>
  <c r="R29" i="144"/>
  <c r="P30" i="144"/>
  <c r="Q30" i="144" s="1"/>
  <c r="P32" i="144"/>
  <c r="Q32" i="144" s="1"/>
  <c r="Q33" i="144"/>
  <c r="R33" i="144"/>
  <c r="U33" i="144" s="1"/>
  <c r="Q35" i="144"/>
  <c r="R35" i="144"/>
  <c r="P36" i="144"/>
  <c r="Q36" i="144" s="1"/>
  <c r="P38" i="144"/>
  <c r="Q38" i="144" s="1"/>
  <c r="Q39" i="144"/>
  <c r="R39" i="144"/>
  <c r="U39" i="144" s="1"/>
  <c r="Q41" i="144"/>
  <c r="R41" i="144"/>
  <c r="P42" i="144"/>
  <c r="Q42" i="144" s="1"/>
  <c r="U14" i="144"/>
  <c r="R18" i="144"/>
  <c r="U18" i="144" s="1"/>
  <c r="P18" i="144"/>
  <c r="R10" i="144"/>
  <c r="U10" i="144" s="1"/>
  <c r="P10" i="144"/>
  <c r="P9" i="144"/>
  <c r="R11" i="144"/>
  <c r="U11" i="144" s="1"/>
  <c r="P11" i="144"/>
  <c r="P13" i="144"/>
  <c r="R13" i="144"/>
  <c r="U15" i="144"/>
  <c r="U17" i="144"/>
  <c r="P20" i="144"/>
  <c r="R20" i="144"/>
  <c r="P21" i="144"/>
  <c r="Q21" i="144" s="1"/>
  <c r="R21" i="144"/>
  <c r="U21" i="144" s="1"/>
  <c r="P23" i="144"/>
  <c r="Q23" i="144" s="1"/>
  <c r="R23" i="144"/>
  <c r="P24" i="144"/>
  <c r="Q24" i="144" s="1"/>
  <c r="R24" i="144"/>
  <c r="U24" i="144" s="1"/>
  <c r="P25" i="144"/>
  <c r="Q25" i="144" s="1"/>
  <c r="R25" i="144"/>
  <c r="U25" i="144" s="1"/>
  <c r="P28" i="144"/>
  <c r="Q28" i="144" s="1"/>
  <c r="R28" i="144"/>
  <c r="U28" i="144" s="1"/>
  <c r="P31" i="144"/>
  <c r="Q31" i="144" s="1"/>
  <c r="R31" i="144"/>
  <c r="U31" i="144" s="1"/>
  <c r="P34" i="144"/>
  <c r="Q34" i="144" s="1"/>
  <c r="R34" i="144"/>
  <c r="U34" i="144" s="1"/>
  <c r="P37" i="144"/>
  <c r="Q37" i="144" s="1"/>
  <c r="R37" i="144"/>
  <c r="U37" i="144" s="1"/>
  <c r="P40" i="144"/>
  <c r="Q40" i="144" s="1"/>
  <c r="R40" i="144"/>
  <c r="U40" i="144" s="1"/>
  <c r="P43" i="144"/>
  <c r="Q43" i="144" s="1"/>
  <c r="R43" i="144"/>
  <c r="U43" i="144" s="1"/>
  <c r="P48" i="144"/>
  <c r="R48" i="144"/>
  <c r="U48" i="144" s="1"/>
  <c r="P51" i="144"/>
  <c r="Q51" i="144" s="1"/>
  <c r="R51" i="144"/>
  <c r="U51" i="144" s="1"/>
  <c r="P54" i="144"/>
  <c r="Q54" i="144" s="1"/>
  <c r="R54" i="144"/>
  <c r="U54" i="144" s="1"/>
  <c r="R46" i="143"/>
  <c r="U46" i="143" s="1"/>
  <c r="R48" i="143"/>
  <c r="R52" i="143"/>
  <c r="U52" i="143" s="1"/>
  <c r="Q45" i="143"/>
  <c r="R45" i="143"/>
  <c r="P46" i="143"/>
  <c r="Q46" i="143" s="1"/>
  <c r="P48" i="143"/>
  <c r="Q49" i="143"/>
  <c r="R49" i="143"/>
  <c r="U49" i="143" s="1"/>
  <c r="Q51" i="143"/>
  <c r="R51" i="143"/>
  <c r="P52" i="143"/>
  <c r="O18" i="143"/>
  <c r="Q20" i="143"/>
  <c r="R20" i="143"/>
  <c r="U20" i="143" s="1"/>
  <c r="Q22" i="143"/>
  <c r="R22" i="143"/>
  <c r="Q26" i="143"/>
  <c r="R26" i="143"/>
  <c r="U26" i="143" s="1"/>
  <c r="Q28" i="143"/>
  <c r="R28" i="143"/>
  <c r="Q32" i="143"/>
  <c r="R32" i="143"/>
  <c r="U32" i="143" s="1"/>
  <c r="Q34" i="143"/>
  <c r="R34" i="143"/>
  <c r="Q38" i="143"/>
  <c r="R38" i="143"/>
  <c r="U38" i="143" s="1"/>
  <c r="R40" i="143"/>
  <c r="Q19" i="143"/>
  <c r="R19" i="143"/>
  <c r="Q23" i="143"/>
  <c r="R23" i="143"/>
  <c r="U23" i="143" s="1"/>
  <c r="Q25" i="143"/>
  <c r="R25" i="143"/>
  <c r="Q29" i="143"/>
  <c r="R29" i="143"/>
  <c r="U29" i="143" s="1"/>
  <c r="Q31" i="143"/>
  <c r="R31" i="143"/>
  <c r="Q35" i="143"/>
  <c r="R35" i="143"/>
  <c r="U35" i="143" s="1"/>
  <c r="Q37" i="143"/>
  <c r="R37" i="143"/>
  <c r="P40" i="143"/>
  <c r="Q41" i="143"/>
  <c r="R41" i="143"/>
  <c r="U41" i="143" s="1"/>
  <c r="R9" i="143"/>
  <c r="U9" i="143" s="1"/>
  <c r="P9" i="143"/>
  <c r="Q9" i="143" s="1"/>
  <c r="Q10" i="143"/>
  <c r="O11" i="143"/>
  <c r="P13" i="143"/>
  <c r="Q13" i="143" s="1"/>
  <c r="R13" i="143"/>
  <c r="P17" i="143"/>
  <c r="R17" i="143"/>
  <c r="U17" i="143" s="1"/>
  <c r="P21" i="143"/>
  <c r="R21" i="143"/>
  <c r="U21" i="143" s="1"/>
  <c r="P24" i="143"/>
  <c r="R24" i="143"/>
  <c r="U24" i="143" s="1"/>
  <c r="P27" i="143"/>
  <c r="R27" i="143"/>
  <c r="U27" i="143" s="1"/>
  <c r="P30" i="143"/>
  <c r="R30" i="143"/>
  <c r="U30" i="143" s="1"/>
  <c r="P33" i="143"/>
  <c r="R33" i="143"/>
  <c r="U33" i="143" s="1"/>
  <c r="P36" i="143"/>
  <c r="R36" i="143"/>
  <c r="U36" i="143" s="1"/>
  <c r="P39" i="143"/>
  <c r="R39" i="143"/>
  <c r="U39" i="143" s="1"/>
  <c r="P42" i="143"/>
  <c r="R42" i="143"/>
  <c r="U42" i="143" s="1"/>
  <c r="P47" i="143"/>
  <c r="R47" i="143"/>
  <c r="U47" i="143" s="1"/>
  <c r="P50" i="143"/>
  <c r="R50" i="143"/>
  <c r="U50" i="143" s="1"/>
  <c r="P53" i="143"/>
  <c r="R53" i="143"/>
  <c r="U53" i="143" s="1"/>
  <c r="O57" i="147" l="1"/>
  <c r="P21" i="146"/>
  <c r="O5" i="143"/>
  <c r="Q19" i="147"/>
  <c r="P18" i="147"/>
  <c r="R18" i="147"/>
  <c r="Q49" i="146"/>
  <c r="K5" i="146"/>
  <c r="O6" i="145"/>
  <c r="F6" i="146"/>
  <c r="F5" i="146" s="1"/>
  <c r="P18" i="145"/>
  <c r="R18" i="145"/>
  <c r="R19" i="144"/>
  <c r="O18" i="146"/>
  <c r="P19" i="146"/>
  <c r="P19" i="144"/>
  <c r="G6" i="146"/>
  <c r="J6" i="146"/>
  <c r="J5" i="146" s="1"/>
  <c r="M6" i="146"/>
  <c r="P12" i="146"/>
  <c r="H6" i="146"/>
  <c r="H5" i="146" s="1"/>
  <c r="P17" i="146"/>
  <c r="Q17" i="146" s="1"/>
  <c r="P13" i="146"/>
  <c r="N6" i="146"/>
  <c r="N5" i="146" s="1"/>
  <c r="Q19" i="146"/>
  <c r="Q32" i="146"/>
  <c r="O44" i="146"/>
  <c r="I5" i="146"/>
  <c r="M5" i="146"/>
  <c r="Q51" i="146"/>
  <c r="E5" i="146"/>
  <c r="Q45" i="146"/>
  <c r="Q38" i="146"/>
  <c r="G5" i="146"/>
  <c r="Q26" i="146"/>
  <c r="U7" i="145"/>
  <c r="P7" i="145"/>
  <c r="Q28" i="146"/>
  <c r="Q17" i="143"/>
  <c r="Q11" i="143" s="1"/>
  <c r="Q16" i="146"/>
  <c r="Q15" i="146"/>
  <c r="Q14" i="146"/>
  <c r="P7" i="143"/>
  <c r="O11" i="146"/>
  <c r="R11" i="146"/>
  <c r="Q10" i="144"/>
  <c r="P9" i="146"/>
  <c r="Q9" i="146" s="1"/>
  <c r="Q11" i="144"/>
  <c r="P10" i="146"/>
  <c r="Q10" i="146" s="1"/>
  <c r="Q9" i="144"/>
  <c r="P8" i="146"/>
  <c r="Q8" i="146" s="1"/>
  <c r="Q7" i="146" s="1"/>
  <c r="R44" i="147"/>
  <c r="U44" i="147"/>
  <c r="Q18" i="144"/>
  <c r="Q13" i="146"/>
  <c r="Q13" i="144"/>
  <c r="P37" i="146"/>
  <c r="P41" i="146"/>
  <c r="P35" i="146"/>
  <c r="Q48" i="144"/>
  <c r="P47" i="146"/>
  <c r="Q47" i="146" s="1"/>
  <c r="Q47" i="144"/>
  <c r="P46" i="146"/>
  <c r="Q46" i="146" s="1"/>
  <c r="P31" i="146"/>
  <c r="O5" i="145"/>
  <c r="P29" i="146"/>
  <c r="R26" i="146"/>
  <c r="U26" i="146" s="1"/>
  <c r="U18" i="146" s="1"/>
  <c r="P25" i="146"/>
  <c r="P23" i="146"/>
  <c r="P22" i="146"/>
  <c r="P20" i="146"/>
  <c r="Q42" i="143"/>
  <c r="P42" i="146"/>
  <c r="Q39" i="143"/>
  <c r="P39" i="146"/>
  <c r="Q36" i="143"/>
  <c r="P36" i="146"/>
  <c r="Q33" i="143"/>
  <c r="P33" i="146"/>
  <c r="Q30" i="143"/>
  <c r="P30" i="146"/>
  <c r="Q27" i="143"/>
  <c r="P27" i="146"/>
  <c r="Q24" i="143"/>
  <c r="P24" i="146"/>
  <c r="Q40" i="143"/>
  <c r="P40" i="146"/>
  <c r="Q21" i="146"/>
  <c r="Q48" i="143"/>
  <c r="P48" i="146"/>
  <c r="Q53" i="143"/>
  <c r="P53" i="146"/>
  <c r="Q53" i="146" s="1"/>
  <c r="Q50" i="143"/>
  <c r="P50" i="146"/>
  <c r="Q50" i="146" s="1"/>
  <c r="Q52" i="143"/>
  <c r="P52" i="146"/>
  <c r="Q52" i="146" s="1"/>
  <c r="U7" i="147"/>
  <c r="P44" i="147"/>
  <c r="Q21" i="147"/>
  <c r="P11" i="147"/>
  <c r="P7" i="147"/>
  <c r="R11" i="147"/>
  <c r="Q45" i="147"/>
  <c r="Q44" i="147" s="1"/>
  <c r="Q12" i="147"/>
  <c r="Q11" i="147" s="1"/>
  <c r="R7" i="147"/>
  <c r="O5" i="147"/>
  <c r="Q7" i="147"/>
  <c r="U44" i="146"/>
  <c r="R44" i="146"/>
  <c r="O7" i="146"/>
  <c r="U6" i="146"/>
  <c r="R7" i="146"/>
  <c r="U44" i="145"/>
  <c r="P44" i="145"/>
  <c r="U18" i="145"/>
  <c r="U5" i="145" s="1"/>
  <c r="Q47" i="145"/>
  <c r="Q44" i="145" s="1"/>
  <c r="R11" i="145"/>
  <c r="Q7" i="145"/>
  <c r="R7" i="145"/>
  <c r="R6" i="145" s="1"/>
  <c r="R44" i="145"/>
  <c r="Q11" i="145"/>
  <c r="Q19" i="145"/>
  <c r="Q18" i="145" s="1"/>
  <c r="P11" i="145"/>
  <c r="U45" i="144"/>
  <c r="U8" i="144"/>
  <c r="Q45" i="144"/>
  <c r="R12" i="144"/>
  <c r="R45" i="144"/>
  <c r="P8" i="144"/>
  <c r="P45" i="144"/>
  <c r="Q20" i="144"/>
  <c r="Q19" i="144" s="1"/>
  <c r="U19" i="144"/>
  <c r="P12" i="144"/>
  <c r="Q8" i="144"/>
  <c r="R8" i="144"/>
  <c r="R7" i="144" s="1"/>
  <c r="U44" i="143"/>
  <c r="P44" i="143"/>
  <c r="U18" i="143"/>
  <c r="P18" i="143"/>
  <c r="U13" i="143"/>
  <c r="U7" i="143" s="1"/>
  <c r="R11" i="143"/>
  <c r="Q47" i="143"/>
  <c r="Q21" i="143"/>
  <c r="R7" i="143"/>
  <c r="P11" i="143"/>
  <c r="R44" i="143"/>
  <c r="R18" i="143"/>
  <c r="Q7" i="143"/>
  <c r="R6" i="147" l="1"/>
  <c r="R5" i="147" s="1"/>
  <c r="Q18" i="147"/>
  <c r="P6" i="145"/>
  <c r="P5" i="145" s="1"/>
  <c r="Q44" i="143"/>
  <c r="R18" i="146"/>
  <c r="P18" i="146"/>
  <c r="Q22" i="146"/>
  <c r="Q25" i="146"/>
  <c r="Q29" i="146"/>
  <c r="Q31" i="146"/>
  <c r="Q41" i="146"/>
  <c r="Q40" i="146"/>
  <c r="Q24" i="146"/>
  <c r="Q27" i="146"/>
  <c r="Q30" i="146"/>
  <c r="Q33" i="146"/>
  <c r="Q36" i="146"/>
  <c r="Q39" i="146"/>
  <c r="Q42" i="146"/>
  <c r="Q20" i="146"/>
  <c r="Q23" i="146"/>
  <c r="Q35" i="146"/>
  <c r="Q37" i="146"/>
  <c r="O6" i="146"/>
  <c r="O5" i="146" s="1"/>
  <c r="P6" i="143"/>
  <c r="P5" i="143" s="1"/>
  <c r="Q18" i="143"/>
  <c r="Q12" i="144"/>
  <c r="Q7" i="144" s="1"/>
  <c r="Q6" i="144" s="1"/>
  <c r="P7" i="146"/>
  <c r="U5" i="147"/>
  <c r="P6" i="147"/>
  <c r="P5" i="147" s="1"/>
  <c r="P57" i="147" s="1"/>
  <c r="U6" i="144"/>
  <c r="P11" i="146"/>
  <c r="P6" i="146" s="1"/>
  <c r="Q12" i="146"/>
  <c r="Q11" i="146" s="1"/>
  <c r="Q6" i="146" s="1"/>
  <c r="R6" i="144"/>
  <c r="P44" i="146"/>
  <c r="Q48" i="146"/>
  <c r="Q44" i="146" s="1"/>
  <c r="Q6" i="147"/>
  <c r="U5" i="146"/>
  <c r="R6" i="146"/>
  <c r="R5" i="145"/>
  <c r="Q6" i="145"/>
  <c r="Q5" i="145" s="1"/>
  <c r="P7" i="144"/>
  <c r="P6" i="144" s="1"/>
  <c r="U5" i="143"/>
  <c r="Q6" i="143"/>
  <c r="R6" i="143"/>
  <c r="R5" i="143" s="1"/>
  <c r="P17" i="136"/>
  <c r="R54" i="99"/>
  <c r="P10" i="134"/>
  <c r="S54" i="99" l="1"/>
  <c r="T54" i="99" s="1"/>
  <c r="Q5" i="147"/>
  <c r="Q5" i="143"/>
  <c r="Q18" i="146"/>
  <c r="Q5" i="146" s="1"/>
  <c r="R5" i="146"/>
  <c r="P5" i="146"/>
  <c r="R14" i="99" l="1"/>
  <c r="S14" i="99" s="1"/>
  <c r="T14" i="99" s="1"/>
  <c r="R15" i="99"/>
  <c r="S15" i="99" s="1"/>
  <c r="T15" i="99" s="1"/>
  <c r="R16" i="99"/>
  <c r="S16" i="99" s="1"/>
  <c r="T16" i="99" s="1"/>
  <c r="R17" i="99"/>
  <c r="S17" i="99" s="1"/>
  <c r="T17" i="99" s="1"/>
  <c r="U17" i="99" l="1"/>
  <c r="U16" i="99"/>
  <c r="U14" i="99"/>
  <c r="U15" i="99"/>
  <c r="G45" i="136" l="1"/>
  <c r="H45" i="136"/>
  <c r="I45" i="136"/>
  <c r="J45" i="136"/>
  <c r="K45" i="136"/>
  <c r="L45" i="136"/>
  <c r="M45" i="136"/>
  <c r="N45" i="136"/>
  <c r="O45" i="136"/>
  <c r="P45" i="136"/>
  <c r="Q45" i="136"/>
  <c r="G46" i="136"/>
  <c r="H46" i="136"/>
  <c r="I46" i="136"/>
  <c r="J46" i="136"/>
  <c r="K46" i="136"/>
  <c r="L46" i="136"/>
  <c r="M46" i="136"/>
  <c r="N46" i="136"/>
  <c r="O46" i="136"/>
  <c r="P46" i="136"/>
  <c r="Q46" i="136"/>
  <c r="G47" i="136"/>
  <c r="H47" i="136"/>
  <c r="I47" i="136"/>
  <c r="J47" i="136"/>
  <c r="K47" i="136"/>
  <c r="L47" i="136"/>
  <c r="M47" i="136"/>
  <c r="N47" i="136"/>
  <c r="O47" i="136"/>
  <c r="P47" i="136"/>
  <c r="Q47" i="136"/>
  <c r="G48" i="136"/>
  <c r="H48" i="136"/>
  <c r="I48" i="136"/>
  <c r="J48" i="136"/>
  <c r="K48" i="136"/>
  <c r="L48" i="136"/>
  <c r="M48" i="136"/>
  <c r="N48" i="136"/>
  <c r="O48" i="136"/>
  <c r="P48" i="136"/>
  <c r="Q48" i="136"/>
  <c r="G49" i="136"/>
  <c r="H49" i="136"/>
  <c r="I49" i="136"/>
  <c r="J49" i="136"/>
  <c r="K49" i="136"/>
  <c r="L49" i="136"/>
  <c r="M49" i="136"/>
  <c r="N49" i="136"/>
  <c r="O49" i="136"/>
  <c r="P49" i="136"/>
  <c r="Q49" i="136"/>
  <c r="G50" i="136"/>
  <c r="H50" i="136"/>
  <c r="I50" i="136"/>
  <c r="J50" i="136"/>
  <c r="K50" i="136"/>
  <c r="L50" i="136"/>
  <c r="M50" i="136"/>
  <c r="N50" i="136"/>
  <c r="O50" i="136"/>
  <c r="P50" i="136"/>
  <c r="Q50" i="136"/>
  <c r="G51" i="136"/>
  <c r="H51" i="136"/>
  <c r="I51" i="136"/>
  <c r="J51" i="136"/>
  <c r="K51" i="136"/>
  <c r="L51" i="136"/>
  <c r="M51" i="136"/>
  <c r="N51" i="136"/>
  <c r="O51" i="136"/>
  <c r="P51" i="136"/>
  <c r="Q51" i="136"/>
  <c r="G52" i="136"/>
  <c r="H52" i="136"/>
  <c r="I52" i="136"/>
  <c r="J52" i="136"/>
  <c r="K52" i="136"/>
  <c r="L52" i="136"/>
  <c r="M52" i="136"/>
  <c r="N52" i="136"/>
  <c r="O52" i="136"/>
  <c r="P52" i="136"/>
  <c r="Q52" i="136"/>
  <c r="G53" i="136"/>
  <c r="H53" i="136"/>
  <c r="I53" i="136"/>
  <c r="J53" i="136"/>
  <c r="K53" i="136"/>
  <c r="L53" i="136"/>
  <c r="M53" i="136"/>
  <c r="N53" i="136"/>
  <c r="O53" i="136"/>
  <c r="P53" i="136"/>
  <c r="Q53" i="136"/>
  <c r="F46" i="136"/>
  <c r="F47" i="136"/>
  <c r="F48" i="136"/>
  <c r="F49" i="136"/>
  <c r="F50" i="136"/>
  <c r="F51" i="136"/>
  <c r="F52" i="136"/>
  <c r="F53" i="136"/>
  <c r="F45" i="136"/>
  <c r="G19" i="136"/>
  <c r="H19" i="136"/>
  <c r="I19" i="136"/>
  <c r="J19" i="136"/>
  <c r="K19" i="136"/>
  <c r="L19" i="136"/>
  <c r="M19" i="136"/>
  <c r="N19" i="136"/>
  <c r="O19" i="136"/>
  <c r="P19" i="136"/>
  <c r="Q19" i="136"/>
  <c r="G20" i="136"/>
  <c r="H20" i="136"/>
  <c r="I20" i="136"/>
  <c r="J20" i="136"/>
  <c r="K20" i="136"/>
  <c r="L20" i="136"/>
  <c r="M20" i="136"/>
  <c r="N20" i="136"/>
  <c r="O20" i="136"/>
  <c r="P20" i="136"/>
  <c r="Q20" i="136"/>
  <c r="G21" i="136"/>
  <c r="H21" i="136"/>
  <c r="I21" i="136"/>
  <c r="J21" i="136"/>
  <c r="K21" i="136"/>
  <c r="L21" i="136"/>
  <c r="M21" i="136"/>
  <c r="N21" i="136"/>
  <c r="O21" i="136"/>
  <c r="P21" i="136"/>
  <c r="Q21" i="136"/>
  <c r="G22" i="136"/>
  <c r="H22" i="136"/>
  <c r="I22" i="136"/>
  <c r="J22" i="136"/>
  <c r="K22" i="136"/>
  <c r="L22" i="136"/>
  <c r="M22" i="136"/>
  <c r="N22" i="136"/>
  <c r="O22" i="136"/>
  <c r="P22" i="136"/>
  <c r="Q22" i="136"/>
  <c r="G23" i="136"/>
  <c r="H23" i="136"/>
  <c r="I23" i="136"/>
  <c r="J23" i="136"/>
  <c r="K23" i="136"/>
  <c r="L23" i="136"/>
  <c r="M23" i="136"/>
  <c r="N23" i="136"/>
  <c r="O23" i="136"/>
  <c r="P23" i="136"/>
  <c r="Q23" i="136"/>
  <c r="G24" i="136"/>
  <c r="H24" i="136"/>
  <c r="I24" i="136"/>
  <c r="J24" i="136"/>
  <c r="K24" i="136"/>
  <c r="L24" i="136"/>
  <c r="M24" i="136"/>
  <c r="N24" i="136"/>
  <c r="O24" i="136"/>
  <c r="P24" i="136"/>
  <c r="Q24" i="136"/>
  <c r="G25" i="136"/>
  <c r="H25" i="136"/>
  <c r="I25" i="136"/>
  <c r="J25" i="136"/>
  <c r="K25" i="136"/>
  <c r="L25" i="136"/>
  <c r="M25" i="136"/>
  <c r="N25" i="136"/>
  <c r="O25" i="136"/>
  <c r="P25" i="136"/>
  <c r="Q25" i="136"/>
  <c r="G26" i="136"/>
  <c r="H26" i="136"/>
  <c r="I26" i="136"/>
  <c r="J26" i="136"/>
  <c r="K26" i="136"/>
  <c r="L26" i="136"/>
  <c r="M26" i="136"/>
  <c r="N26" i="136"/>
  <c r="O26" i="136"/>
  <c r="P26" i="136"/>
  <c r="Q26" i="136"/>
  <c r="G27" i="136"/>
  <c r="H27" i="136"/>
  <c r="I27" i="136"/>
  <c r="J27" i="136"/>
  <c r="K27" i="136"/>
  <c r="L27" i="136"/>
  <c r="M27" i="136"/>
  <c r="N27" i="136"/>
  <c r="O27" i="136"/>
  <c r="P27" i="136"/>
  <c r="Q27" i="136"/>
  <c r="G28" i="136"/>
  <c r="H28" i="136"/>
  <c r="I28" i="136"/>
  <c r="J28" i="136"/>
  <c r="K28" i="136"/>
  <c r="L28" i="136"/>
  <c r="M28" i="136"/>
  <c r="N28" i="136"/>
  <c r="O28" i="136"/>
  <c r="P28" i="136"/>
  <c r="Q28" i="136"/>
  <c r="G29" i="136"/>
  <c r="H29" i="136"/>
  <c r="I29" i="136"/>
  <c r="J29" i="136"/>
  <c r="K29" i="136"/>
  <c r="L29" i="136"/>
  <c r="M29" i="136"/>
  <c r="N29" i="136"/>
  <c r="O29" i="136"/>
  <c r="P29" i="136"/>
  <c r="Q29" i="136"/>
  <c r="G30" i="136"/>
  <c r="H30" i="136"/>
  <c r="I30" i="136"/>
  <c r="J30" i="136"/>
  <c r="K30" i="136"/>
  <c r="L30" i="136"/>
  <c r="M30" i="136"/>
  <c r="N30" i="136"/>
  <c r="O30" i="136"/>
  <c r="P30" i="136"/>
  <c r="Q30" i="136"/>
  <c r="G31" i="136"/>
  <c r="H31" i="136"/>
  <c r="I31" i="136"/>
  <c r="J31" i="136"/>
  <c r="K31" i="136"/>
  <c r="L31" i="136"/>
  <c r="M31" i="136"/>
  <c r="N31" i="136"/>
  <c r="O31" i="136"/>
  <c r="P31" i="136"/>
  <c r="Q31" i="136"/>
  <c r="G32" i="136"/>
  <c r="H32" i="136"/>
  <c r="I32" i="136"/>
  <c r="J32" i="136"/>
  <c r="K32" i="136"/>
  <c r="L32" i="136"/>
  <c r="M32" i="136"/>
  <c r="N32" i="136"/>
  <c r="O32" i="136"/>
  <c r="P32" i="136"/>
  <c r="Q32" i="136"/>
  <c r="G33" i="136"/>
  <c r="H33" i="136"/>
  <c r="I33" i="136"/>
  <c r="J33" i="136"/>
  <c r="K33" i="136"/>
  <c r="L33" i="136"/>
  <c r="M33" i="136"/>
  <c r="N33" i="136"/>
  <c r="O33" i="136"/>
  <c r="P33" i="136"/>
  <c r="Q33" i="136"/>
  <c r="G34" i="136"/>
  <c r="H34" i="136"/>
  <c r="I34" i="136"/>
  <c r="J34" i="136"/>
  <c r="K34" i="136"/>
  <c r="L34" i="136"/>
  <c r="M34" i="136"/>
  <c r="N34" i="136"/>
  <c r="O34" i="136"/>
  <c r="P34" i="136"/>
  <c r="Q34" i="136"/>
  <c r="G35" i="136"/>
  <c r="H35" i="136"/>
  <c r="I35" i="136"/>
  <c r="J35" i="136"/>
  <c r="K35" i="136"/>
  <c r="L35" i="136"/>
  <c r="M35" i="136"/>
  <c r="N35" i="136"/>
  <c r="O35" i="136"/>
  <c r="P35" i="136"/>
  <c r="Q35" i="136"/>
  <c r="G36" i="136"/>
  <c r="H36" i="136"/>
  <c r="I36" i="136"/>
  <c r="J36" i="136"/>
  <c r="K36" i="136"/>
  <c r="L36" i="136"/>
  <c r="M36" i="136"/>
  <c r="N36" i="136"/>
  <c r="O36" i="136"/>
  <c r="P36" i="136"/>
  <c r="Q36" i="136"/>
  <c r="G37" i="136"/>
  <c r="H37" i="136"/>
  <c r="I37" i="136"/>
  <c r="J37" i="136"/>
  <c r="K37" i="136"/>
  <c r="L37" i="136"/>
  <c r="M37" i="136"/>
  <c r="N37" i="136"/>
  <c r="O37" i="136"/>
  <c r="P37" i="136"/>
  <c r="Q37" i="136"/>
  <c r="G38" i="136"/>
  <c r="H38" i="136"/>
  <c r="I38" i="136"/>
  <c r="J38" i="136"/>
  <c r="K38" i="136"/>
  <c r="L38" i="136"/>
  <c r="M38" i="136"/>
  <c r="N38" i="136"/>
  <c r="O38" i="136"/>
  <c r="P38" i="136"/>
  <c r="Q38" i="136"/>
  <c r="G39" i="136"/>
  <c r="H39" i="136"/>
  <c r="I39" i="136"/>
  <c r="J39" i="136"/>
  <c r="K39" i="136"/>
  <c r="L39" i="136"/>
  <c r="M39" i="136"/>
  <c r="N39" i="136"/>
  <c r="O39" i="136"/>
  <c r="P39" i="136"/>
  <c r="Q39" i="136"/>
  <c r="G40" i="136"/>
  <c r="H40" i="136"/>
  <c r="I40" i="136"/>
  <c r="J40" i="136"/>
  <c r="K40" i="136"/>
  <c r="L40" i="136"/>
  <c r="M40" i="136"/>
  <c r="N40" i="136"/>
  <c r="O40" i="136"/>
  <c r="P40" i="136"/>
  <c r="Q40" i="136"/>
  <c r="G41" i="136"/>
  <c r="H41" i="136"/>
  <c r="I41" i="136"/>
  <c r="J41" i="136"/>
  <c r="K41" i="136"/>
  <c r="L41" i="136"/>
  <c r="M41" i="136"/>
  <c r="N41" i="136"/>
  <c r="O41" i="136"/>
  <c r="P41" i="136"/>
  <c r="Q41" i="136"/>
  <c r="G42" i="136"/>
  <c r="H42" i="136"/>
  <c r="I42" i="136"/>
  <c r="J42" i="136"/>
  <c r="K42" i="136"/>
  <c r="L42" i="136"/>
  <c r="M42" i="136"/>
  <c r="N42" i="136"/>
  <c r="O42" i="136"/>
  <c r="P42" i="136"/>
  <c r="Q42" i="136"/>
  <c r="F20" i="136"/>
  <c r="F21" i="136"/>
  <c r="F22" i="136"/>
  <c r="F23" i="136"/>
  <c r="F24" i="136"/>
  <c r="F25" i="136"/>
  <c r="F26" i="136"/>
  <c r="F27" i="136"/>
  <c r="F28" i="136"/>
  <c r="F29" i="136"/>
  <c r="F30" i="136"/>
  <c r="F31" i="136"/>
  <c r="F32" i="136"/>
  <c r="F33" i="136"/>
  <c r="F34" i="136"/>
  <c r="F35" i="136"/>
  <c r="F36" i="136"/>
  <c r="F37" i="136"/>
  <c r="F38" i="136"/>
  <c r="F39" i="136"/>
  <c r="F40" i="136"/>
  <c r="F41" i="136"/>
  <c r="F42" i="136"/>
  <c r="F19" i="136"/>
  <c r="G12" i="136"/>
  <c r="H12" i="136"/>
  <c r="I12" i="136"/>
  <c r="J12" i="136"/>
  <c r="K12" i="136"/>
  <c r="L12" i="136"/>
  <c r="M12" i="136"/>
  <c r="N12" i="136"/>
  <c r="O12" i="136"/>
  <c r="P12" i="136"/>
  <c r="Q12" i="136"/>
  <c r="G13" i="136"/>
  <c r="H13" i="136"/>
  <c r="I13" i="136"/>
  <c r="J13" i="136"/>
  <c r="K13" i="136"/>
  <c r="L13" i="136"/>
  <c r="M13" i="136"/>
  <c r="N13" i="136"/>
  <c r="O13" i="136"/>
  <c r="P13" i="136"/>
  <c r="Q13" i="136"/>
  <c r="G14" i="136"/>
  <c r="H14" i="136"/>
  <c r="I14" i="136"/>
  <c r="J14" i="136"/>
  <c r="K14" i="136"/>
  <c r="L14" i="136"/>
  <c r="M14" i="136"/>
  <c r="N14" i="136"/>
  <c r="O14" i="136"/>
  <c r="P14" i="136"/>
  <c r="Q14" i="136"/>
  <c r="G15" i="136"/>
  <c r="H15" i="136"/>
  <c r="I15" i="136"/>
  <c r="J15" i="136"/>
  <c r="K15" i="136"/>
  <c r="L15" i="136"/>
  <c r="M15" i="136"/>
  <c r="N15" i="136"/>
  <c r="O15" i="136"/>
  <c r="P15" i="136"/>
  <c r="Q15" i="136"/>
  <c r="G16" i="136"/>
  <c r="H16" i="136"/>
  <c r="I16" i="136"/>
  <c r="J16" i="136"/>
  <c r="K16" i="136"/>
  <c r="L16" i="136"/>
  <c r="M16" i="136"/>
  <c r="N16" i="136"/>
  <c r="O16" i="136"/>
  <c r="P16" i="136"/>
  <c r="Q16" i="136"/>
  <c r="G17" i="136"/>
  <c r="H17" i="136"/>
  <c r="I17" i="136"/>
  <c r="J17" i="136"/>
  <c r="K17" i="136"/>
  <c r="L17" i="136"/>
  <c r="M17" i="136"/>
  <c r="N17" i="136"/>
  <c r="O17" i="136"/>
  <c r="Q17" i="136"/>
  <c r="F12" i="136"/>
  <c r="R12" i="136" s="1"/>
  <c r="F13" i="136"/>
  <c r="F14" i="136"/>
  <c r="F15" i="136"/>
  <c r="F16" i="136"/>
  <c r="F17" i="136"/>
  <c r="G8" i="136"/>
  <c r="H8" i="136"/>
  <c r="I8" i="136"/>
  <c r="J8" i="136"/>
  <c r="K8" i="136"/>
  <c r="L8" i="136"/>
  <c r="M8" i="136"/>
  <c r="N8" i="136"/>
  <c r="O8" i="136"/>
  <c r="P8" i="136"/>
  <c r="Q8" i="136"/>
  <c r="G10" i="136"/>
  <c r="H10" i="136"/>
  <c r="I10" i="136"/>
  <c r="J10" i="136"/>
  <c r="K10" i="136"/>
  <c r="L10" i="136"/>
  <c r="M10" i="136"/>
  <c r="N10" i="136"/>
  <c r="O10" i="136"/>
  <c r="P10" i="136"/>
  <c r="Q10" i="136"/>
  <c r="F8" i="136"/>
  <c r="F10" i="136"/>
  <c r="R50" i="136"/>
  <c r="O44" i="136"/>
  <c r="G44" i="136"/>
  <c r="O11" i="136"/>
  <c r="G11" i="136"/>
  <c r="D9" i="136"/>
  <c r="R35" i="136" l="1"/>
  <c r="R40" i="136"/>
  <c r="F18" i="136"/>
  <c r="P18" i="136"/>
  <c r="N18" i="136"/>
  <c r="L18" i="136"/>
  <c r="J18" i="136"/>
  <c r="H18" i="136"/>
  <c r="Q18" i="136"/>
  <c r="O18" i="136"/>
  <c r="M18" i="136"/>
  <c r="K18" i="136"/>
  <c r="I18" i="136"/>
  <c r="G18" i="136"/>
  <c r="R17" i="136"/>
  <c r="R25" i="136"/>
  <c r="K11" i="136"/>
  <c r="R29" i="136"/>
  <c r="R46" i="136"/>
  <c r="K44" i="136"/>
  <c r="R16" i="136"/>
  <c r="R15" i="136"/>
  <c r="R14" i="136"/>
  <c r="R19" i="136"/>
  <c r="R41" i="136"/>
  <c r="R39" i="136"/>
  <c r="R37" i="136"/>
  <c r="R33" i="136"/>
  <c r="R31" i="136"/>
  <c r="R27" i="136"/>
  <c r="R23" i="136"/>
  <c r="R21" i="136"/>
  <c r="R45" i="136"/>
  <c r="R52" i="136"/>
  <c r="R48" i="136"/>
  <c r="Q11" i="136"/>
  <c r="M11" i="136"/>
  <c r="I11" i="136"/>
  <c r="R42" i="136"/>
  <c r="R38" i="136"/>
  <c r="Q44" i="136"/>
  <c r="M44" i="136"/>
  <c r="I44" i="136"/>
  <c r="R8" i="136"/>
  <c r="R10" i="136"/>
  <c r="R13" i="136"/>
  <c r="P11" i="136"/>
  <c r="N11" i="136"/>
  <c r="L11" i="136"/>
  <c r="J11" i="136"/>
  <c r="H11" i="136"/>
  <c r="R30" i="136"/>
  <c r="R28" i="136"/>
  <c r="R26" i="136"/>
  <c r="R53" i="136"/>
  <c r="R51" i="136"/>
  <c r="R49" i="136"/>
  <c r="R47" i="136"/>
  <c r="P44" i="136"/>
  <c r="N44" i="136"/>
  <c r="L44" i="136"/>
  <c r="J44" i="136"/>
  <c r="H44" i="136"/>
  <c r="F44" i="136"/>
  <c r="R36" i="136"/>
  <c r="R34" i="136"/>
  <c r="R32" i="136"/>
  <c r="R24" i="136"/>
  <c r="R22" i="136"/>
  <c r="R20" i="136"/>
  <c r="F11" i="136"/>
  <c r="I10" i="134"/>
  <c r="I43" i="134"/>
  <c r="R34" i="134"/>
  <c r="S34" i="134" s="1"/>
  <c r="R52" i="134"/>
  <c r="S52" i="134" s="1"/>
  <c r="R51" i="134"/>
  <c r="S51" i="134" s="1"/>
  <c r="R50" i="134"/>
  <c r="S50" i="134" s="1"/>
  <c r="R49" i="134"/>
  <c r="S49" i="134" s="1"/>
  <c r="R48" i="134"/>
  <c r="S48" i="134" s="1"/>
  <c r="R47" i="134"/>
  <c r="S47" i="134" s="1"/>
  <c r="R46" i="134"/>
  <c r="S46" i="134" s="1"/>
  <c r="R45" i="134"/>
  <c r="S45" i="134" s="1"/>
  <c r="R44" i="134"/>
  <c r="S44" i="134" s="1"/>
  <c r="Q43" i="134"/>
  <c r="P43" i="134"/>
  <c r="O43" i="134"/>
  <c r="N43" i="134"/>
  <c r="M43" i="134"/>
  <c r="L43" i="134"/>
  <c r="K43" i="134"/>
  <c r="J43" i="134"/>
  <c r="H43" i="134"/>
  <c r="R41" i="134"/>
  <c r="S41" i="134" s="1"/>
  <c r="R40" i="134"/>
  <c r="S40" i="134" s="1"/>
  <c r="R39" i="134"/>
  <c r="S39" i="134" s="1"/>
  <c r="R38" i="134"/>
  <c r="S38" i="134" s="1"/>
  <c r="R37" i="134"/>
  <c r="S37" i="134" s="1"/>
  <c r="R36" i="134"/>
  <c r="S36" i="134" s="1"/>
  <c r="R35" i="134"/>
  <c r="S35" i="134" s="1"/>
  <c r="R33" i="134"/>
  <c r="S33" i="134" s="1"/>
  <c r="R32" i="134"/>
  <c r="S32" i="134" s="1"/>
  <c r="R31" i="134"/>
  <c r="S31" i="134" s="1"/>
  <c r="R30" i="134"/>
  <c r="S30" i="134" s="1"/>
  <c r="R29" i="134"/>
  <c r="S29" i="134" s="1"/>
  <c r="R28" i="134"/>
  <c r="S28" i="134" s="1"/>
  <c r="R27" i="134"/>
  <c r="S27" i="134" s="1"/>
  <c r="R26" i="134"/>
  <c r="S26" i="134" s="1"/>
  <c r="R25" i="134"/>
  <c r="S25" i="134" s="1"/>
  <c r="R24" i="134"/>
  <c r="S24" i="134" s="1"/>
  <c r="R23" i="134"/>
  <c r="S23" i="134" s="1"/>
  <c r="R22" i="134"/>
  <c r="S22" i="134" s="1"/>
  <c r="R21" i="134"/>
  <c r="S21" i="134" s="1"/>
  <c r="R20" i="134"/>
  <c r="S20" i="134" s="1"/>
  <c r="R19" i="134"/>
  <c r="S19" i="134" s="1"/>
  <c r="R18" i="134"/>
  <c r="R16" i="134"/>
  <c r="S16" i="134" s="1"/>
  <c r="R15" i="134"/>
  <c r="S15" i="134" s="1"/>
  <c r="R14" i="134"/>
  <c r="S14" i="134" s="1"/>
  <c r="R13" i="134"/>
  <c r="S13" i="134" s="1"/>
  <c r="R12" i="134"/>
  <c r="S12" i="134" s="1"/>
  <c r="R11" i="134"/>
  <c r="S11" i="134" s="1"/>
  <c r="Q10" i="134"/>
  <c r="O10" i="134"/>
  <c r="N10" i="134"/>
  <c r="M10" i="134"/>
  <c r="L10" i="134"/>
  <c r="K10" i="134"/>
  <c r="J10" i="134"/>
  <c r="H10" i="134"/>
  <c r="R9" i="134"/>
  <c r="S9" i="134" s="1"/>
  <c r="R8" i="134"/>
  <c r="S8" i="134" s="1"/>
  <c r="D8" i="134"/>
  <c r="R7" i="134"/>
  <c r="S7" i="134" s="1"/>
  <c r="Q6" i="134"/>
  <c r="P6" i="134"/>
  <c r="O6" i="134"/>
  <c r="N6" i="134"/>
  <c r="M6" i="134"/>
  <c r="L6" i="134"/>
  <c r="K6" i="134"/>
  <c r="J6" i="134"/>
  <c r="I6" i="134"/>
  <c r="H6" i="134"/>
  <c r="S18" i="134" l="1"/>
  <c r="S17" i="134" s="1"/>
  <c r="R17" i="134"/>
  <c r="R18" i="136"/>
  <c r="O5" i="134"/>
  <c r="O4" i="134" s="1"/>
  <c r="K5" i="134"/>
  <c r="K4" i="134" s="1"/>
  <c r="M5" i="134"/>
  <c r="M4" i="134" s="1"/>
  <c r="I5" i="134"/>
  <c r="I4" i="134" s="1"/>
  <c r="G5" i="134"/>
  <c r="Q5" i="134"/>
  <c r="Q4" i="134" s="1"/>
  <c r="G4" i="134"/>
  <c r="R44" i="136"/>
  <c r="R11" i="136"/>
  <c r="R43" i="134"/>
  <c r="S43" i="134" s="1"/>
  <c r="R10" i="134"/>
  <c r="S10" i="134" s="1"/>
  <c r="F5" i="134"/>
  <c r="H5" i="134"/>
  <c r="H4" i="134" s="1"/>
  <c r="J5" i="134"/>
  <c r="J4" i="134" s="1"/>
  <c r="L5" i="134"/>
  <c r="L4" i="134" s="1"/>
  <c r="N5" i="134"/>
  <c r="N4" i="134" s="1"/>
  <c r="P5" i="134"/>
  <c r="P4" i="134" s="1"/>
  <c r="R6" i="134"/>
  <c r="S6" i="134" s="1"/>
  <c r="R5" i="134" l="1"/>
  <c r="S5" i="134" s="1"/>
  <c r="F4" i="134"/>
  <c r="R4" i="134" s="1"/>
  <c r="S4" i="134" s="1"/>
  <c r="R12" i="98" l="1"/>
  <c r="S12" i="98" s="1"/>
  <c r="R11" i="98"/>
  <c r="S11" i="98" s="1"/>
  <c r="R7" i="98"/>
  <c r="S7" i="98" s="1"/>
  <c r="R8" i="98"/>
  <c r="S8" i="98" s="1"/>
  <c r="R9" i="98"/>
  <c r="S9" i="98" s="1"/>
  <c r="R53" i="99"/>
  <c r="R46" i="99"/>
  <c r="R47" i="99"/>
  <c r="R48" i="99"/>
  <c r="R49" i="99"/>
  <c r="R50" i="99"/>
  <c r="R51" i="99"/>
  <c r="R52" i="99"/>
  <c r="R45" i="99"/>
  <c r="R20" i="99"/>
  <c r="R21" i="99"/>
  <c r="R22" i="99"/>
  <c r="R23" i="99"/>
  <c r="R24" i="99"/>
  <c r="R25" i="99"/>
  <c r="R26" i="99"/>
  <c r="R27" i="99"/>
  <c r="R28" i="99"/>
  <c r="R29" i="99"/>
  <c r="R30" i="99"/>
  <c r="R31" i="99"/>
  <c r="R32" i="99"/>
  <c r="R33" i="99"/>
  <c r="R34" i="99"/>
  <c r="R35" i="99"/>
  <c r="R36" i="99"/>
  <c r="R37" i="99"/>
  <c r="R38" i="99"/>
  <c r="R39" i="99"/>
  <c r="R40" i="99"/>
  <c r="R41" i="99"/>
  <c r="R42" i="99"/>
  <c r="R19" i="99"/>
  <c r="R12" i="99"/>
  <c r="R13" i="99"/>
  <c r="R8" i="99"/>
  <c r="R9" i="99"/>
  <c r="R10" i="99"/>
  <c r="S10" i="99" s="1"/>
  <c r="G7" i="99"/>
  <c r="H7" i="99"/>
  <c r="I7" i="99"/>
  <c r="J7" i="99"/>
  <c r="K7" i="99"/>
  <c r="L7" i="99"/>
  <c r="M7" i="99"/>
  <c r="N7" i="99"/>
  <c r="O7" i="99"/>
  <c r="P7" i="99"/>
  <c r="Q7" i="99"/>
  <c r="F7" i="99"/>
  <c r="G6" i="98"/>
  <c r="H6" i="98"/>
  <c r="I6" i="98"/>
  <c r="J6" i="98"/>
  <c r="K6" i="98"/>
  <c r="L6" i="98"/>
  <c r="M6" i="98"/>
  <c r="N6" i="98"/>
  <c r="O6" i="98"/>
  <c r="P6" i="98"/>
  <c r="Q6" i="98"/>
  <c r="F6" i="98"/>
  <c r="T9" i="98"/>
  <c r="N10" i="98"/>
  <c r="S6" i="98" l="1"/>
  <c r="R18" i="99"/>
  <c r="R6" i="98"/>
  <c r="T10" i="99"/>
  <c r="U10" i="99"/>
  <c r="U9" i="98"/>
  <c r="R64" i="98" l="1"/>
  <c r="R62" i="98"/>
  <c r="R68" i="98"/>
  <c r="R66" i="98"/>
  <c r="Q57" i="98"/>
  <c r="P60" i="98"/>
  <c r="P57" i="98" s="1"/>
  <c r="O60" i="98"/>
  <c r="O57" i="98" s="1"/>
  <c r="N60" i="98"/>
  <c r="M60" i="98"/>
  <c r="M57" i="98" s="1"/>
  <c r="L60" i="98"/>
  <c r="L57" i="98" s="1"/>
  <c r="K60" i="98"/>
  <c r="K57" i="98" s="1"/>
  <c r="J60" i="98"/>
  <c r="I60" i="98"/>
  <c r="I57" i="98" s="1"/>
  <c r="H60" i="98"/>
  <c r="H57" i="98" s="1"/>
  <c r="G60" i="98"/>
  <c r="G57" i="98" s="1"/>
  <c r="F60" i="98"/>
  <c r="F57" i="98" s="1"/>
  <c r="N57" i="98"/>
  <c r="J57" i="98"/>
  <c r="R60" i="98" l="1"/>
  <c r="S57" i="98"/>
  <c r="R57" i="98"/>
  <c r="S53" i="99" l="1"/>
  <c r="S50" i="99"/>
  <c r="S48" i="99"/>
  <c r="S47" i="99"/>
  <c r="S46" i="99"/>
  <c r="Q44" i="99"/>
  <c r="P44" i="99"/>
  <c r="O44" i="99"/>
  <c r="N44" i="99"/>
  <c r="M44" i="99"/>
  <c r="L44" i="99"/>
  <c r="K44" i="99"/>
  <c r="J44" i="99"/>
  <c r="I44" i="99"/>
  <c r="H44" i="99"/>
  <c r="S42" i="99"/>
  <c r="S41" i="99"/>
  <c r="S40" i="99"/>
  <c r="S39" i="99"/>
  <c r="S38" i="99"/>
  <c r="S37" i="99"/>
  <c r="S36" i="99"/>
  <c r="S35" i="99"/>
  <c r="S34" i="99"/>
  <c r="S32" i="99"/>
  <c r="S31" i="99"/>
  <c r="S29" i="99"/>
  <c r="S28" i="99"/>
  <c r="S26" i="99"/>
  <c r="S25" i="99"/>
  <c r="S23" i="99"/>
  <c r="S22" i="99"/>
  <c r="S20" i="99"/>
  <c r="S19" i="99"/>
  <c r="S13" i="99"/>
  <c r="Q11" i="99"/>
  <c r="P11" i="99"/>
  <c r="O11" i="99"/>
  <c r="N11" i="99"/>
  <c r="M11" i="99"/>
  <c r="L11" i="99"/>
  <c r="K11" i="99"/>
  <c r="J11" i="99"/>
  <c r="I11" i="99"/>
  <c r="H11" i="99"/>
  <c r="D9" i="99"/>
  <c r="S8" i="99"/>
  <c r="O6" i="99"/>
  <c r="N6" i="99"/>
  <c r="N5" i="99" s="1"/>
  <c r="M6" i="99"/>
  <c r="M5" i="99" s="1"/>
  <c r="L6" i="99"/>
  <c r="L5" i="99" s="1"/>
  <c r="K6" i="99"/>
  <c r="K5" i="99" s="1"/>
  <c r="J6" i="99"/>
  <c r="J5" i="99" s="1"/>
  <c r="I6" i="99"/>
  <c r="H6" i="99"/>
  <c r="H5" i="99" s="1"/>
  <c r="G6" i="99"/>
  <c r="G5" i="99" s="1"/>
  <c r="I5" i="99"/>
  <c r="G9" i="136" l="1"/>
  <c r="G7" i="136" s="1"/>
  <c r="G6" i="136" s="1"/>
  <c r="G5" i="136" s="1"/>
  <c r="I9" i="136"/>
  <c r="I7" i="136" s="1"/>
  <c r="I6" i="136" s="1"/>
  <c r="I5" i="136" s="1"/>
  <c r="K9" i="136"/>
  <c r="K7" i="136" s="1"/>
  <c r="K6" i="136" s="1"/>
  <c r="K5" i="136" s="1"/>
  <c r="M9" i="136"/>
  <c r="M7" i="136" s="1"/>
  <c r="M6" i="136" s="1"/>
  <c r="M5" i="136" s="1"/>
  <c r="O9" i="136"/>
  <c r="O7" i="136" s="1"/>
  <c r="O6" i="136" s="1"/>
  <c r="O5" i="136" s="1"/>
  <c r="Q9" i="136"/>
  <c r="Q7" i="136" s="1"/>
  <c r="Q6" i="136" s="1"/>
  <c r="Q5" i="136" s="1"/>
  <c r="F9" i="136"/>
  <c r="F7" i="136" s="1"/>
  <c r="F6" i="136" s="1"/>
  <c r="H9" i="136"/>
  <c r="H7" i="136" s="1"/>
  <c r="H6" i="136" s="1"/>
  <c r="H5" i="136" s="1"/>
  <c r="J9" i="136"/>
  <c r="J7" i="136" s="1"/>
  <c r="J6" i="136" s="1"/>
  <c r="J5" i="136" s="1"/>
  <c r="L9" i="136"/>
  <c r="L7" i="136" s="1"/>
  <c r="L6" i="136" s="1"/>
  <c r="L5" i="136" s="1"/>
  <c r="N9" i="136"/>
  <c r="N7" i="136" s="1"/>
  <c r="N6" i="136" s="1"/>
  <c r="N5" i="136" s="1"/>
  <c r="P9" i="136"/>
  <c r="P7" i="136" s="1"/>
  <c r="P6" i="136" s="1"/>
  <c r="P5" i="136" s="1"/>
  <c r="Q6" i="99"/>
  <c r="Q5" i="99" s="1"/>
  <c r="P6" i="99"/>
  <c r="P5" i="99" s="1"/>
  <c r="F6" i="99"/>
  <c r="F5" i="99" s="1"/>
  <c r="O5" i="99"/>
  <c r="U52" i="99"/>
  <c r="S52" i="99"/>
  <c r="R44" i="99"/>
  <c r="S45" i="99"/>
  <c r="U49" i="99"/>
  <c r="S49" i="99"/>
  <c r="U51" i="99"/>
  <c r="S51" i="99"/>
  <c r="U24" i="99"/>
  <c r="S24" i="99"/>
  <c r="U30" i="99"/>
  <c r="S30" i="99"/>
  <c r="U21" i="99"/>
  <c r="S21" i="99"/>
  <c r="U27" i="99"/>
  <c r="S27" i="99"/>
  <c r="U33" i="99"/>
  <c r="S33" i="99"/>
  <c r="U12" i="99"/>
  <c r="S12" i="99"/>
  <c r="R7" i="99"/>
  <c r="U9" i="99"/>
  <c r="S9" i="99"/>
  <c r="U46" i="99"/>
  <c r="U45" i="99"/>
  <c r="U48" i="99"/>
  <c r="U19" i="99"/>
  <c r="U22" i="99"/>
  <c r="U25" i="99"/>
  <c r="U28" i="99"/>
  <c r="U39" i="99"/>
  <c r="U20" i="99"/>
  <c r="U23" i="99"/>
  <c r="U26" i="99"/>
  <c r="U36" i="99"/>
  <c r="U42" i="99"/>
  <c r="U13" i="99"/>
  <c r="R11" i="99"/>
  <c r="U8" i="99"/>
  <c r="U29" i="99"/>
  <c r="U31" i="99"/>
  <c r="U32" i="99"/>
  <c r="U34" i="99"/>
  <c r="U35" i="99"/>
  <c r="U37" i="99"/>
  <c r="U38" i="99"/>
  <c r="U40" i="99"/>
  <c r="U41" i="99"/>
  <c r="U47" i="99"/>
  <c r="U50" i="99"/>
  <c r="U53" i="99"/>
  <c r="S10" i="98"/>
  <c r="S18" i="99" l="1"/>
  <c r="U18" i="99"/>
  <c r="F5" i="136"/>
  <c r="R5" i="136" s="1"/>
  <c r="R6" i="136"/>
  <c r="R9" i="136"/>
  <c r="R5" i="99"/>
  <c r="R6" i="99"/>
  <c r="U7" i="99"/>
  <c r="S7" i="99"/>
  <c r="U11" i="99"/>
  <c r="U44" i="99"/>
  <c r="P61" i="98"/>
  <c r="Q61" i="98"/>
  <c r="P10" i="98"/>
  <c r="P63" i="98" s="1"/>
  <c r="Q10" i="98"/>
  <c r="Q63" i="98" s="1"/>
  <c r="Q59" i="98" s="1"/>
  <c r="P65" i="98"/>
  <c r="Q65" i="98"/>
  <c r="P43" i="98"/>
  <c r="P67" i="98" s="1"/>
  <c r="Q43" i="98"/>
  <c r="Q67" i="98" s="1"/>
  <c r="O43" i="98"/>
  <c r="O67" i="98" s="1"/>
  <c r="N43" i="98"/>
  <c r="N67" i="98" s="1"/>
  <c r="M43" i="98"/>
  <c r="M67" i="98" s="1"/>
  <c r="L43" i="98"/>
  <c r="L67" i="98" s="1"/>
  <c r="K43" i="98"/>
  <c r="K67" i="98" s="1"/>
  <c r="J43" i="98"/>
  <c r="J67" i="98" s="1"/>
  <c r="I43" i="98"/>
  <c r="I67" i="98" s="1"/>
  <c r="H43" i="98"/>
  <c r="H67" i="98" s="1"/>
  <c r="G67" i="98"/>
  <c r="F67" i="98"/>
  <c r="O65" i="98"/>
  <c r="N65" i="98"/>
  <c r="M65" i="98"/>
  <c r="L65" i="98"/>
  <c r="K65" i="98"/>
  <c r="J65" i="98"/>
  <c r="I65" i="98"/>
  <c r="H65" i="98"/>
  <c r="G65" i="98"/>
  <c r="T12" i="98"/>
  <c r="T11" i="98"/>
  <c r="O10" i="98"/>
  <c r="O63" i="98" s="1"/>
  <c r="N63" i="98"/>
  <c r="M10" i="98"/>
  <c r="M63" i="98" s="1"/>
  <c r="L10" i="98"/>
  <c r="L63" i="98" s="1"/>
  <c r="K10" i="98"/>
  <c r="K63" i="98" s="1"/>
  <c r="J10" i="98"/>
  <c r="J63" i="98" s="1"/>
  <c r="I10" i="98"/>
  <c r="I63" i="98" s="1"/>
  <c r="H10" i="98"/>
  <c r="H63" i="98" s="1"/>
  <c r="G63" i="98"/>
  <c r="F63" i="98"/>
  <c r="T8" i="98"/>
  <c r="D8" i="98"/>
  <c r="T7" i="98"/>
  <c r="L61" i="98"/>
  <c r="L59" i="98" s="1"/>
  <c r="F61" i="98"/>
  <c r="O61" i="98"/>
  <c r="M61" i="98"/>
  <c r="M59" i="98" s="1"/>
  <c r="O5" i="98"/>
  <c r="O4" i="98" s="1"/>
  <c r="R7" i="136" l="1"/>
  <c r="M56" i="98"/>
  <c r="M58" i="98" s="1"/>
  <c r="L56" i="98"/>
  <c r="L58" i="98" s="1"/>
  <c r="F59" i="98"/>
  <c r="O59" i="98"/>
  <c r="O56" i="98" s="1"/>
  <c r="O58" i="98" s="1"/>
  <c r="Q56" i="98"/>
  <c r="Q58" i="98" s="1"/>
  <c r="R67" i="98"/>
  <c r="R63" i="98"/>
  <c r="P59" i="98"/>
  <c r="P56" i="98" s="1"/>
  <c r="P58" i="98" s="1"/>
  <c r="I5" i="98"/>
  <c r="I4" i="98" s="1"/>
  <c r="I61" i="98"/>
  <c r="I59" i="98" s="1"/>
  <c r="I56" i="98" s="1"/>
  <c r="I58" i="98" s="1"/>
  <c r="J5" i="98"/>
  <c r="J4" i="98" s="1"/>
  <c r="J61" i="98"/>
  <c r="J59" i="98" s="1"/>
  <c r="J56" i="98" s="1"/>
  <c r="J58" i="98" s="1"/>
  <c r="N5" i="98"/>
  <c r="N4" i="98" s="1"/>
  <c r="N61" i="98"/>
  <c r="G5" i="98"/>
  <c r="G4" i="98" s="1"/>
  <c r="G61" i="98"/>
  <c r="G59" i="98" s="1"/>
  <c r="G56" i="98" s="1"/>
  <c r="G58" i="98" s="1"/>
  <c r="K5" i="98"/>
  <c r="K61" i="98"/>
  <c r="K59" i="98" s="1"/>
  <c r="K56" i="98" s="1"/>
  <c r="K58" i="98" s="1"/>
  <c r="H5" i="98"/>
  <c r="H4" i="98" s="1"/>
  <c r="H61" i="98"/>
  <c r="H59" i="98" s="1"/>
  <c r="H56" i="98" s="1"/>
  <c r="H58" i="98" s="1"/>
  <c r="M5" i="98"/>
  <c r="M4" i="98" s="1"/>
  <c r="L5" i="98"/>
  <c r="L4" i="98" s="1"/>
  <c r="U6" i="99"/>
  <c r="U5" i="99" s="1"/>
  <c r="K4" i="98"/>
  <c r="F65" i="98"/>
  <c r="R65" i="98" s="1"/>
  <c r="F5" i="98"/>
  <c r="Q5" i="98"/>
  <c r="Q4" i="98" s="1"/>
  <c r="P5" i="98"/>
  <c r="P4" i="98" s="1"/>
  <c r="U8" i="98"/>
  <c r="R10" i="98"/>
  <c r="U11" i="98"/>
  <c r="U12" i="98"/>
  <c r="U7" i="98"/>
  <c r="R43" i="98"/>
  <c r="R5" i="98" l="1"/>
  <c r="T6" i="98"/>
  <c r="N59" i="98"/>
  <c r="N56" i="98" s="1"/>
  <c r="N58" i="98" s="1"/>
  <c r="R61" i="98"/>
  <c r="F56" i="98"/>
  <c r="F4" i="98"/>
  <c r="R4" i="98" s="1"/>
  <c r="R59" i="98"/>
  <c r="T10" i="98"/>
  <c r="U10" i="98"/>
  <c r="U43" i="98"/>
  <c r="R56" i="98" l="1"/>
  <c r="R58" i="98" s="1"/>
  <c r="S56" i="98"/>
  <c r="U6" i="98"/>
  <c r="U5" i="98" s="1"/>
  <c r="U4" i="98" s="1"/>
  <c r="F58" i="98"/>
  <c r="T5" i="98"/>
  <c r="S5" i="98"/>
  <c r="S43" i="98" l="1"/>
  <c r="S4" i="98" s="1"/>
  <c r="T43" i="98"/>
  <c r="T4" i="98" l="1"/>
  <c r="T45" i="99"/>
  <c r="T49" i="99"/>
  <c r="T52" i="99"/>
  <c r="T47" i="99"/>
  <c r="T46" i="99"/>
  <c r="T50" i="99"/>
  <c r="T51" i="99"/>
  <c r="T48" i="99"/>
  <c r="T12" i="99"/>
  <c r="T31" i="99"/>
  <c r="T20" i="99"/>
  <c r="T23" i="99"/>
  <c r="T53" i="99" l="1"/>
  <c r="T44" i="99" s="1"/>
  <c r="T22" i="99"/>
  <c r="T21" i="99"/>
  <c r="T29" i="99"/>
  <c r="T37" i="99"/>
  <c r="T33" i="99"/>
  <c r="T28" i="99"/>
  <c r="T34" i="99"/>
  <c r="T30" i="99"/>
  <c r="T40" i="99"/>
  <c r="T24" i="99"/>
  <c r="T25" i="99"/>
  <c r="T27" i="99"/>
  <c r="T39" i="99"/>
  <c r="T35" i="99"/>
  <c r="T26" i="99"/>
  <c r="T32" i="99"/>
  <c r="T36" i="99"/>
  <c r="T41" i="99"/>
  <c r="T38" i="99"/>
  <c r="T42" i="99"/>
  <c r="T13" i="99"/>
  <c r="T9" i="99"/>
  <c r="T8" i="99"/>
  <c r="S44" i="99" l="1"/>
  <c r="T19" i="99"/>
  <c r="T18" i="99" s="1"/>
  <c r="T11" i="99"/>
  <c r="S11" i="99"/>
  <c r="T7" i="99"/>
  <c r="S6" i="99" l="1"/>
  <c r="S5" i="99" s="1"/>
  <c r="T6" i="99"/>
  <c r="T5" i="99" s="1"/>
</calcChain>
</file>

<file path=xl/comments1.xml><?xml version="1.0" encoding="utf-8"?>
<comments xmlns="http://schemas.openxmlformats.org/spreadsheetml/2006/main">
  <authors>
    <author>vilma</author>
  </authors>
  <commentList>
    <comment ref="L28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gegužės atkelta fiksuota -80; priskirta, iškelta ir sąskaitos - bilietas su 80% nuolaida +sumos
, be nuolaidos-sumos</t>
        </r>
      </text>
    </comment>
  </commentList>
</comments>
</file>

<file path=xl/comments2.xml><?xml version="1.0" encoding="utf-8"?>
<comments xmlns="http://schemas.openxmlformats.org/spreadsheetml/2006/main">
  <authors>
    <author>vilma</author>
    <author>Indrė Galinytė</author>
  </authors>
  <commentList>
    <comment ref="L23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spalio mėn.</t>
        </r>
      </text>
    </comment>
    <comment ref="J24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e. pinigai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e.pinigai</t>
        </r>
      </text>
    </comment>
    <comment ref="L24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e. pinigai</t>
        </r>
      </text>
    </comment>
    <comment ref="D31" authorId="1">
      <text>
        <r>
          <rPr>
            <b/>
            <sz val="9"/>
            <color indexed="81"/>
            <rFont val="Tahoma"/>
            <family val="2"/>
            <charset val="186"/>
          </rPr>
          <t>Indrė Galinytė:</t>
        </r>
        <r>
          <rPr>
            <sz val="9"/>
            <color indexed="81"/>
            <rFont val="Tahoma"/>
            <family val="2"/>
            <charset val="186"/>
          </rPr>
          <t xml:space="preserve">
2014.04.09 d. rankiniu būdu išrašytos SF už kovo mėn.: Audickas Sigitas,169480-</t>
        </r>
        <r>
          <rPr>
            <b/>
            <sz val="9"/>
            <color indexed="81"/>
            <rFont val="Tahoma"/>
            <family val="2"/>
            <charset val="186"/>
          </rPr>
          <t>6,60</t>
        </r>
        <r>
          <rPr>
            <sz val="9"/>
            <color indexed="81"/>
            <rFont val="Tahoma"/>
            <family val="2"/>
            <charset val="186"/>
          </rPr>
          <t xml:space="preserve"> Lt; Aidietis Romualdas, 169960-</t>
        </r>
        <r>
          <rPr>
            <b/>
            <sz val="9"/>
            <color indexed="81"/>
            <rFont val="Tahoma"/>
            <family val="2"/>
            <charset val="186"/>
          </rPr>
          <t>20</t>
        </r>
        <r>
          <rPr>
            <sz val="9"/>
            <color indexed="81"/>
            <rFont val="Tahoma"/>
            <family val="2"/>
            <charset val="186"/>
          </rPr>
          <t xml:space="preserve"> Lt, 170338-</t>
        </r>
        <r>
          <rPr>
            <b/>
            <sz val="9"/>
            <color indexed="81"/>
            <rFont val="Tahoma"/>
            <family val="2"/>
            <charset val="186"/>
          </rPr>
          <t xml:space="preserve">18 </t>
        </r>
        <r>
          <rPr>
            <sz val="9"/>
            <color indexed="81"/>
            <rFont val="Tahoma"/>
            <family val="2"/>
            <charset val="186"/>
          </rPr>
          <t>Lt; Bublevičiūtė Ana, 170152-</t>
        </r>
        <r>
          <rPr>
            <b/>
            <sz val="9"/>
            <color indexed="81"/>
            <rFont val="Tahoma"/>
            <family val="2"/>
            <charset val="186"/>
          </rPr>
          <t>4,40</t>
        </r>
        <r>
          <rPr>
            <sz val="9"/>
            <color indexed="81"/>
            <rFont val="Tahoma"/>
            <family val="2"/>
            <charset val="186"/>
          </rPr>
          <t xml:space="preserve"> Lt; Barkus Donatas, 170354-</t>
        </r>
        <r>
          <rPr>
            <b/>
            <sz val="9"/>
            <color indexed="81"/>
            <rFont val="Tahoma"/>
            <family val="2"/>
            <charset val="186"/>
          </rPr>
          <t>22</t>
        </r>
        <r>
          <rPr>
            <sz val="9"/>
            <color indexed="81"/>
            <rFont val="Tahoma"/>
            <family val="2"/>
            <charset val="186"/>
          </rPr>
          <t xml:space="preserve"> Lt;Skritaitė Miglė, 170581-</t>
        </r>
        <r>
          <rPr>
            <b/>
            <sz val="9"/>
            <color indexed="81"/>
            <rFont val="Tahoma"/>
            <family val="2"/>
            <charset val="186"/>
          </rPr>
          <t>4,40</t>
        </r>
        <r>
          <rPr>
            <sz val="9"/>
            <color indexed="81"/>
            <rFont val="Tahoma"/>
            <family val="2"/>
            <charset val="186"/>
          </rPr>
          <t xml:space="preserve"> Lt; Karpovič Teresa, 171709-</t>
        </r>
        <r>
          <rPr>
            <b/>
            <sz val="9"/>
            <color indexed="81"/>
            <rFont val="Tahoma"/>
            <family val="2"/>
            <charset val="186"/>
          </rPr>
          <t>3,20</t>
        </r>
        <r>
          <rPr>
            <sz val="9"/>
            <color indexed="81"/>
            <rFont val="Tahoma"/>
            <family val="2"/>
            <charset val="186"/>
          </rPr>
          <t xml:space="preserve"> Lt, 171238-</t>
        </r>
        <r>
          <rPr>
            <b/>
            <sz val="9"/>
            <color indexed="81"/>
            <rFont val="Tahoma"/>
            <family val="2"/>
            <charset val="186"/>
          </rPr>
          <t>2,40</t>
        </r>
        <r>
          <rPr>
            <sz val="9"/>
            <color indexed="81"/>
            <rFont val="Tahoma"/>
            <family val="2"/>
            <charset val="186"/>
          </rPr>
          <t>, 171245-</t>
        </r>
        <r>
          <rPr>
            <b/>
            <sz val="9"/>
            <color indexed="81"/>
            <rFont val="Tahoma"/>
            <family val="2"/>
            <charset val="186"/>
          </rPr>
          <t>3,20</t>
        </r>
        <r>
          <rPr>
            <sz val="9"/>
            <color indexed="81"/>
            <rFont val="Tahoma"/>
            <family val="2"/>
            <charset val="186"/>
          </rPr>
          <t>Lt; Lakauskas Paulius, 170976-</t>
        </r>
        <r>
          <rPr>
            <b/>
            <sz val="9"/>
            <color indexed="81"/>
            <rFont val="Tahoma"/>
            <family val="2"/>
            <charset val="186"/>
          </rPr>
          <t>36</t>
        </r>
        <r>
          <rPr>
            <sz val="9"/>
            <color indexed="81"/>
            <rFont val="Tahoma"/>
            <family val="2"/>
            <charset val="186"/>
          </rPr>
          <t xml:space="preserve"> Lt; Samulionytė Enrika, 171115-</t>
        </r>
        <r>
          <rPr>
            <b/>
            <sz val="9"/>
            <color indexed="81"/>
            <rFont val="Tahoma"/>
            <family val="2"/>
            <charset val="186"/>
          </rPr>
          <t xml:space="preserve">6,60 </t>
        </r>
        <r>
          <rPr>
            <sz val="9"/>
            <color indexed="81"/>
            <rFont val="Tahoma"/>
            <family val="2"/>
            <charset val="186"/>
          </rPr>
          <t>Lt,171118-</t>
        </r>
        <r>
          <rPr>
            <b/>
            <sz val="9"/>
            <color indexed="81"/>
            <rFont val="Tahoma"/>
            <family val="2"/>
            <charset val="186"/>
          </rPr>
          <t xml:space="preserve">6,60 </t>
        </r>
        <r>
          <rPr>
            <sz val="9"/>
            <color indexed="81"/>
            <rFont val="Tahoma"/>
            <family val="2"/>
            <charset val="186"/>
          </rPr>
          <t>Lt; Vadišiūtė Inga, 171191-</t>
        </r>
        <r>
          <rPr>
            <b/>
            <sz val="9"/>
            <color indexed="81"/>
            <rFont val="Tahoma"/>
            <family val="2"/>
            <charset val="186"/>
          </rPr>
          <t>22</t>
        </r>
        <r>
          <rPr>
            <sz val="9"/>
            <color indexed="81"/>
            <rFont val="Tahoma"/>
            <family val="2"/>
            <charset val="186"/>
          </rPr>
          <t xml:space="preserve"> Lt; Grumbinienė Genovaitė, 171384-</t>
        </r>
        <r>
          <rPr>
            <b/>
            <sz val="9"/>
            <color indexed="81"/>
            <rFont val="Tahoma"/>
            <family val="2"/>
            <charset val="186"/>
          </rPr>
          <t xml:space="preserve">22 </t>
        </r>
        <r>
          <rPr>
            <sz val="9"/>
            <color indexed="81"/>
            <rFont val="Tahoma"/>
            <family val="2"/>
            <charset val="186"/>
          </rPr>
          <t>Lt,171385-</t>
        </r>
        <r>
          <rPr>
            <b/>
            <sz val="9"/>
            <color indexed="81"/>
            <rFont val="Tahoma"/>
            <family val="2"/>
            <charset val="186"/>
          </rPr>
          <t xml:space="preserve">22 </t>
        </r>
        <r>
          <rPr>
            <sz val="9"/>
            <color indexed="81"/>
            <rFont val="Tahoma"/>
            <family val="2"/>
            <charset val="186"/>
          </rPr>
          <t>Lt;  Globos namai "Gilė", 174228-</t>
        </r>
        <r>
          <rPr>
            <b/>
            <sz val="9"/>
            <color indexed="81"/>
            <rFont val="Tahoma"/>
            <family val="2"/>
            <charset val="186"/>
          </rPr>
          <t xml:space="preserve">580 </t>
        </r>
        <r>
          <rPr>
            <sz val="9"/>
            <color indexed="81"/>
            <rFont val="Tahoma"/>
            <family val="2"/>
            <charset val="186"/>
          </rPr>
          <t>Lt; Sonata Gainaitė, 174288-</t>
        </r>
        <r>
          <rPr>
            <b/>
            <sz val="9"/>
            <color indexed="81"/>
            <rFont val="Tahoma"/>
            <family val="2"/>
            <charset val="186"/>
          </rPr>
          <t>2,40</t>
        </r>
        <r>
          <rPr>
            <sz val="9"/>
            <color indexed="81"/>
            <rFont val="Tahoma"/>
            <family val="2"/>
            <charset val="186"/>
          </rPr>
          <t xml:space="preserve"> Lt; Benediktas Stryla,174155-</t>
        </r>
        <r>
          <rPr>
            <b/>
            <sz val="9"/>
            <color indexed="81"/>
            <rFont val="Tahoma"/>
            <family val="2"/>
            <charset val="186"/>
          </rPr>
          <t>11</t>
        </r>
        <r>
          <rPr>
            <sz val="9"/>
            <color indexed="81"/>
            <rFont val="Tahoma"/>
            <family val="2"/>
            <charset val="186"/>
          </rPr>
          <t xml:space="preserve"> Lt. </t>
        </r>
        <r>
          <rPr>
            <b/>
            <sz val="9"/>
            <color indexed="81"/>
            <rFont val="Tahoma"/>
            <family val="2"/>
            <charset val="186"/>
          </rPr>
          <t>Iš viso 792,80 Lt.</t>
        </r>
      </text>
    </comment>
    <comment ref="E31" authorId="1">
      <text>
        <r>
          <rPr>
            <b/>
            <sz val="9"/>
            <color indexed="81"/>
            <rFont val="Tahoma"/>
            <family val="2"/>
            <charset val="186"/>
          </rPr>
          <t>Indrė Galinytė:</t>
        </r>
        <r>
          <rPr>
            <sz val="9"/>
            <color indexed="81"/>
            <rFont val="Tahoma"/>
            <family val="2"/>
            <charset val="186"/>
          </rPr>
          <t xml:space="preserve">
2014.05.09 d. rankiniu būdu išrašytos SF už balandžio mėn.:
Jurgita Andrijauskienė, 192664-</t>
        </r>
        <r>
          <rPr>
            <b/>
            <sz val="9"/>
            <color indexed="81"/>
            <rFont val="Tahoma"/>
            <family val="2"/>
            <charset val="186"/>
          </rPr>
          <t>20</t>
        </r>
        <r>
          <rPr>
            <sz val="9"/>
            <color indexed="81"/>
            <rFont val="Tahoma"/>
            <family val="2"/>
            <charset val="186"/>
          </rPr>
          <t xml:space="preserve"> Lt; Rimvydas Kiserauskas, 192693-</t>
        </r>
        <r>
          <rPr>
            <b/>
            <sz val="9"/>
            <color indexed="81"/>
            <rFont val="Tahoma"/>
            <family val="2"/>
            <charset val="186"/>
          </rPr>
          <t>22</t>
        </r>
        <r>
          <rPr>
            <sz val="9"/>
            <color indexed="81"/>
            <rFont val="Tahoma"/>
            <family val="2"/>
            <charset val="186"/>
          </rPr>
          <t xml:space="preserve"> Lt. </t>
        </r>
        <r>
          <rPr>
            <b/>
            <sz val="9"/>
            <color indexed="81"/>
            <rFont val="Tahoma"/>
            <family val="2"/>
            <charset val="186"/>
          </rPr>
          <t>Iš viso 42 Lt</t>
        </r>
        <r>
          <rPr>
            <sz val="9"/>
            <color indexed="81"/>
            <rFont val="Tahoma"/>
            <family val="2"/>
            <charset val="186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vilma</author>
  </authors>
  <commentList>
    <comment ref="H56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grąžinimas E. pinigų</t>
        </r>
      </text>
    </comment>
  </commentList>
</comments>
</file>

<file path=xl/comments4.xml><?xml version="1.0" encoding="utf-8"?>
<comments xmlns="http://schemas.openxmlformats.org/spreadsheetml/2006/main">
  <authors>
    <author>vilma</author>
  </authors>
  <commentList>
    <comment ref="O3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nėįtrauktas testinis e.shopas, neveikia ataskaitos</t>
        </r>
      </text>
    </comment>
  </commentList>
</comments>
</file>

<file path=xl/comments5.xml><?xml version="1.0" encoding="utf-8"?>
<comments xmlns="http://schemas.openxmlformats.org/spreadsheetml/2006/main">
  <authors>
    <author>vilma</author>
  </authors>
  <commentList>
    <comment ref="O3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nėįtrauktas testinis e.shopas, neveikia ataskaitos</t>
        </r>
      </text>
    </comment>
    <comment ref="O12" authorId="0">
      <text>
        <r>
          <rPr>
            <b/>
            <sz val="8"/>
            <color indexed="81"/>
            <rFont val="Tahoma"/>
            <family val="2"/>
            <charset val="186"/>
          </rPr>
          <t>vilma:</t>
        </r>
        <r>
          <rPr>
            <sz val="8"/>
            <color indexed="81"/>
            <rFont val="Tahoma"/>
            <family val="2"/>
            <charset val="186"/>
          </rPr>
          <t xml:space="preserve">
2,20 Lt nebuvo atšaukimo, pridėsime 2,20 Lt gruodžio mėn.</t>
        </r>
      </text>
    </comment>
  </commentList>
</comments>
</file>

<file path=xl/comments6.xml><?xml version="1.0" encoding="utf-8"?>
<comments xmlns="http://schemas.openxmlformats.org/spreadsheetml/2006/main">
  <authors>
    <author>vilma</author>
  </authors>
  <commentList>
    <comment ref="N12" authorId="0">
      <text>
        <r>
          <rPr>
            <b/>
            <sz val="8"/>
            <color indexed="81"/>
            <rFont val="Tahoma"/>
            <charset val="1"/>
          </rPr>
          <t>vilma:</t>
        </r>
        <r>
          <rPr>
            <sz val="8"/>
            <color indexed="81"/>
            <rFont val="Tahoma"/>
            <charset val="1"/>
          </rPr>
          <t xml:space="preserve">
11 mėn. koregavimas</t>
        </r>
      </text>
    </comment>
  </commentList>
</comments>
</file>

<file path=xl/sharedStrings.xml><?xml version="1.0" encoding="utf-8"?>
<sst xmlns="http://schemas.openxmlformats.org/spreadsheetml/2006/main" count="12912" uniqueCount="610">
  <si>
    <t>UAB "Vaskota"</t>
  </si>
  <si>
    <t>Vienkartiniai bilietai važiuoti autobusu ir troleibusu</t>
  </si>
  <si>
    <t>1 dienos bilietas</t>
  </si>
  <si>
    <t>1 dienos bilietas su 50% nuolaida</t>
  </si>
  <si>
    <t>1 dienos bilietas su 80% nuolaida</t>
  </si>
  <si>
    <t>3 dienų bilietas</t>
  </si>
  <si>
    <t>3 dienų bilietas su 50% nuolaida</t>
  </si>
  <si>
    <t>3 dienų bilietas su 80% nuolaida</t>
  </si>
  <si>
    <t>10 dienų bilietas</t>
  </si>
  <si>
    <t>10 dienų bilietas su 50% nuolaida</t>
  </si>
  <si>
    <t>10 dienų bilietas su 80% nuolaida</t>
  </si>
  <si>
    <t>Popieriniai vienkartiniai bilietai važiuoti autobusu ir troleibusu</t>
  </si>
  <si>
    <t>VB</t>
  </si>
  <si>
    <t>PVBV</t>
  </si>
  <si>
    <t>EVBV</t>
  </si>
  <si>
    <t>EMBV</t>
  </si>
  <si>
    <t>TBV</t>
  </si>
  <si>
    <t>ETB/1D</t>
  </si>
  <si>
    <t>ETB/1D/50%</t>
  </si>
  <si>
    <t>ETB/1D/80%</t>
  </si>
  <si>
    <t>ETB/3D</t>
  </si>
  <si>
    <t>ETB/3D/50%</t>
  </si>
  <si>
    <t>ETB/3D/80%</t>
  </si>
  <si>
    <t>ETB/10D</t>
  </si>
  <si>
    <t>ETB/10D/50%</t>
  </si>
  <si>
    <t>ETB/10D/80%</t>
  </si>
  <si>
    <t>UAB "Lietuvos spauda" Vilniaus agentūra</t>
  </si>
  <si>
    <t>Troleibusai - UAB "Vilniaus viešasis transportas"</t>
  </si>
  <si>
    <t>Autobusai - UAB "Vilniaus viešasis transportas"</t>
  </si>
  <si>
    <t>BTAV</t>
  </si>
  <si>
    <t>1.</t>
  </si>
  <si>
    <t>1.1.</t>
  </si>
  <si>
    <t>1.2.</t>
  </si>
  <si>
    <t>2.</t>
  </si>
  <si>
    <t>3.</t>
  </si>
  <si>
    <t>3.1.</t>
  </si>
  <si>
    <t>0.</t>
  </si>
  <si>
    <t>Eilės kodas</t>
  </si>
  <si>
    <t>Bilieto kaina</t>
  </si>
  <si>
    <t>Bilieto kodas</t>
  </si>
  <si>
    <t>Bilietai</t>
  </si>
  <si>
    <t>PVM</t>
  </si>
  <si>
    <t>Vienetai</t>
  </si>
  <si>
    <t>Realizacija, iš viso, su PVM</t>
  </si>
  <si>
    <t>Realizacija, iš viso, be PVM</t>
  </si>
  <si>
    <t>Iš viso:</t>
  </si>
  <si>
    <t>Elektroniniai vienkartiniai bilietai važiuoti autobusu ir troleibusu</t>
  </si>
  <si>
    <t>1.1.7.</t>
  </si>
  <si>
    <t>1.1.8.</t>
  </si>
  <si>
    <t>PVBV/50%</t>
  </si>
  <si>
    <t>bilietas įsigyjamas iš vairuotojo</t>
  </si>
  <si>
    <t>bilietas įsigyjamas iš vairuotojo u 50% nuolaida</t>
  </si>
  <si>
    <t>PVBB</t>
  </si>
  <si>
    <t>EVB/30M</t>
  </si>
  <si>
    <t>30 min. bilietas</t>
  </si>
  <si>
    <t>EVB/30M/50%</t>
  </si>
  <si>
    <t>EVB/30M/80%</t>
  </si>
  <si>
    <t>EVB/60M</t>
  </si>
  <si>
    <t>60 min. bilietas</t>
  </si>
  <si>
    <t>EVB/60M/50%</t>
  </si>
  <si>
    <t>EVB/60M/80%</t>
  </si>
  <si>
    <t>ETB/30D</t>
  </si>
  <si>
    <t>30 dienų bilietas</t>
  </si>
  <si>
    <t>ETB/30D/50%</t>
  </si>
  <si>
    <t>30 dienų bilietas su 50% nuolaida</t>
  </si>
  <si>
    <t>ETB/30D/80%</t>
  </si>
  <si>
    <t>30 dienų bilietas su 80% nuolaida</t>
  </si>
  <si>
    <t>ETB/30D/D</t>
  </si>
  <si>
    <t>30 dienų bilietas darbo dienomis</t>
  </si>
  <si>
    <t>ETB/30D/50%/D</t>
  </si>
  <si>
    <t>30 dienų bilietas darbo dienomis su 50% nuolaida</t>
  </si>
  <si>
    <t>ETB/30D/80%/D</t>
  </si>
  <si>
    <t>30 dienų bilietas darbo dienomis su 80% nuolaida</t>
  </si>
  <si>
    <t>ETB/90D</t>
  </si>
  <si>
    <t>ETB/90D/50%</t>
  </si>
  <si>
    <t>ETB/90D/80%</t>
  </si>
  <si>
    <t>ETB/90D/D</t>
  </si>
  <si>
    <t>ETB/90D/50%/D</t>
  </si>
  <si>
    <t>ETB/90D/80%/D</t>
  </si>
  <si>
    <t>ETB/180D</t>
  </si>
  <si>
    <t>ETB/180D/50%</t>
  </si>
  <si>
    <t>ETB/180D/80%</t>
  </si>
  <si>
    <t>ETB/180D/D</t>
  </si>
  <si>
    <t>ETB/180D/50%/D</t>
  </si>
  <si>
    <t>ETB/180D/80%/D</t>
  </si>
  <si>
    <t>ETB/270D</t>
  </si>
  <si>
    <t>ETB/270D/50%</t>
  </si>
  <si>
    <t>ETB/270D/80%</t>
  </si>
  <si>
    <t>ETB/270D/D</t>
  </si>
  <si>
    <t>ETB/270D/50%/D</t>
  </si>
  <si>
    <t>ETB/270D/80%/D</t>
  </si>
  <si>
    <t>Elektroniniai terminuoti bilietai (1d.-10d.)</t>
  </si>
  <si>
    <t>30 min. bilietas su 50% nuolaida</t>
  </si>
  <si>
    <t>30 min. bilietas su 80% nuolaida</t>
  </si>
  <si>
    <t>60 min. bilietas su 50% nuolaida</t>
  </si>
  <si>
    <t>60 min. bilietas su 80% nuolaida</t>
  </si>
  <si>
    <t>90 dienų ( 3 mėn.) bilietas</t>
  </si>
  <si>
    <t>90 dienų ( 3 mėn.) bilietas su 50% nuolaida</t>
  </si>
  <si>
    <t>90 dienų ( 3 mėn.) bilietas su 80% nuolaida</t>
  </si>
  <si>
    <t>90 dienų ( 3 mėn.) bilietas bilietas darbo dienomis</t>
  </si>
  <si>
    <t>90 dienų ( 3 mėn.) bilietas bilietas darbo dienomis su 50% nuolaida</t>
  </si>
  <si>
    <t>90 dienų ( 3 mėn.) bilietas bilietas darbo dienomis su 80% nuolaida</t>
  </si>
  <si>
    <t>180 dienų ( 6 mėn.) bilietas</t>
  </si>
  <si>
    <t>180 dienų ( 6 mėn.) bilietas su 50% nuolaida</t>
  </si>
  <si>
    <t>180 dienų ( 6 mėn.) bilietas su 80% nuolaida</t>
  </si>
  <si>
    <t>180 dienų ( 6 mėn.) bilietas darbo dienomis</t>
  </si>
  <si>
    <t>180 dienų ( 6 mėn.) bilietas darbo dienomis su 50% nuolaida</t>
  </si>
  <si>
    <t>180 dienų ( 6 mėn.) bilietas darbo dienomis su 80% nuolaida</t>
  </si>
  <si>
    <t>270 dienų (9 mėn.) bilietas</t>
  </si>
  <si>
    <t>270 dienų (9 mėn.) bilietas su 50% nuolaida</t>
  </si>
  <si>
    <t>270 dienų (9 mėn.) bilietas su 80% nuolaida</t>
  </si>
  <si>
    <t>270 dienų (9 mėn.) bilietas darbo dienomis</t>
  </si>
  <si>
    <t>270 dienų (9 mėn.) bilietas darbo dienomis su 50% nuolaida</t>
  </si>
  <si>
    <t>270 dienų (9 mėn.) bilietas darbo dienomis su 80% nuolaida</t>
  </si>
  <si>
    <t>e-piniginės panaudojimas</t>
  </si>
  <si>
    <t>2.3</t>
  </si>
  <si>
    <t>2.2</t>
  </si>
  <si>
    <t>2.1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</si>
  <si>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</si>
  <si>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</si>
  <si>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</si>
  <si>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</si>
  <si>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</si>
  <si>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</si>
  <si>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</si>
  <si>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</si>
  <si>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</si>
  <si>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</si>
  <si>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</si>
  <si>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</si>
  <si>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</si>
  <si>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</si>
  <si>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</si>
  <si>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</si>
  <si>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</si>
  <si>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</si>
  <si>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</si>
  <si>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</si>
  <si>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</si>
  <si>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1.2.4</t>
  </si>
  <si>
    <t>1.2.6</t>
  </si>
  <si>
    <t>Elektroniniai ilgalaikiai terminuotieji bilietai</t>
  </si>
  <si>
    <t>KIOSKAS 2, Gedimino pr. 9A, Vilnius</t>
  </si>
  <si>
    <t>E.piniginės papildymai</t>
  </si>
  <si>
    <t>UAB "Maxima Lt"</t>
  </si>
  <si>
    <t>1.2.2.</t>
  </si>
  <si>
    <t>1.2.8.</t>
  </si>
  <si>
    <t>1.2.10.</t>
  </si>
  <si>
    <t>Kompensacijos</t>
  </si>
  <si>
    <t>vnt.</t>
  </si>
  <si>
    <t>Vilniečio kortelių pardavimai, lt</t>
  </si>
  <si>
    <t>viso</t>
  </si>
  <si>
    <t>PRISKIRTA</t>
  </si>
  <si>
    <t>AB "Lietuvos paštas"</t>
  </si>
  <si>
    <t>Sausis</t>
  </si>
  <si>
    <t>Vasaris</t>
  </si>
  <si>
    <t>Kovas</t>
  </si>
  <si>
    <t>Balandis</t>
  </si>
  <si>
    <t>Gegužė</t>
  </si>
  <si>
    <t>Birželis</t>
  </si>
  <si>
    <t>Liepa</t>
  </si>
  <si>
    <t>Rugpjūtis</t>
  </si>
  <si>
    <t>Rugsėjis</t>
  </si>
  <si>
    <t>Spalis</t>
  </si>
  <si>
    <t>Lapkritis</t>
  </si>
  <si>
    <t>Gruodis</t>
  </si>
  <si>
    <t>Iš viso, su PVM</t>
  </si>
  <si>
    <t>Iš viso, be PVM</t>
  </si>
  <si>
    <t>ATKELTA VISO</t>
  </si>
  <si>
    <t>IŠKELTA</t>
  </si>
  <si>
    <t>Metai</t>
  </si>
  <si>
    <t>Elektroniniai ilgalaikiai terminuotieji bilietai/mėnesiniai bilietai</t>
  </si>
  <si>
    <t>Terminuoti bilietai (1d.-10d.)</t>
  </si>
  <si>
    <t>vid.</t>
  </si>
  <si>
    <t>%</t>
  </si>
  <si>
    <t>Iš viso už bilietus Lt:</t>
  </si>
  <si>
    <t>sąskaitos</t>
  </si>
  <si>
    <t>BENDRA</t>
  </si>
  <si>
    <t>E-parduotuvė</t>
  </si>
  <si>
    <t>bilietas įsigyjamas iš vairuotojo su 50% nuolaida</t>
  </si>
  <si>
    <t>90 dienų ( 3 mėn.) bilietas darbo dienomis</t>
  </si>
  <si>
    <t>90 dienų ( 3 mėn.) bilietas darbo dienomis su 50% nuolaida</t>
  </si>
  <si>
    <t>90 dienų ( 3 mėn.) bilietas darbo dienomis su 80% nuolaida</t>
  </si>
  <si>
    <t>Pardavimai pagal išrašytas sąskaitas, Lt su PVM</t>
  </si>
  <si>
    <t>Iškelta į ateinančius laikotarpius, Lt su PVM</t>
  </si>
  <si>
    <t>PVBV/80%</t>
  </si>
  <si>
    <t>1.1.9.</t>
  </si>
  <si>
    <t>bilietas įsigyjamas iš vairuotojo u 80% nuolaida</t>
  </si>
  <si>
    <t>Kompensuojama dalis</t>
  </si>
  <si>
    <t>Iš viso vnt.</t>
  </si>
  <si>
    <t>Vilniečio kortelės, Lt</t>
  </si>
  <si>
    <t>1.2.12.</t>
  </si>
  <si>
    <t>1.2.8</t>
  </si>
  <si>
    <t>1.2.10</t>
  </si>
  <si>
    <t>1.2.12</t>
  </si>
  <si>
    <t>2014 M.  SAUSIO MĖN. BILIETŲ REALIZACIJA</t>
  </si>
  <si>
    <t>2014 M. SAUSIO MĖN. BILIETŲ REALIZACIJA</t>
  </si>
  <si>
    <t>2014 M. BILIETŲ REALIZACIJA (išskirstyta)</t>
  </si>
  <si>
    <t>2014 M. BILIETŲ REALIZACIJA (sąskaitos)</t>
  </si>
  <si>
    <t>2014 M. KOMPENSACIJOS (išskirstyta)</t>
  </si>
  <si>
    <t>2.25</t>
  </si>
  <si>
    <t>ETB/365D</t>
  </si>
  <si>
    <t xml:space="preserve">365 dienų (12 mėn.) bilietas </t>
  </si>
  <si>
    <t>už ataskaitinį mėn.</t>
  </si>
  <si>
    <t>gruodžio mėn.</t>
  </si>
  <si>
    <t>patikslinta</t>
  </si>
  <si>
    <t>skirtumas</t>
  </si>
  <si>
    <t>koregavimas 12 mėn.</t>
  </si>
  <si>
    <t>kaina</t>
  </si>
  <si>
    <t>Atkelta į sausio mėn. realizaciją iš praėjusių laikotarpių, Lt su PVM</t>
  </si>
  <si>
    <t>Priskirta  sausio mėn. realizacijai, Lt su PVM</t>
  </si>
  <si>
    <t>sausis</t>
  </si>
  <si>
    <t>vasaris</t>
  </si>
  <si>
    <t>Bilieto rūšis</t>
  </si>
  <si>
    <t>Pagrindas</t>
  </si>
  <si>
    <t>Pirkimo data</t>
  </si>
  <si>
    <t>Įsigyjimo vieta</t>
  </si>
  <si>
    <t>Grąžinimai 2014 m.</t>
  </si>
  <si>
    <t>E_parduotuvė</t>
  </si>
  <si>
    <t>30 d. (I_V)</t>
  </si>
  <si>
    <t>Kreditinis d. SPE Nr. 0000000045</t>
  </si>
  <si>
    <t>30 d. 80% m/s</t>
  </si>
  <si>
    <t>Kreditinis d. SPE Nr. 0000000046</t>
  </si>
  <si>
    <t>Suma, Lt</t>
  </si>
  <si>
    <t>pervesta</t>
  </si>
  <si>
    <t>E. pinigai</t>
  </si>
  <si>
    <t>Paraiška Nr. G 000046</t>
  </si>
  <si>
    <t>Paraiška Nr. P 000020</t>
  </si>
  <si>
    <t>paraiška Nr. P 000027</t>
  </si>
  <si>
    <t>Paraiška Nr. P 000040</t>
  </si>
  <si>
    <t>Paraiška Nr. P 000053</t>
  </si>
  <si>
    <t>Maxima</t>
  </si>
  <si>
    <t>nuskaitymas</t>
  </si>
  <si>
    <t>Paraiška Nr. G 000051</t>
  </si>
  <si>
    <t xml:space="preserve">30 d. 50% </t>
  </si>
  <si>
    <t>Kreditinis d. SPE Nr. 0000000047</t>
  </si>
  <si>
    <t>Kreditinis d. SPE Nr. 0000000048</t>
  </si>
  <si>
    <t>Paraiškos data</t>
  </si>
  <si>
    <t>30 min. (20 vnt.)</t>
  </si>
  <si>
    <t>sausio mėn.</t>
  </si>
  <si>
    <t>E. piniginės nuskaitymai 2014 m. sausio mėn.</t>
  </si>
  <si>
    <t>2014 M. VASARIO MĖN. BILIETŲ REALIZACIJA</t>
  </si>
  <si>
    <t>2014 M.  VASARIO MĖN. BILIETŲ REALIZACIJA</t>
  </si>
  <si>
    <t>30 d. (I_V) 80% m/s</t>
  </si>
  <si>
    <t>Kreditinis d. SPE Nr. 0000000049</t>
  </si>
  <si>
    <t>30 min. (1 vnt.)</t>
  </si>
  <si>
    <t>Paraiška Nr. P 000054</t>
  </si>
  <si>
    <t>koregavimas 01 mėn.</t>
  </si>
  <si>
    <t>sausio real.</t>
  </si>
  <si>
    <t>2014 M. KOMPENSACIJOS (SĄSKAITOS)</t>
  </si>
  <si>
    <t>kovas</t>
  </si>
  <si>
    <t>30 min.(40vnt.), 60 min. (38 vnt.)</t>
  </si>
  <si>
    <t>Kreditinis d. SPK Nr. 0000002</t>
  </si>
  <si>
    <t>Paraiška Nr. G 000087</t>
  </si>
  <si>
    <t xml:space="preserve">pervesta </t>
  </si>
  <si>
    <t>2014 M. KOVO MĖN. BILIETŲ REALIZACIJA</t>
  </si>
  <si>
    <t>vasario mėn.</t>
  </si>
  <si>
    <t>E. piniginės nuskaitymai 2014 m. vasario mėn.</t>
  </si>
  <si>
    <t>koregavimas 02 mėn.</t>
  </si>
  <si>
    <t>Paraiška Nr. G 000093</t>
  </si>
  <si>
    <t>Paštas</t>
  </si>
  <si>
    <t>Paraiška Nr. G 000094</t>
  </si>
  <si>
    <t>Paraiška Nr. G 000105</t>
  </si>
  <si>
    <t>Paraiška Nr. P 000082</t>
  </si>
  <si>
    <t>Paraiška Nr. P 000086</t>
  </si>
  <si>
    <t>balandis</t>
  </si>
  <si>
    <t>įtraukta</t>
  </si>
  <si>
    <t>kovo real.</t>
  </si>
  <si>
    <t>koregavimas 2 mėn.</t>
  </si>
  <si>
    <t>E. pininės papildymai, Lt</t>
  </si>
  <si>
    <t>Eil. Nr.</t>
  </si>
  <si>
    <t>Registracijos numeris</t>
  </si>
  <si>
    <t>Registracijos data</t>
  </si>
  <si>
    <t>Vardas</t>
  </si>
  <si>
    <t>Pavardė</t>
  </si>
  <si>
    <t>kreipimosi priežastis</t>
  </si>
  <si>
    <t>perdavimo data</t>
  </si>
  <si>
    <t xml:space="preserve"> Patikrinimas</t>
  </si>
  <si>
    <t>P000020</t>
  </si>
  <si>
    <t>Vidmantas</t>
  </si>
  <si>
    <t>Sakalauskas</t>
  </si>
  <si>
    <t>bilietų nuskaitymas</t>
  </si>
  <si>
    <t>P000027</t>
  </si>
  <si>
    <t>Aldona</t>
  </si>
  <si>
    <t>Stasiūnaitė</t>
  </si>
  <si>
    <t>P000040</t>
  </si>
  <si>
    <t>Pavelas</t>
  </si>
  <si>
    <t>Stankevičius</t>
  </si>
  <si>
    <t>P000053</t>
  </si>
  <si>
    <t>Asta</t>
  </si>
  <si>
    <t>Abunevičiūtė</t>
  </si>
  <si>
    <t>P000082</t>
  </si>
  <si>
    <t>Vera</t>
  </si>
  <si>
    <t>Badjanova</t>
  </si>
  <si>
    <t>P000086</t>
  </si>
  <si>
    <t>Jonas</t>
  </si>
  <si>
    <t>Rauličkas</t>
  </si>
  <si>
    <t>E. piniginės nuskaitymai 2014 m. kovo mėn.</t>
  </si>
  <si>
    <t>kovo mėn.</t>
  </si>
  <si>
    <t>2014 M. BALANDŽIO MĖN. BILIETŲ REALIZACIJA</t>
  </si>
  <si>
    <t>Paraiška Nr. G 000116</t>
  </si>
  <si>
    <t>E. parduotuvė</t>
  </si>
  <si>
    <t>30 d. bilietas</t>
  </si>
  <si>
    <t>Kreditinis d. SPK Nr. 0000003</t>
  </si>
  <si>
    <t>suma</t>
  </si>
  <si>
    <t>susigrąžinimas</t>
  </si>
  <si>
    <t>Patikrinimas 05.06</t>
  </si>
  <si>
    <t>kortelės numeris</t>
  </si>
  <si>
    <t>Grąžinti pinigai už nepanaudotus e. pinigus dėl to, kad nesimato informacijos ir keleivis kreipėsi dėl neteisingo nuskaitymo</t>
  </si>
  <si>
    <t>koregavimas 03 mėn.</t>
  </si>
  <si>
    <t>gegužė</t>
  </si>
  <si>
    <t>Paraiška Nr. G 000132</t>
  </si>
  <si>
    <t>Paraiška Nr. G 000133</t>
  </si>
  <si>
    <t>04 mėn.</t>
  </si>
  <si>
    <t>05 mėn.</t>
  </si>
  <si>
    <t>06 mėn.</t>
  </si>
  <si>
    <t xml:space="preserve">be PVM (9%) </t>
  </si>
  <si>
    <t>3 mėn. bilietas su 80% nuolaida</t>
  </si>
  <si>
    <t>Paraiška Nr. G 000143</t>
  </si>
  <si>
    <t>07 mėn.</t>
  </si>
  <si>
    <t>Paraiška Nr. G 000153</t>
  </si>
  <si>
    <t>E. piniginės nuskaitymai 2014 m. balandžio mėn.</t>
  </si>
  <si>
    <t xml:space="preserve">kovas </t>
  </si>
  <si>
    <t>buvo</t>
  </si>
  <si>
    <t>patisklinta</t>
  </si>
  <si>
    <t>2014 M. GEGUŽĖS MĖN. BILIETŲ REALIZACIJA</t>
  </si>
  <si>
    <t>30 d.d. bilietas</t>
  </si>
  <si>
    <t>Paraiška Nr. G 000165</t>
  </si>
  <si>
    <t>Paraiška Nr. G 000172</t>
  </si>
  <si>
    <t>nėra informacijos</t>
  </si>
  <si>
    <t>nėra 29 įrašo, kiti atsirado</t>
  </si>
  <si>
    <t>4-12 įrašų nėra, yra tik 11</t>
  </si>
  <si>
    <t>Patikrinimas 06.03</t>
  </si>
  <si>
    <t>nėra 46-49,58,80,115,126,137-138,147,152,158,162,164-165,168,174</t>
  </si>
  <si>
    <t>nėra 47-49,59,73</t>
  </si>
  <si>
    <t>nėra 80-81,112,116,120,137,140,144 įrašų</t>
  </si>
  <si>
    <t>nėra 35,46-49 įrašų</t>
  </si>
  <si>
    <t>nėra 16,29,44 įrašo</t>
  </si>
  <si>
    <t>4-12,15 įrašų nėra, yra tik 11</t>
  </si>
  <si>
    <t>Nėra įrašų</t>
  </si>
  <si>
    <t xml:space="preserve">  4 - 12 </t>
  </si>
  <si>
    <t xml:space="preserve">47 - 49 </t>
  </si>
  <si>
    <t>46 - 49</t>
  </si>
  <si>
    <t>80 - 81</t>
  </si>
  <si>
    <t>29,30,50</t>
  </si>
  <si>
    <t>koregavimas 01-04 mėn.</t>
  </si>
  <si>
    <t>e. pard</t>
  </si>
  <si>
    <t>balandžio mėn. išskaityta iš 20 Lt. 100 (koreguoti gegužės mėn.)</t>
  </si>
  <si>
    <t>koregavimas 03-04 mėn.</t>
  </si>
  <si>
    <t xml:space="preserve"> + </t>
  </si>
  <si>
    <t>įtraukiama į realizaciją</t>
  </si>
  <si>
    <t>bendras skirtumas</t>
  </si>
  <si>
    <t>patisklinta_05</t>
  </si>
  <si>
    <t>patisklinta_06</t>
  </si>
  <si>
    <t>buvo_05</t>
  </si>
  <si>
    <t>Pardavimai per E. parduotuvę</t>
  </si>
  <si>
    <t>2014 m.</t>
  </si>
  <si>
    <t>pildo KRD</t>
  </si>
  <si>
    <t>birželis</t>
  </si>
  <si>
    <t>liepa</t>
  </si>
  <si>
    <t>rugpjūtis</t>
  </si>
  <si>
    <t>rugsėjis</t>
  </si>
  <si>
    <t>spalis</t>
  </si>
  <si>
    <t>lapkritis</t>
  </si>
  <si>
    <t>gruodis</t>
  </si>
  <si>
    <t>viso realizacijoje</t>
  </si>
  <si>
    <t>e. parduotuvė</t>
  </si>
  <si>
    <t>koregavimai:</t>
  </si>
  <si>
    <t>grąžinimai</t>
  </si>
  <si>
    <t>Pildo FED</t>
  </si>
  <si>
    <t>E. Parduotuvė</t>
  </si>
  <si>
    <t>SF (e.parduotuvės pirkėjas)</t>
  </si>
  <si>
    <t>SF (įmonės)</t>
  </si>
  <si>
    <t>E.piniginė</t>
  </si>
  <si>
    <t>SF iš viso:</t>
  </si>
  <si>
    <t>Skirtumai</t>
  </si>
  <si>
    <t>2014 M. BIRŽELIO MĖN. BILIETŲ REALIZACIJA</t>
  </si>
  <si>
    <t>koregavimas  mėn.</t>
  </si>
  <si>
    <t>koregavimas 01-05 mėn.</t>
  </si>
  <si>
    <t>koregavimas mėn.</t>
  </si>
  <si>
    <t>Paraiška Nr. G 000195</t>
  </si>
  <si>
    <t>Paraiška Nr. G 000196</t>
  </si>
  <si>
    <t>Paraiška Nr. G 000198</t>
  </si>
  <si>
    <t>08 mėn.</t>
  </si>
  <si>
    <t>Patikrinimas 07.09</t>
  </si>
  <si>
    <t>įtraukti</t>
  </si>
  <si>
    <r>
      <rPr>
        <sz val="10"/>
        <color rgb="FFFF0000"/>
        <rFont val="Calibri"/>
        <family val="2"/>
        <charset val="186"/>
        <scheme val="minor"/>
      </rPr>
      <t>liepos</t>
    </r>
    <r>
      <rPr>
        <sz val="10"/>
        <color theme="1"/>
        <rFont val="Calibri"/>
        <family val="2"/>
        <charset val="186"/>
        <scheme val="minor"/>
      </rPr>
      <t xml:space="preserve"> mėn įtraukti į "atkelta"</t>
    </r>
  </si>
  <si>
    <t xml:space="preserve">M. bilietas    </t>
  </si>
  <si>
    <t>sausio-gegužės mėn.</t>
  </si>
  <si>
    <t>patisklinta_07</t>
  </si>
  <si>
    <t>buvo_06</t>
  </si>
  <si>
    <t>patikslinta_06</t>
  </si>
  <si>
    <t xml:space="preserve">E. piniginės nuskaitymai 2014 m. </t>
  </si>
  <si>
    <t>2014 M. LIEPOS MĖN. BILIETŲ REALIZACIJA</t>
  </si>
  <si>
    <t>E. piniginės nuskaitymai 2013 m. gruodžio mėn.</t>
  </si>
  <si>
    <t>09 mėn.</t>
  </si>
  <si>
    <t>Paraiška Nr. G 000208</t>
  </si>
  <si>
    <t>Paraiška Nr. G 000212</t>
  </si>
  <si>
    <t>30 min. bilietai</t>
  </si>
  <si>
    <t>Paraiška Nr. G 000217</t>
  </si>
  <si>
    <t>Paraiška Nr. P 000153</t>
  </si>
  <si>
    <t>Paraiška Nr. P 000102</t>
  </si>
  <si>
    <t>4-12 įrašų nėra, yra tik 12</t>
  </si>
  <si>
    <t>P000102</t>
  </si>
  <si>
    <t>Dmitrij</t>
  </si>
  <si>
    <t>Bukolov</t>
  </si>
  <si>
    <t>42-45</t>
  </si>
  <si>
    <t>4-12 įrašų nėra, yra tik 13</t>
  </si>
  <si>
    <t>P000153</t>
  </si>
  <si>
    <t>Anželika</t>
  </si>
  <si>
    <t>Žukovskaja</t>
  </si>
  <si>
    <t>118; 120-122</t>
  </si>
  <si>
    <t>koregavimas 01-06 mėn.</t>
  </si>
  <si>
    <t>bilietas įsigyjamas iš vairuotojo su 80% nuolaida</t>
  </si>
  <si>
    <t>Patikrinimas 08.08</t>
  </si>
  <si>
    <t>nėra 46-49,58,80,115,121,126,131,137-138,147,152,158,162,164-165,168,174,185,188</t>
  </si>
  <si>
    <t>nėra 80-81,112,116,120,128,137,140,144,146</t>
  </si>
  <si>
    <t>nėra 35,46-49</t>
  </si>
  <si>
    <t>nėra 16,29,44</t>
  </si>
  <si>
    <t>4-12,15 įrašų nėra, yra tik 11, nėra 15</t>
  </si>
  <si>
    <t>nėra 28,39,42-45,48</t>
  </si>
  <si>
    <t>nėra 94, 120-122,142</t>
  </si>
  <si>
    <t>Lt</t>
  </si>
  <si>
    <t>Eur</t>
  </si>
  <si>
    <t>Bilietų rūšys</t>
  </si>
  <si>
    <t>patisklinta_08</t>
  </si>
  <si>
    <t>_07</t>
  </si>
  <si>
    <t>2014 M. RUGPJŪČIO MĖN. BILIETŲ REALIZACIJA</t>
  </si>
  <si>
    <t>Patikrinimas 09.10</t>
  </si>
  <si>
    <t>nėra įrašų:</t>
  </si>
  <si>
    <t>P000211</t>
  </si>
  <si>
    <t>Modestas</t>
  </si>
  <si>
    <t>Balevičius</t>
  </si>
  <si>
    <t>eil. Nr.</t>
  </si>
  <si>
    <t>registracijos numeris</t>
  </si>
  <si>
    <t>registracijos data</t>
  </si>
  <si>
    <t>vardas</t>
  </si>
  <si>
    <t>pavardė</t>
  </si>
  <si>
    <t>10 mėn.</t>
  </si>
  <si>
    <t>Paraiška Nr. G 000247</t>
  </si>
  <si>
    <t>Paraiška Nr. G 000230</t>
  </si>
  <si>
    <t>Paraiška Nr. G 000233</t>
  </si>
  <si>
    <t>11 mėn.</t>
  </si>
  <si>
    <t>Paraiška Nr. G 000243</t>
  </si>
  <si>
    <t>koregavimas 01-07 mėn.</t>
  </si>
  <si>
    <t>nėra 46-49,58,80,115,121,126,131,137-138,147,152,158,162,164-165,168,174,185,188,211,217</t>
  </si>
  <si>
    <t>nėra 47-49,59,73,92,97</t>
  </si>
  <si>
    <t>nėra 94, 120-122,142,149-150</t>
  </si>
  <si>
    <t>nėra 1,3-6</t>
  </si>
  <si>
    <t>Kompensacijos, Lt su PVM</t>
  </si>
  <si>
    <t>patisklinta_09</t>
  </si>
  <si>
    <t>_08</t>
  </si>
  <si>
    <t>2014 M. RUGSĖJO MĖN. BILIETŲ REALIZACIJA</t>
  </si>
  <si>
    <t>koregavimas 01-08 mėn.</t>
  </si>
  <si>
    <t>30 d. su 50% proc. nuolaida</t>
  </si>
  <si>
    <t>Paraiška Nr. G 000257</t>
  </si>
  <si>
    <t>90 d. d. su 80% nuolaida</t>
  </si>
  <si>
    <t>Paraiška Nr. G 000289</t>
  </si>
  <si>
    <t>12 mėn.</t>
  </si>
  <si>
    <t>Paraiška Nr. G 000288</t>
  </si>
  <si>
    <t>Paraiška Nr. G 000293</t>
  </si>
  <si>
    <t>Paraiška Nr. G 000262</t>
  </si>
  <si>
    <t>Paraiška Nr. G 000263</t>
  </si>
  <si>
    <t xml:space="preserve">Paraiška Nr. </t>
  </si>
  <si>
    <t>Paraiška Nr.</t>
  </si>
  <si>
    <t>Paraiška Nr. G 000297</t>
  </si>
  <si>
    <t>Paraiška Nr. G. 000284</t>
  </si>
  <si>
    <t>Paraiška Nr. G. 000283</t>
  </si>
  <si>
    <t>Paraiška Nr. P 000211</t>
  </si>
  <si>
    <t>Paraiška Nr. G 000302</t>
  </si>
  <si>
    <t>Paraiška Nr. G 000301</t>
  </si>
  <si>
    <t>Paraiška Nr. G 000300</t>
  </si>
  <si>
    <t>Paraiška Nr. G 000299</t>
  </si>
  <si>
    <t>Paraiška Nr. G 000271</t>
  </si>
  <si>
    <t>buvo 08</t>
  </si>
  <si>
    <t>atnaujinta 09</t>
  </si>
  <si>
    <t>7d</t>
  </si>
  <si>
    <t>23d</t>
  </si>
  <si>
    <t>pris</t>
  </si>
  <si>
    <t>iškelt</t>
  </si>
  <si>
    <t>08 mėn. koregavimas</t>
  </si>
  <si>
    <t>už ataskaitinį mėnesį</t>
  </si>
  <si>
    <t>patisklinta_10</t>
  </si>
  <si>
    <t>_09</t>
  </si>
  <si>
    <t>2014 M. SPALIO MĖN. BILIETŲ REALIZACIJA</t>
  </si>
  <si>
    <t>09 mėn. koregavimas</t>
  </si>
  <si>
    <t>Paraiška Nr. P 000238</t>
  </si>
  <si>
    <t>Paraiška Nr. P 000256</t>
  </si>
  <si>
    <t>Paraiška Nr. P 000257</t>
  </si>
  <si>
    <t>Paraiška Nr. G 000312</t>
  </si>
  <si>
    <t>Paraiška Nr. G 000314</t>
  </si>
  <si>
    <t>Paraiška Nr. G 000324</t>
  </si>
  <si>
    <t>Paraiška Nr. G 000326</t>
  </si>
  <si>
    <t>Paraiška Nr. G 000327</t>
  </si>
  <si>
    <t>Paraiška Nr. G 000333</t>
  </si>
  <si>
    <t>Paraiška Nr. G 000334</t>
  </si>
  <si>
    <t>Paraiška Nr. G 000339</t>
  </si>
  <si>
    <t>Paraiška Nr. G 000342</t>
  </si>
  <si>
    <t>Paraiška Nr. G 000344</t>
  </si>
  <si>
    <t>Paraiška Nr. G 000346</t>
  </si>
  <si>
    <t>Paraiška Nr. G 000355</t>
  </si>
  <si>
    <t>30 d.d. bileitas su 50% nuolaida</t>
  </si>
  <si>
    <t>koregavimas 01-09 mėn.</t>
  </si>
  <si>
    <t>patisklinta_11</t>
  </si>
  <si>
    <t>_10</t>
  </si>
  <si>
    <t>2014 M. LAPKRIČIO MĖN. BILIETŲ REALIZACIJA</t>
  </si>
  <si>
    <t>koregavimas 01-10 mėn.</t>
  </si>
  <si>
    <t>10 mėn. koregavimas</t>
  </si>
  <si>
    <t>e.sho naujas</t>
  </si>
  <si>
    <t>naujas e.shopas</t>
  </si>
  <si>
    <t>naujo e.shopo koregavimas</t>
  </si>
  <si>
    <t>Paraiška Nr. G 000368</t>
  </si>
  <si>
    <t>Paraiška Nr. G 000375</t>
  </si>
  <si>
    <t>Paraiška Nr. G 000389</t>
  </si>
  <si>
    <t>Paraiška Nr. G 000393</t>
  </si>
  <si>
    <t>Paraiška Nr. G 000396</t>
  </si>
  <si>
    <t>Paraiška Nr. G 000400</t>
  </si>
  <si>
    <t>Paraiška Nr. G 000401</t>
  </si>
  <si>
    <t>01 mėn.</t>
  </si>
  <si>
    <t>Paraiška Nr. G 000371</t>
  </si>
  <si>
    <t>Paraiška Nr. G 000379</t>
  </si>
  <si>
    <t>Paraiška Nr. G 000381</t>
  </si>
  <si>
    <t>Paraiška Nr. G 000383</t>
  </si>
  <si>
    <t>Paraiška Nr. G 000398</t>
  </si>
  <si>
    <t>Paraiška Nr. P 000277</t>
  </si>
  <si>
    <t>Paraiška Nr. P 000278</t>
  </si>
  <si>
    <t>Paraiška Nr. P 000280</t>
  </si>
  <si>
    <t>Paraiška Nr. P 000282</t>
  </si>
  <si>
    <t>P000238</t>
  </si>
  <si>
    <t>P000256</t>
  </si>
  <si>
    <t>P000257</t>
  </si>
  <si>
    <t>Lilija</t>
  </si>
  <si>
    <t>Lupeikienė</t>
  </si>
  <si>
    <t>Virginija</t>
  </si>
  <si>
    <t>Damidavičiūtė</t>
  </si>
  <si>
    <t>Andrius</t>
  </si>
  <si>
    <t>Sazonovas</t>
  </si>
  <si>
    <t>P000277</t>
  </si>
  <si>
    <t>P000278</t>
  </si>
  <si>
    <t>P000280</t>
  </si>
  <si>
    <t>P000282</t>
  </si>
  <si>
    <t>Pundytė</t>
  </si>
  <si>
    <t>Paulius</t>
  </si>
  <si>
    <t>Kulbokas</t>
  </si>
  <si>
    <t>Oksana</t>
  </si>
  <si>
    <t>Glemžienė</t>
  </si>
  <si>
    <t>Akvilė</t>
  </si>
  <si>
    <t>Giniotaitė</t>
  </si>
  <si>
    <t>1,3-6</t>
  </si>
  <si>
    <t>155-158</t>
  </si>
  <si>
    <t>150-152</t>
  </si>
  <si>
    <t>227-229</t>
  </si>
  <si>
    <t>129-131</t>
  </si>
  <si>
    <t>247-249</t>
  </si>
  <si>
    <t>111-114</t>
  </si>
  <si>
    <t>56-59</t>
  </si>
  <si>
    <t>Nėra įrašų, pagal kuriuos atliktas grąžinimas</t>
  </si>
  <si>
    <t>Patikrinimas 12.11</t>
  </si>
  <si>
    <t>patisklinta_12</t>
  </si>
  <si>
    <t>_11</t>
  </si>
  <si>
    <t>2014 M. GRUODŽIO MĖN. BILIETŲ REALIZACIJA</t>
  </si>
  <si>
    <t>02 mėn.</t>
  </si>
  <si>
    <t>30d. E. bilietas</t>
  </si>
  <si>
    <t>Spauda</t>
  </si>
  <si>
    <t>Paraiška Nr. G 000409</t>
  </si>
  <si>
    <t>Paraiška Nr. G 000413</t>
  </si>
  <si>
    <t>Paraiška Nr. G 000417</t>
  </si>
  <si>
    <t>Paraiška Nr. G 000418</t>
  </si>
  <si>
    <t>Paraiška Nr. G 000419</t>
  </si>
  <si>
    <t>Paraiška Nr. G 000422</t>
  </si>
  <si>
    <t>Paraiška Nr. G 000424</t>
  </si>
  <si>
    <t>Paraiška Nr. G 000428</t>
  </si>
  <si>
    <t>Paraiška Nr. G 000429</t>
  </si>
  <si>
    <t>Paraiška Nr. G 000431</t>
  </si>
  <si>
    <t>Paraiška Nr. G 000433</t>
  </si>
  <si>
    <t>Paraiška Nr. G 000439</t>
  </si>
  <si>
    <t>Paraiška Nr. G 000446</t>
  </si>
  <si>
    <t>Paraiška Nr. G 000447</t>
  </si>
  <si>
    <t>Paraiška Nr. G 000448</t>
  </si>
  <si>
    <t>1 dienos (24 valandų) bilietas</t>
  </si>
  <si>
    <t>3 dienų (72 valandų) bilietas</t>
  </si>
  <si>
    <t>Paraiška Nr. G 000453</t>
  </si>
  <si>
    <t>Paraiška Nr. G 000456</t>
  </si>
  <si>
    <t>Paraiška Nr. G 000459</t>
  </si>
  <si>
    <t>Patikrinimas 01.12</t>
  </si>
  <si>
    <t>11 mėn. koregavimas</t>
  </si>
  <si>
    <t>koregavimas 01-11 mėn.</t>
  </si>
  <si>
    <r>
      <t xml:space="preserve">nėra </t>
    </r>
    <r>
      <rPr>
        <sz val="11"/>
        <color theme="3" tint="-0.499984740745262"/>
        <rFont val="Calibri"/>
        <family val="2"/>
        <charset val="186"/>
        <scheme val="minor"/>
      </rPr>
      <t>46-49 (pagal jas grąžinti pinigai)</t>
    </r>
    <r>
      <rPr>
        <sz val="11"/>
        <color theme="1"/>
        <rFont val="Calibri"/>
        <family val="2"/>
        <charset val="186"/>
        <scheme val="minor"/>
      </rPr>
      <t>,58,80,115,121,126,131,137-138,147,152,158,162,164-165,168,174,185,188,211(atsirado 217)</t>
    </r>
  </si>
  <si>
    <t>Paraiška Nr. G 000311</t>
  </si>
  <si>
    <t>Paraiška Nr. G 000315</t>
  </si>
  <si>
    <t>Paraiška Nr. G 000357</t>
  </si>
  <si>
    <t>30 dienų bilietai</t>
  </si>
  <si>
    <t>90  - 270 dienų bilietai</t>
  </si>
  <si>
    <t>1-10 dienų bilietai</t>
  </si>
  <si>
    <t>30/60 min. bilietai važiuoti autobusu ir troleibusu</t>
  </si>
  <si>
    <t>Viešojo transporto bilietai 2014 metais parduoti su 50% ir 80% nuolaidomis</t>
  </si>
  <si>
    <t>Vienkartiniai bilietai iš vairuotojo, vnt.</t>
  </si>
  <si>
    <t>Vilniečio kortelės</t>
  </si>
  <si>
    <t>E. bilietų platinimo sąnaudos</t>
  </si>
  <si>
    <t>Bilietų gamybos sąnaudos</t>
  </si>
  <si>
    <t xml:space="preserve"> Eur be PVM</t>
  </si>
  <si>
    <t>Per 2014 m.</t>
  </si>
  <si>
    <t>SĮSP pajamos už bilietus</t>
  </si>
  <si>
    <t>Lieka SĮSP be kaštų dėl bilietų platinimo</t>
  </si>
  <si>
    <t>Bilietai įsigyjami iš vairuotojo</t>
  </si>
  <si>
    <t xml:space="preserve">30/60 min. bilietai </t>
  </si>
  <si>
    <t>30 d. terminuotieji bilietai</t>
  </si>
  <si>
    <t>Ilgalaikiai terminuotieji bilietai</t>
  </si>
  <si>
    <t>1-10 dienų terminuoti bilietai</t>
  </si>
  <si>
    <t>VK kiti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</si>
</sst>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* #,##0.00\ &quot;Lt&quot;_-;\-* #,##0.00\ &quot;Lt&quot;_-;_-* &quot;-&quot;??\ &quot;Lt&quot;_-;_-@_-"/>
    <numFmt numFmtId="43" formatCode="_-* #,##0.00\ _L_t_-;\-* #,##0.00\ _L_t_-;_-* &quot;-&quot;??\ _L_t_-;_-@_-"/>
    <numFmt numFmtId="164" formatCode="0&quot; %&quot;"/>
    <numFmt numFmtId="165" formatCode="#,###.00"/>
    <numFmt numFmtId="166" formatCode="#,##0.0"/>
    <numFmt numFmtId="167" formatCode="0.0%"/>
    <numFmt numFmtId="168" formatCode="#,##0.000"/>
    <numFmt numFmtId="169" formatCode="#,##0.0000"/>
    <numFmt numFmtId="170" formatCode="#\ ##0.00"/>
    <numFmt numFmtId="171" formatCode="0.0"/>
    <numFmt numFmtId="172" formatCode="[$-10409]#,##0.00;\-#,##0.00"/>
  </numFmts>
  <fonts count="35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8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0"/>
      <name val="Times New Roman"/>
      <family val="1"/>
      <charset val="1"/>
    </font>
    <font>
      <sz val="10"/>
      <name val="Arial"/>
      <family val="2"/>
    </font>
    <font>
      <sz val="10"/>
      <name val="Helv"/>
    </font>
    <font>
      <b/>
      <sz val="10"/>
      <color theme="1"/>
      <name val="Times New Roman"/>
      <family val="1"/>
      <charset val="186"/>
    </font>
    <font>
      <b/>
      <sz val="9"/>
      <color theme="1"/>
      <name val="Times New Roman"/>
      <family val="1"/>
      <charset val="186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0"/>
      <color rgb="FF000000"/>
      <name val="Arial"/>
      <family val="2"/>
      <charset val="186"/>
    </font>
    <font>
      <sz val="1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8"/>
      <color indexed="81"/>
      <name val="Tahoma"/>
      <family val="2"/>
      <charset val="186"/>
    </font>
    <font>
      <b/>
      <sz val="8"/>
      <color indexed="81"/>
      <name val="Tahoma"/>
      <family val="2"/>
      <charset val="186"/>
    </font>
    <font>
      <sz val="10"/>
      <color rgb="FFFF0000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sz val="10"/>
      <name val="Tahoma"/>
      <family val="2"/>
      <charset val="186"/>
    </font>
    <font>
      <sz val="11"/>
      <color theme="3" tint="-0.499984740745262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b/>
      <sz val="12"/>
      <name val="Times New Roman"/>
      <family val="1"/>
      <charset val="186"/>
    </font>
    <font>
      <b/>
      <sz val="12"/>
      <color theme="1"/>
      <name val="Calibri"/>
      <family val="2"/>
      <charset val="186"/>
      <scheme val="minor"/>
    </font>
    <font>
      <sz val="12"/>
      <name val="Times New Roman"/>
      <family val="1"/>
      <charset val="186"/>
    </font>
    <font>
      <sz val="12"/>
      <name val="Times New Roman"/>
      <family val="1"/>
      <charset val="1"/>
    </font>
    <font>
      <b/>
      <sz val="12"/>
      <color theme="1"/>
      <name val="Times New Roman"/>
      <family val="1"/>
      <charset val="186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31"/>
      </patternFill>
    </fill>
    <fill>
      <patternFill patternType="solid">
        <fgColor theme="9" tint="0.79998168889431442"/>
        <bgColor indexed="3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auto="1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3" fillId="0" borderId="0" applyFont="0" applyFill="0" applyBorder="0" applyAlignment="0" applyProtection="0"/>
    <xf numFmtId="0" fontId="4" fillId="0" borderId="0"/>
    <xf numFmtId="164" fontId="4" fillId="0" borderId="0" applyFill="0" applyAlignment="0" applyProtection="0"/>
    <xf numFmtId="0" fontId="4" fillId="0" borderId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22" fillId="12" borderId="0" applyNumberFormat="0" applyBorder="0" applyAlignment="0" applyProtection="0"/>
    <xf numFmtId="0" fontId="4" fillId="0" borderId="0"/>
  </cellStyleXfs>
  <cellXfs count="614">
    <xf numFmtId="0" fontId="0" fillId="0" borderId="0" xfId="0"/>
    <xf numFmtId="0" fontId="1" fillId="0" borderId="0" xfId="0" applyFont="1" applyBorder="1"/>
    <xf numFmtId="4" fontId="1" fillId="0" borderId="0" xfId="0" applyNumberFormat="1" applyFont="1" applyBorder="1"/>
    <xf numFmtId="49" fontId="1" fillId="0" borderId="0" xfId="0" applyNumberFormat="1" applyFont="1" applyBorder="1"/>
    <xf numFmtId="0" fontId="1" fillId="0" borderId="0" xfId="0" applyFont="1" applyBorder="1" applyAlignment="1"/>
    <xf numFmtId="4" fontId="1" fillId="0" borderId="1" xfId="0" applyNumberFormat="1" applyFont="1" applyBorder="1"/>
    <xf numFmtId="4" fontId="1" fillId="0" borderId="2" xfId="0" applyNumberFormat="1" applyFont="1" applyBorder="1"/>
    <xf numFmtId="2" fontId="2" fillId="0" borderId="8" xfId="0" applyNumberFormat="1" applyFont="1" applyBorder="1" applyAlignment="1">
      <alignment vertical="center"/>
    </xf>
    <xf numFmtId="49" fontId="2" fillId="5" borderId="9" xfId="0" applyNumberFormat="1" applyFont="1" applyFill="1" applyBorder="1" applyAlignment="1">
      <alignment horizontal="left" vertical="center"/>
    </xf>
    <xf numFmtId="49" fontId="2" fillId="4" borderId="9" xfId="0" applyNumberFormat="1" applyFont="1" applyFill="1" applyBorder="1" applyAlignment="1">
      <alignment horizontal="left" vertical="center"/>
    </xf>
    <xf numFmtId="2" fontId="2" fillId="0" borderId="5" xfId="0" applyNumberFormat="1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" fontId="1" fillId="0" borderId="4" xfId="0" applyNumberFormat="1" applyFont="1" applyBorder="1"/>
    <xf numFmtId="4" fontId="1" fillId="0" borderId="7" xfId="0" applyNumberFormat="1" applyFont="1" applyBorder="1"/>
    <xf numFmtId="4" fontId="1" fillId="0" borderId="11" xfId="0" applyNumberFormat="1" applyFont="1" applyBorder="1"/>
    <xf numFmtId="4" fontId="1" fillId="2" borderId="9" xfId="0" applyNumberFormat="1" applyFont="1" applyFill="1" applyBorder="1"/>
    <xf numFmtId="4" fontId="1" fillId="0" borderId="4" xfId="0" applyNumberFormat="1" applyFont="1" applyFill="1" applyBorder="1"/>
    <xf numFmtId="4" fontId="1" fillId="0" borderId="7" xfId="0" applyNumberFormat="1" applyFont="1" applyFill="1" applyBorder="1"/>
    <xf numFmtId="4" fontId="1" fillId="3" borderId="12" xfId="0" applyNumberFormat="1" applyFont="1" applyFill="1" applyBorder="1"/>
    <xf numFmtId="0" fontId="1" fillId="3" borderId="9" xfId="0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1" fillId="0" borderId="2" xfId="0" applyNumberFormat="1" applyFont="1" applyBorder="1"/>
    <xf numFmtId="4" fontId="1" fillId="0" borderId="14" xfId="0" applyNumberFormat="1" applyFont="1" applyBorder="1"/>
    <xf numFmtId="4" fontId="1" fillId="0" borderId="17" xfId="0" applyNumberFormat="1" applyFont="1" applyBorder="1"/>
    <xf numFmtId="4" fontId="1" fillId="0" borderId="19" xfId="0" applyNumberFormat="1" applyFont="1" applyBorder="1"/>
    <xf numFmtId="4" fontId="1" fillId="0" borderId="21" xfId="0" applyNumberFormat="1" applyFont="1" applyBorder="1"/>
    <xf numFmtId="49" fontId="2" fillId="0" borderId="19" xfId="0" applyNumberFormat="1" applyFont="1" applyBorder="1" applyAlignment="1">
      <alignment horizontal="left" vertical="center"/>
    </xf>
    <xf numFmtId="4" fontId="1" fillId="0" borderId="14" xfId="0" applyNumberFormat="1" applyFont="1" applyFill="1" applyBorder="1"/>
    <xf numFmtId="2" fontId="2" fillId="0" borderId="15" xfId="0" applyNumberFormat="1" applyFont="1" applyBorder="1" applyAlignment="1">
      <alignment vertical="center"/>
    </xf>
    <xf numFmtId="0" fontId="2" fillId="0" borderId="14" xfId="0" applyFont="1" applyBorder="1" applyAlignment="1">
      <alignment horizontal="left" vertical="center"/>
    </xf>
    <xf numFmtId="3" fontId="1" fillId="0" borderId="1" xfId="0" applyNumberFormat="1" applyFont="1" applyFill="1" applyBorder="1"/>
    <xf numFmtId="0" fontId="1" fillId="3" borderId="24" xfId="0" applyFont="1" applyFill="1" applyBorder="1" applyAlignment="1">
      <alignment horizontal="center" vertical="center" wrapText="1"/>
    </xf>
    <xf numFmtId="4" fontId="1" fillId="0" borderId="5" xfId="0" applyNumberFormat="1" applyFont="1" applyBorder="1"/>
    <xf numFmtId="4" fontId="1" fillId="0" borderId="15" xfId="0" applyNumberFormat="1" applyFont="1" applyBorder="1"/>
    <xf numFmtId="9" fontId="1" fillId="0" borderId="0" xfId="1" applyFont="1" applyBorder="1"/>
    <xf numFmtId="4" fontId="1" fillId="0" borderId="5" xfId="0" applyNumberFormat="1" applyFont="1" applyFill="1" applyBorder="1"/>
    <xf numFmtId="49" fontId="2" fillId="0" borderId="4" xfId="0" applyNumberFormat="1" applyFont="1" applyBorder="1" applyAlignment="1">
      <alignment horizontal="left" vertical="center"/>
    </xf>
    <xf numFmtId="2" fontId="2" fillId="0" borderId="20" xfId="0" applyNumberFormat="1" applyFont="1" applyBorder="1" applyAlignment="1">
      <alignment vertical="center"/>
    </xf>
    <xf numFmtId="3" fontId="1" fillId="0" borderId="21" xfId="0" applyNumberFormat="1" applyFont="1" applyBorder="1"/>
    <xf numFmtId="0" fontId="6" fillId="0" borderId="0" xfId="0" applyFont="1" applyBorder="1"/>
    <xf numFmtId="4" fontId="1" fillId="0" borderId="0" xfId="1" applyNumberFormat="1" applyFont="1" applyBorder="1"/>
    <xf numFmtId="4" fontId="1" fillId="3" borderId="24" xfId="0" applyNumberFormat="1" applyFont="1" applyFill="1" applyBorder="1"/>
    <xf numFmtId="4" fontId="1" fillId="2" borderId="24" xfId="0" applyNumberFormat="1" applyFont="1" applyFill="1" applyBorder="1"/>
    <xf numFmtId="3" fontId="1" fillId="3" borderId="24" xfId="0" applyNumberFormat="1" applyFont="1" applyFill="1" applyBorder="1"/>
    <xf numFmtId="3" fontId="1" fillId="2" borderId="24" xfId="0" applyNumberFormat="1" applyFont="1" applyFill="1" applyBorder="1"/>
    <xf numFmtId="0" fontId="5" fillId="0" borderId="3" xfId="0" applyFont="1" applyBorder="1"/>
    <xf numFmtId="0" fontId="5" fillId="0" borderId="6" xfId="0" applyFont="1" applyBorder="1"/>
    <xf numFmtId="4" fontId="2" fillId="0" borderId="4" xfId="5" applyNumberFormat="1" applyFont="1" applyFill="1" applyBorder="1"/>
    <xf numFmtId="2" fontId="2" fillId="0" borderId="4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4" fontId="2" fillId="0" borderId="7" xfId="5" applyNumberFormat="1" applyFont="1" applyFill="1" applyBorder="1"/>
    <xf numFmtId="49" fontId="5" fillId="0" borderId="9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right"/>
    </xf>
    <xf numFmtId="0" fontId="5" fillId="0" borderId="18" xfId="0" applyFont="1" applyBorder="1"/>
    <xf numFmtId="49" fontId="5" fillId="0" borderId="19" xfId="0" applyNumberFormat="1" applyFont="1" applyBorder="1" applyAlignment="1">
      <alignment horizontal="right"/>
    </xf>
    <xf numFmtId="49" fontId="5" fillId="0" borderId="7" xfId="0" applyNumberFormat="1" applyFont="1" applyBorder="1" applyAlignment="1">
      <alignment horizontal="right"/>
    </xf>
    <xf numFmtId="49" fontId="1" fillId="0" borderId="9" xfId="0" applyNumberFormat="1" applyFont="1" applyBorder="1" applyAlignment="1">
      <alignment horizontal="center" vertical="center" wrapText="1"/>
    </xf>
    <xf numFmtId="0" fontId="5" fillId="0" borderId="32" xfId="0" applyFont="1" applyBorder="1"/>
    <xf numFmtId="0" fontId="7" fillId="0" borderId="4" xfId="5" applyFont="1" applyBorder="1"/>
    <xf numFmtId="165" fontId="7" fillId="0" borderId="4" xfId="5" applyNumberFormat="1" applyFont="1" applyBorder="1"/>
    <xf numFmtId="0" fontId="1" fillId="0" borderId="4" xfId="0" applyFont="1" applyBorder="1"/>
    <xf numFmtId="2" fontId="7" fillId="0" borderId="4" xfId="5" applyNumberFormat="1" applyFont="1" applyBorder="1"/>
    <xf numFmtId="2" fontId="7" fillId="0" borderId="7" xfId="5" applyNumberFormat="1" applyFont="1" applyBorder="1"/>
    <xf numFmtId="4" fontId="1" fillId="0" borderId="28" xfId="0" applyNumberFormat="1" applyFont="1" applyBorder="1"/>
    <xf numFmtId="0" fontId="5" fillId="0" borderId="33" xfId="0" applyFont="1" applyBorder="1"/>
    <xf numFmtId="0" fontId="7" fillId="0" borderId="7" xfId="5" applyFont="1" applyBorder="1"/>
    <xf numFmtId="165" fontId="7" fillId="0" borderId="7" xfId="5" applyNumberFormat="1" applyFont="1" applyBorder="1"/>
    <xf numFmtId="0" fontId="5" fillId="0" borderId="13" xfId="0" applyFont="1" applyBorder="1"/>
    <xf numFmtId="49" fontId="5" fillId="0" borderId="14" xfId="0" applyNumberFormat="1" applyFont="1" applyBorder="1" applyAlignment="1">
      <alignment horizontal="right"/>
    </xf>
    <xf numFmtId="0" fontId="5" fillId="0" borderId="29" xfId="0" applyFont="1" applyBorder="1"/>
    <xf numFmtId="3" fontId="1" fillId="0" borderId="0" xfId="1" applyNumberFormat="1" applyFont="1" applyBorder="1"/>
    <xf numFmtId="4" fontId="1" fillId="2" borderId="22" xfId="0" applyNumberFormat="1" applyFont="1" applyFill="1" applyBorder="1"/>
    <xf numFmtId="4" fontId="1" fillId="0" borderId="27" xfId="0" applyNumberFormat="1" applyFont="1" applyBorder="1"/>
    <xf numFmtId="4" fontId="1" fillId="2" borderId="25" xfId="0" applyNumberFormat="1" applyFont="1" applyFill="1" applyBorder="1"/>
    <xf numFmtId="4" fontId="1" fillId="0" borderId="35" xfId="0" applyNumberFormat="1" applyFont="1" applyBorder="1"/>
    <xf numFmtId="4" fontId="1" fillId="0" borderId="8" xfId="0" applyNumberFormat="1" applyFont="1" applyBorder="1"/>
    <xf numFmtId="4" fontId="1" fillId="3" borderId="22" xfId="0" applyNumberFormat="1" applyFont="1" applyFill="1" applyBorder="1"/>
    <xf numFmtId="2" fontId="2" fillId="4" borderId="26" xfId="0" applyNumberFormat="1" applyFont="1" applyFill="1" applyBorder="1" applyAlignment="1"/>
    <xf numFmtId="2" fontId="2" fillId="5" borderId="26" xfId="0" applyNumberFormat="1" applyFont="1" applyFill="1" applyBorder="1" applyAlignment="1"/>
    <xf numFmtId="0" fontId="2" fillId="5" borderId="25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center" vertical="center" wrapText="1"/>
    </xf>
    <xf numFmtId="4" fontId="1" fillId="3" borderId="23" xfId="0" applyNumberFormat="1" applyFont="1" applyFill="1" applyBorder="1"/>
    <xf numFmtId="4" fontId="1" fillId="0" borderId="34" xfId="0" applyNumberFormat="1" applyFont="1" applyBorder="1"/>
    <xf numFmtId="4" fontId="1" fillId="2" borderId="23" xfId="0" applyNumberFormat="1" applyFont="1" applyFill="1" applyBorder="1"/>
    <xf numFmtId="3" fontId="1" fillId="0" borderId="28" xfId="0" applyNumberFormat="1" applyFont="1" applyFill="1" applyBorder="1"/>
    <xf numFmtId="49" fontId="5" fillId="0" borderId="36" xfId="0" applyNumberFormat="1" applyFont="1" applyBorder="1" applyAlignment="1">
      <alignment horizontal="right"/>
    </xf>
    <xf numFmtId="0" fontId="1" fillId="0" borderId="14" xfId="0" applyFont="1" applyBorder="1"/>
    <xf numFmtId="0" fontId="1" fillId="3" borderId="26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7" fillId="0" borderId="14" xfId="5" applyFont="1" applyBorder="1"/>
    <xf numFmtId="165" fontId="7" fillId="0" borderId="14" xfId="5" applyNumberFormat="1" applyFont="1" applyBorder="1"/>
    <xf numFmtId="4" fontId="2" fillId="0" borderId="14" xfId="5" applyNumberFormat="1" applyFont="1" applyFill="1" applyBorder="1"/>
    <xf numFmtId="4" fontId="1" fillId="0" borderId="30" xfId="0" applyNumberFormat="1" applyFont="1" applyBorder="1"/>
    <xf numFmtId="3" fontId="1" fillId="0" borderId="17" xfId="0" applyNumberFormat="1" applyFont="1" applyBorder="1"/>
    <xf numFmtId="4" fontId="2" fillId="0" borderId="4" xfId="0" applyNumberFormat="1" applyFont="1" applyBorder="1" applyAlignment="1">
      <alignment vertical="center"/>
    </xf>
    <xf numFmtId="4" fontId="2" fillId="0" borderId="4" xfId="0" applyNumberFormat="1" applyFont="1" applyFill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0" fontId="2" fillId="4" borderId="25" xfId="0" applyFont="1" applyFill="1" applyBorder="1" applyAlignment="1">
      <alignment horizontal="left" vertical="center"/>
    </xf>
    <xf numFmtId="4" fontId="1" fillId="0" borderId="31" xfId="0" applyNumberFormat="1" applyFont="1" applyBorder="1"/>
    <xf numFmtId="4" fontId="1" fillId="3" borderId="25" xfId="0" applyNumberFormat="1" applyFont="1" applyFill="1" applyBorder="1"/>
    <xf numFmtId="4" fontId="1" fillId="2" borderId="26" xfId="0" applyNumberFormat="1" applyFont="1" applyFill="1" applyBorder="1"/>
    <xf numFmtId="4" fontId="0" fillId="0" borderId="0" xfId="0" applyNumberFormat="1"/>
    <xf numFmtId="4" fontId="10" fillId="0" borderId="0" xfId="0" applyNumberFormat="1" applyFont="1" applyBorder="1"/>
    <xf numFmtId="2" fontId="1" fillId="0" borderId="0" xfId="0" applyNumberFormat="1" applyFont="1" applyBorder="1"/>
    <xf numFmtId="4" fontId="10" fillId="0" borderId="4" xfId="0" applyNumberFormat="1" applyFont="1" applyBorder="1"/>
    <xf numFmtId="4" fontId="0" fillId="0" borderId="4" xfId="0" applyNumberFormat="1" applyBorder="1"/>
    <xf numFmtId="2" fontId="1" fillId="0" borderId="4" xfId="0" applyNumberFormat="1" applyFont="1" applyBorder="1"/>
    <xf numFmtId="2" fontId="2" fillId="4" borderId="25" xfId="0" applyNumberFormat="1" applyFont="1" applyFill="1" applyBorder="1" applyAlignment="1"/>
    <xf numFmtId="2" fontId="2" fillId="5" borderId="25" xfId="0" applyNumberFormat="1" applyFont="1" applyFill="1" applyBorder="1" applyAlignment="1"/>
    <xf numFmtId="2" fontId="2" fillId="4" borderId="24" xfId="0" applyNumberFormat="1" applyFont="1" applyFill="1" applyBorder="1" applyAlignment="1"/>
    <xf numFmtId="49" fontId="5" fillId="0" borderId="37" xfId="0" applyNumberFormat="1" applyFont="1" applyBorder="1" applyAlignment="1">
      <alignment horizontal="right"/>
    </xf>
    <xf numFmtId="3" fontId="1" fillId="0" borderId="0" xfId="0" applyNumberFormat="1" applyFont="1" applyBorder="1"/>
    <xf numFmtId="4" fontId="1" fillId="3" borderId="21" xfId="0" applyNumberFormat="1" applyFont="1" applyFill="1" applyBorder="1"/>
    <xf numFmtId="4" fontId="1" fillId="3" borderId="39" xfId="0" applyNumberFormat="1" applyFont="1" applyFill="1" applyBorder="1"/>
    <xf numFmtId="4" fontId="1" fillId="3" borderId="40" xfId="0" applyNumberFormat="1" applyFont="1" applyFill="1" applyBorder="1"/>
    <xf numFmtId="3" fontId="1" fillId="0" borderId="31" xfId="0" applyNumberFormat="1" applyFont="1" applyFill="1" applyBorder="1"/>
    <xf numFmtId="4" fontId="2" fillId="4" borderId="24" xfId="0" applyNumberFormat="1" applyFont="1" applyFill="1" applyBorder="1" applyAlignment="1"/>
    <xf numFmtId="4" fontId="2" fillId="4" borderId="25" xfId="0" applyNumberFormat="1" applyFont="1" applyFill="1" applyBorder="1" applyAlignment="1"/>
    <xf numFmtId="4" fontId="7" fillId="0" borderId="14" xfId="5" applyNumberFormat="1" applyFont="1" applyFill="1" applyBorder="1"/>
    <xf numFmtId="4" fontId="7" fillId="0" borderId="4" xfId="5" applyNumberFormat="1" applyFont="1" applyFill="1" applyBorder="1"/>
    <xf numFmtId="4" fontId="2" fillId="0" borderId="15" xfId="0" applyNumberFormat="1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4" fontId="2" fillId="0" borderId="5" xfId="0" applyNumberFormat="1" applyFont="1" applyFill="1" applyBorder="1" applyAlignment="1">
      <alignment vertical="center"/>
    </xf>
    <xf numFmtId="4" fontId="2" fillId="0" borderId="8" xfId="0" applyNumberFormat="1" applyFont="1" applyFill="1" applyBorder="1" applyAlignment="1">
      <alignment vertical="center"/>
    </xf>
    <xf numFmtId="3" fontId="1" fillId="0" borderId="0" xfId="0" applyNumberFormat="1" applyFont="1" applyBorder="1" applyAlignment="1"/>
    <xf numFmtId="4" fontId="2" fillId="5" borderId="26" xfId="0" applyNumberFormat="1" applyFont="1" applyFill="1" applyBorder="1" applyAlignment="1"/>
    <xf numFmtId="4" fontId="2" fillId="0" borderId="15" xfId="0" applyNumberFormat="1" applyFont="1" applyFill="1" applyBorder="1" applyAlignment="1">
      <alignment vertical="center"/>
    </xf>
    <xf numFmtId="4" fontId="2" fillId="0" borderId="20" xfId="0" applyNumberFormat="1" applyFont="1" applyBorder="1" applyAlignment="1">
      <alignment vertical="center"/>
    </xf>
    <xf numFmtId="4" fontId="2" fillId="5" borderId="25" xfId="0" applyNumberFormat="1" applyFont="1" applyFill="1" applyBorder="1" applyAlignment="1"/>
    <xf numFmtId="4" fontId="7" fillId="0" borderId="4" xfId="5" applyNumberFormat="1" applyFont="1" applyBorder="1"/>
    <xf numFmtId="4" fontId="7" fillId="0" borderId="19" xfId="5" applyNumberFormat="1" applyFont="1" applyBorder="1"/>
    <xf numFmtId="4" fontId="7" fillId="0" borderId="7" xfId="5" applyNumberFormat="1" applyFont="1" applyBorder="1"/>
    <xf numFmtId="4" fontId="2" fillId="0" borderId="8" xfId="0" applyNumberFormat="1" applyFont="1" applyBorder="1" applyAlignment="1">
      <alignment vertical="center"/>
    </xf>
    <xf numFmtId="0" fontId="10" fillId="0" borderId="4" xfId="0" applyFont="1" applyBorder="1"/>
    <xf numFmtId="4" fontId="10" fillId="0" borderId="14" xfId="0" applyNumberFormat="1" applyFont="1" applyBorder="1"/>
    <xf numFmtId="4" fontId="1" fillId="0" borderId="0" xfId="0" applyNumberFormat="1" applyFont="1" applyBorder="1" applyAlignment="1"/>
    <xf numFmtId="4" fontId="1" fillId="0" borderId="0" xfId="0" applyNumberFormat="1" applyFont="1" applyFill="1" applyBorder="1" applyAlignment="1"/>
    <xf numFmtId="4" fontId="1" fillId="0" borderId="0" xfId="0" applyNumberFormat="1" applyFont="1" applyFill="1" applyBorder="1"/>
    <xf numFmtId="166" fontId="1" fillId="0" borderId="0" xfId="0" applyNumberFormat="1" applyFont="1" applyBorder="1"/>
    <xf numFmtId="4" fontId="2" fillId="0" borderId="2" xfId="0" applyNumberFormat="1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/>
    <xf numFmtId="4" fontId="1" fillId="0" borderId="20" xfId="0" applyNumberFormat="1" applyFont="1" applyFill="1" applyBorder="1"/>
    <xf numFmtId="4" fontId="1" fillId="0" borderId="8" xfId="0" applyNumberFormat="1" applyFont="1" applyFill="1" applyBorder="1"/>
    <xf numFmtId="4" fontId="1" fillId="3" borderId="29" xfId="0" applyNumberFormat="1" applyFont="1" applyFill="1" applyBorder="1"/>
    <xf numFmtId="0" fontId="1" fillId="3" borderId="25" xfId="0" applyFont="1" applyFill="1" applyBorder="1" applyAlignment="1">
      <alignment horizontal="center" vertical="center" wrapText="1"/>
    </xf>
    <xf numFmtId="4" fontId="1" fillId="0" borderId="45" xfId="0" applyNumberFormat="1" applyFont="1" applyBorder="1"/>
    <xf numFmtId="4" fontId="2" fillId="0" borderId="7" xfId="0" applyNumberFormat="1" applyFont="1" applyFill="1" applyBorder="1" applyAlignment="1">
      <alignment vertical="center"/>
    </xf>
    <xf numFmtId="4" fontId="2" fillId="0" borderId="11" xfId="0" applyNumberFormat="1" applyFont="1" applyFill="1" applyBorder="1" applyAlignment="1">
      <alignment vertical="center"/>
    </xf>
    <xf numFmtId="4" fontId="10" fillId="0" borderId="0" xfId="0" applyNumberFormat="1" applyFont="1" applyFill="1" applyBorder="1" applyAlignment="1"/>
    <xf numFmtId="165" fontId="1" fillId="0" borderId="0" xfId="0" applyNumberFormat="1" applyFont="1" applyFill="1" applyBorder="1"/>
    <xf numFmtId="4" fontId="1" fillId="0" borderId="32" xfId="0" applyNumberFormat="1" applyFont="1" applyBorder="1"/>
    <xf numFmtId="4" fontId="1" fillId="0" borderId="47" xfId="0" applyNumberFormat="1" applyFont="1" applyBorder="1"/>
    <xf numFmtId="2" fontId="2" fillId="0" borderId="48" xfId="0" applyNumberFormat="1" applyFont="1" applyBorder="1" applyAlignment="1">
      <alignment vertical="center"/>
    </xf>
    <xf numFmtId="165" fontId="7" fillId="0" borderId="15" xfId="5" applyNumberFormat="1" applyFont="1" applyBorder="1"/>
    <xf numFmtId="2" fontId="7" fillId="0" borderId="15" xfId="5" applyNumberFormat="1" applyFont="1" applyBorder="1"/>
    <xf numFmtId="2" fontId="7" fillId="0" borderId="48" xfId="5" applyNumberFormat="1" applyFont="1" applyBorder="1"/>
    <xf numFmtId="165" fontId="7" fillId="0" borderId="48" xfId="5" applyNumberFormat="1" applyFont="1" applyBorder="1"/>
    <xf numFmtId="4" fontId="1" fillId="0" borderId="9" xfId="0" applyNumberFormat="1" applyFont="1" applyFill="1" applyBorder="1"/>
    <xf numFmtId="4" fontId="1" fillId="0" borderId="26" xfId="0" applyNumberFormat="1" applyFont="1" applyFill="1" applyBorder="1"/>
    <xf numFmtId="4" fontId="1" fillId="0" borderId="24" xfId="0" applyNumberFormat="1" applyFont="1" applyFill="1" applyBorder="1"/>
    <xf numFmtId="4" fontId="1" fillId="0" borderId="23" xfId="0" applyNumberFormat="1" applyFont="1" applyFill="1" applyBorder="1"/>
    <xf numFmtId="4" fontId="1" fillId="0" borderId="25" xfId="0" applyNumberFormat="1" applyFont="1" applyFill="1" applyBorder="1"/>
    <xf numFmtId="4" fontId="2" fillId="0" borderId="51" xfId="0" applyNumberFormat="1" applyFont="1" applyFill="1" applyBorder="1" applyAlignment="1">
      <alignment vertical="center"/>
    </xf>
    <xf numFmtId="0" fontId="2" fillId="3" borderId="29" xfId="0" applyNumberFormat="1" applyFont="1" applyFill="1" applyBorder="1" applyAlignment="1"/>
    <xf numFmtId="0" fontId="2" fillId="3" borderId="13" xfId="0" applyNumberFormat="1" applyFont="1" applyFill="1" applyBorder="1" applyAlignment="1">
      <alignment vertical="center"/>
    </xf>
    <xf numFmtId="0" fontId="2" fillId="0" borderId="29" xfId="0" applyNumberFormat="1" applyFont="1" applyFill="1" applyBorder="1" applyAlignment="1"/>
    <xf numFmtId="0" fontId="2" fillId="0" borderId="13" xfId="0" applyNumberFormat="1" applyFont="1" applyFill="1" applyBorder="1" applyAlignment="1">
      <alignment vertical="center"/>
    </xf>
    <xf numFmtId="0" fontId="2" fillId="3" borderId="50" xfId="0" applyNumberFormat="1" applyFont="1" applyFill="1" applyBorder="1" applyAlignment="1">
      <alignment vertical="center"/>
    </xf>
    <xf numFmtId="0" fontId="2" fillId="2" borderId="29" xfId="0" applyNumberFormat="1" applyFont="1" applyFill="1" applyBorder="1" applyAlignment="1"/>
    <xf numFmtId="0" fontId="1" fillId="5" borderId="23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4" fontId="2" fillId="3" borderId="51" xfId="0" applyNumberFormat="1" applyFont="1" applyFill="1" applyBorder="1" applyAlignment="1">
      <alignment vertical="center"/>
    </xf>
    <xf numFmtId="4" fontId="2" fillId="3" borderId="15" xfId="0" applyNumberFormat="1" applyFont="1" applyFill="1" applyBorder="1" applyAlignment="1">
      <alignment vertical="center"/>
    </xf>
    <xf numFmtId="4" fontId="2" fillId="3" borderId="49" xfId="0" applyNumberFormat="1" applyFont="1" applyFill="1" applyBorder="1" applyAlignment="1">
      <alignment vertical="center"/>
    </xf>
    <xf numFmtId="4" fontId="2" fillId="3" borderId="7" xfId="0" applyNumberFormat="1" applyFont="1" applyFill="1" applyBorder="1" applyAlignment="1">
      <alignment vertical="center"/>
    </xf>
    <xf numFmtId="0" fontId="2" fillId="2" borderId="52" xfId="0" applyNumberFormat="1" applyFont="1" applyFill="1" applyBorder="1" applyAlignment="1">
      <alignment horizontal="right" vertical="center"/>
    </xf>
    <xf numFmtId="10" fontId="1" fillId="2" borderId="23" xfId="1" applyNumberFormat="1" applyFont="1" applyFill="1" applyBorder="1"/>
    <xf numFmtId="0" fontId="2" fillId="2" borderId="29" xfId="0" applyNumberFormat="1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 wrapText="1"/>
    </xf>
    <xf numFmtId="10" fontId="1" fillId="2" borderId="25" xfId="1" applyNumberFormat="1" applyFont="1" applyFill="1" applyBorder="1"/>
    <xf numFmtId="4" fontId="2" fillId="3" borderId="8" xfId="0" applyNumberFormat="1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 wrapText="1"/>
    </xf>
    <xf numFmtId="10" fontId="1" fillId="2" borderId="9" xfId="1" applyNumberFormat="1" applyFont="1" applyFill="1" applyBorder="1"/>
    <xf numFmtId="4" fontId="1" fillId="3" borderId="9" xfId="0" applyNumberFormat="1" applyFont="1" applyFill="1" applyBorder="1"/>
    <xf numFmtId="4" fontId="2" fillId="0" borderId="14" xfId="0" applyNumberFormat="1" applyFont="1" applyFill="1" applyBorder="1" applyAlignment="1">
      <alignment vertical="center"/>
    </xf>
    <xf numFmtId="4" fontId="2" fillId="3" borderId="14" xfId="0" applyNumberFormat="1" applyFont="1" applyFill="1" applyBorder="1" applyAlignment="1">
      <alignment vertical="center"/>
    </xf>
    <xf numFmtId="4" fontId="1" fillId="3" borderId="15" xfId="0" applyNumberFormat="1" applyFont="1" applyFill="1" applyBorder="1"/>
    <xf numFmtId="10" fontId="1" fillId="2" borderId="26" xfId="1" applyNumberFormat="1" applyFont="1" applyFill="1" applyBorder="1"/>
    <xf numFmtId="4" fontId="1" fillId="3" borderId="26" xfId="0" applyNumberFormat="1" applyFont="1" applyFill="1" applyBorder="1"/>
    <xf numFmtId="4" fontId="1" fillId="3" borderId="8" xfId="0" applyNumberFormat="1" applyFont="1" applyFill="1" applyBorder="1"/>
    <xf numFmtId="10" fontId="1" fillId="2" borderId="24" xfId="1" applyNumberFormat="1" applyFont="1" applyFill="1" applyBorder="1"/>
    <xf numFmtId="0" fontId="1" fillId="5" borderId="54" xfId="0" applyFont="1" applyFill="1" applyBorder="1" applyAlignment="1">
      <alignment horizontal="center" vertical="center" wrapText="1"/>
    </xf>
    <xf numFmtId="4" fontId="1" fillId="0" borderId="19" xfId="0" applyNumberFormat="1" applyFont="1" applyFill="1" applyBorder="1"/>
    <xf numFmtId="3" fontId="1" fillId="3" borderId="40" xfId="0" applyNumberFormat="1" applyFont="1" applyFill="1" applyBorder="1"/>
    <xf numFmtId="0" fontId="11" fillId="0" borderId="0" xfId="0" applyFont="1" applyBorder="1"/>
    <xf numFmtId="4" fontId="2" fillId="0" borderId="38" xfId="0" applyNumberFormat="1" applyFont="1" applyFill="1" applyBorder="1" applyAlignment="1">
      <alignment vertical="center"/>
    </xf>
    <xf numFmtId="2" fontId="2" fillId="4" borderId="29" xfId="0" applyNumberFormat="1" applyFont="1" applyFill="1" applyBorder="1" applyAlignment="1"/>
    <xf numFmtId="4" fontId="2" fillId="0" borderId="10" xfId="0" applyNumberFormat="1" applyFont="1" applyFill="1" applyBorder="1" applyAlignment="1">
      <alignment vertical="center"/>
    </xf>
    <xf numFmtId="2" fontId="1" fillId="0" borderId="0" xfId="0" applyNumberFormat="1" applyFont="1" applyBorder="1" applyAlignment="1"/>
    <xf numFmtId="4" fontId="2" fillId="4" borderId="29" xfId="0" applyNumberFormat="1" applyFont="1" applyFill="1" applyBorder="1" applyAlignment="1"/>
    <xf numFmtId="4" fontId="2" fillId="4" borderId="23" xfId="0" applyNumberFormat="1" applyFont="1" applyFill="1" applyBorder="1" applyAlignment="1"/>
    <xf numFmtId="3" fontId="0" fillId="0" borderId="0" xfId="0" applyNumberFormat="1"/>
    <xf numFmtId="4" fontId="1" fillId="0" borderId="56" xfId="0" applyNumberFormat="1" applyFont="1" applyBorder="1"/>
    <xf numFmtId="4" fontId="1" fillId="0" borderId="57" xfId="0" applyNumberFormat="1" applyFont="1" applyBorder="1"/>
    <xf numFmtId="165" fontId="1" fillId="0" borderId="0" xfId="0" applyNumberFormat="1" applyFont="1" applyBorder="1"/>
    <xf numFmtId="10" fontId="1" fillId="0" borderId="0" xfId="1" applyNumberFormat="1" applyFont="1" applyBorder="1"/>
    <xf numFmtId="4" fontId="2" fillId="0" borderId="31" xfId="0" applyNumberFormat="1" applyFont="1" applyFill="1" applyBorder="1" applyAlignment="1">
      <alignment vertical="center"/>
    </xf>
    <xf numFmtId="4" fontId="1" fillId="2" borderId="46" xfId="0" applyNumberFormat="1" applyFont="1" applyFill="1" applyBorder="1"/>
    <xf numFmtId="167" fontId="1" fillId="0" borderId="0" xfId="1" applyNumberFormat="1" applyFont="1" applyBorder="1"/>
    <xf numFmtId="2" fontId="2" fillId="0" borderId="38" xfId="0" applyNumberFormat="1" applyFont="1" applyBorder="1" applyAlignment="1">
      <alignment vertical="center"/>
    </xf>
    <xf numFmtId="4" fontId="1" fillId="0" borderId="58" xfId="0" applyNumberFormat="1" applyFont="1" applyBorder="1"/>
    <xf numFmtId="4" fontId="1" fillId="0" borderId="59" xfId="0" applyNumberFormat="1" applyFont="1" applyBorder="1"/>
    <xf numFmtId="4" fontId="2" fillId="0" borderId="48" xfId="0" applyNumberFormat="1" applyFont="1" applyBorder="1" applyAlignment="1">
      <alignment vertical="center"/>
    </xf>
    <xf numFmtId="4" fontId="2" fillId="4" borderId="46" xfId="0" applyNumberFormat="1" applyFont="1" applyFill="1" applyBorder="1" applyAlignment="1"/>
    <xf numFmtId="2" fontId="2" fillId="4" borderId="46" xfId="0" applyNumberFormat="1" applyFont="1" applyFill="1" applyBorder="1" applyAlignment="1"/>
    <xf numFmtId="2" fontId="2" fillId="5" borderId="9" xfId="0" applyNumberFormat="1" applyFont="1" applyFill="1" applyBorder="1" applyAlignment="1"/>
    <xf numFmtId="4" fontId="1" fillId="0" borderId="37" xfId="0" applyNumberFormat="1" applyFont="1" applyFill="1" applyBorder="1"/>
    <xf numFmtId="4" fontId="2" fillId="0" borderId="48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>
      <alignment horizontal="left" vertical="center"/>
    </xf>
    <xf numFmtId="4" fontId="1" fillId="0" borderId="49" xfId="0" applyNumberFormat="1" applyFont="1" applyBorder="1"/>
    <xf numFmtId="4" fontId="1" fillId="0" borderId="60" xfId="0" applyNumberFormat="1" applyFont="1" applyBorder="1"/>
    <xf numFmtId="2" fontId="2" fillId="5" borderId="46" xfId="0" applyNumberFormat="1" applyFont="1" applyFill="1" applyBorder="1" applyAlignment="1"/>
    <xf numFmtId="2" fontId="2" fillId="5" borderId="12" xfId="0" applyNumberFormat="1" applyFont="1" applyFill="1" applyBorder="1" applyAlignment="1"/>
    <xf numFmtId="4" fontId="1" fillId="0" borderId="2" xfId="0" applyNumberFormat="1" applyFont="1" applyFill="1" applyBorder="1"/>
    <xf numFmtId="4" fontId="2" fillId="0" borderId="60" xfId="0" applyNumberFormat="1" applyFont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1" fillId="0" borderId="24" xfId="0" applyNumberFormat="1" applyFont="1" applyBorder="1"/>
    <xf numFmtId="4" fontId="2" fillId="4" borderId="9" xfId="0" applyNumberFormat="1" applyFont="1" applyFill="1" applyBorder="1" applyAlignment="1"/>
    <xf numFmtId="3" fontId="1" fillId="3" borderId="24" xfId="1" applyNumberFormat="1" applyFont="1" applyFill="1" applyBorder="1"/>
    <xf numFmtId="3" fontId="1" fillId="2" borderId="24" xfId="1" applyNumberFormat="1" applyFont="1" applyFill="1" applyBorder="1"/>
    <xf numFmtId="3" fontId="1" fillId="0" borderId="31" xfId="1" applyNumberFormat="1" applyFont="1" applyBorder="1"/>
    <xf numFmtId="3" fontId="1" fillId="0" borderId="1" xfId="1" applyNumberFormat="1" applyFont="1" applyBorder="1"/>
    <xf numFmtId="3" fontId="1" fillId="0" borderId="2" xfId="1" applyNumberFormat="1" applyFont="1" applyBorder="1"/>
    <xf numFmtId="4" fontId="2" fillId="5" borderId="24" xfId="0" applyNumberFormat="1" applyFont="1" applyFill="1" applyBorder="1" applyAlignment="1"/>
    <xf numFmtId="4" fontId="2" fillId="4" borderId="12" xfId="0" applyNumberFormat="1" applyFont="1" applyFill="1" applyBorder="1" applyAlignment="1"/>
    <xf numFmtId="4" fontId="1" fillId="0" borderId="20" xfId="0" applyNumberFormat="1" applyFont="1" applyBorder="1"/>
    <xf numFmtId="3" fontId="2" fillId="5" borderId="24" xfId="0" applyNumberFormat="1" applyFont="1" applyFill="1" applyBorder="1" applyAlignment="1"/>
    <xf numFmtId="0" fontId="5" fillId="0" borderId="43" xfId="0" applyFont="1" applyBorder="1"/>
    <xf numFmtId="3" fontId="1" fillId="0" borderId="21" xfId="1" applyNumberFormat="1" applyFont="1" applyBorder="1"/>
    <xf numFmtId="4" fontId="1" fillId="0" borderId="61" xfId="0" applyNumberFormat="1" applyFont="1" applyBorder="1"/>
    <xf numFmtId="3" fontId="1" fillId="0" borderId="61" xfId="0" applyNumberFormat="1" applyFont="1" applyBorder="1"/>
    <xf numFmtId="0" fontId="7" fillId="0" borderId="19" xfId="5" applyFont="1" applyBorder="1"/>
    <xf numFmtId="165" fontId="7" fillId="0" borderId="19" xfId="5" applyNumberFormat="1" applyFont="1" applyBorder="1"/>
    <xf numFmtId="4" fontId="2" fillId="0" borderId="21" xfId="0" applyNumberFormat="1" applyFont="1" applyFill="1" applyBorder="1" applyAlignment="1">
      <alignment vertical="center"/>
    </xf>
    <xf numFmtId="4" fontId="1" fillId="0" borderId="43" xfId="0" applyNumberFormat="1" applyFont="1" applyBorder="1"/>
    <xf numFmtId="4" fontId="7" fillId="0" borderId="19" xfId="5" applyNumberFormat="1" applyFont="1" applyFill="1" applyBorder="1"/>
    <xf numFmtId="4" fontId="2" fillId="0" borderId="19" xfId="0" applyNumberFormat="1" applyFont="1" applyBorder="1" applyAlignment="1">
      <alignment vertical="center"/>
    </xf>
    <xf numFmtId="4" fontId="2" fillId="5" borderId="46" xfId="0" applyNumberFormat="1" applyFont="1" applyFill="1" applyBorder="1" applyAlignment="1"/>
    <xf numFmtId="3" fontId="1" fillId="0" borderId="55" xfId="0" applyNumberFormat="1" applyFont="1" applyBorder="1"/>
    <xf numFmtId="4" fontId="2" fillId="4" borderId="22" xfId="0" applyNumberFormat="1" applyFont="1" applyFill="1" applyBorder="1" applyAlignment="1"/>
    <xf numFmtId="0" fontId="1" fillId="3" borderId="7" xfId="0" applyFont="1" applyFill="1" applyBorder="1" applyAlignment="1">
      <alignment horizontal="center" vertical="center" wrapText="1"/>
    </xf>
    <xf numFmtId="0" fontId="7" fillId="0" borderId="3" xfId="5" applyFont="1" applyBorder="1"/>
    <xf numFmtId="2" fontId="7" fillId="0" borderId="6" xfId="5" applyNumberFormat="1" applyFont="1" applyBorder="1"/>
    <xf numFmtId="4" fontId="0" fillId="0" borderId="10" xfId="0" applyNumberFormat="1" applyBorder="1"/>
    <xf numFmtId="4" fontId="0" fillId="0" borderId="7" xfId="0" applyNumberFormat="1" applyBorder="1"/>
    <xf numFmtId="4" fontId="0" fillId="0" borderId="11" xfId="0" applyNumberFormat="1" applyBorder="1"/>
    <xf numFmtId="0" fontId="7" fillId="0" borderId="24" xfId="5" applyFont="1" applyFill="1" applyBorder="1"/>
    <xf numFmtId="0" fontId="0" fillId="0" borderId="24" xfId="0" applyBorder="1"/>
    <xf numFmtId="4" fontId="0" fillId="0" borderId="24" xfId="0" applyNumberFormat="1" applyBorder="1"/>
    <xf numFmtId="0" fontId="7" fillId="0" borderId="13" xfId="5" applyFont="1" applyBorder="1"/>
    <xf numFmtId="4" fontId="0" fillId="0" borderId="14" xfId="0" applyNumberFormat="1" applyBorder="1"/>
    <xf numFmtId="4" fontId="0" fillId="0" borderId="16" xfId="0" applyNumberFormat="1" applyBorder="1"/>
    <xf numFmtId="49" fontId="2" fillId="5" borderId="24" xfId="0" applyNumberFormat="1" applyFont="1" applyFill="1" applyBorder="1" applyAlignment="1">
      <alignment horizontal="left" vertical="center"/>
    </xf>
    <xf numFmtId="0" fontId="0" fillId="2" borderId="24" xfId="0" applyFill="1" applyBorder="1" applyAlignment="1">
      <alignment horizontal="center"/>
    </xf>
    <xf numFmtId="2" fontId="2" fillId="5" borderId="24" xfId="0" applyNumberFormat="1" applyFont="1" applyFill="1" applyBorder="1" applyAlignment="1">
      <alignment horizontal="center"/>
    </xf>
    <xf numFmtId="4" fontId="2" fillId="5" borderId="9" xfId="0" applyNumberFormat="1" applyFont="1" applyFill="1" applyBorder="1" applyAlignment="1"/>
    <xf numFmtId="0" fontId="1" fillId="0" borderId="19" xfId="0" applyFont="1" applyBorder="1"/>
    <xf numFmtId="0" fontId="0" fillId="0" borderId="4" xfId="0" applyBorder="1"/>
    <xf numFmtId="0" fontId="12" fillId="2" borderId="4" xfId="0" applyFont="1" applyFill="1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horizontal="right"/>
    </xf>
    <xf numFmtId="2" fontId="0" fillId="2" borderId="4" xfId="0" applyNumberFormat="1" applyFill="1" applyBorder="1"/>
    <xf numFmtId="2" fontId="0" fillId="0" borderId="4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right"/>
    </xf>
    <xf numFmtId="0" fontId="0" fillId="6" borderId="4" xfId="0" applyFill="1" applyBorder="1"/>
    <xf numFmtId="14" fontId="0" fillId="6" borderId="4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2" fontId="0" fillId="6" borderId="4" xfId="0" applyNumberFormat="1" applyFill="1" applyBorder="1" applyAlignment="1">
      <alignment horizontal="right"/>
    </xf>
    <xf numFmtId="14" fontId="0" fillId="6" borderId="4" xfId="0" applyNumberFormat="1" applyFill="1" applyBorder="1"/>
    <xf numFmtId="2" fontId="0" fillId="6" borderId="4" xfId="0" applyNumberFormat="1" applyFill="1" applyBorder="1"/>
    <xf numFmtId="0" fontId="0" fillId="0" borderId="4" xfId="0" applyFill="1" applyBorder="1" applyAlignment="1">
      <alignment horizontal="right"/>
    </xf>
    <xf numFmtId="0" fontId="13" fillId="0" borderId="0" xfId="0" applyFont="1"/>
    <xf numFmtId="4" fontId="2" fillId="0" borderId="35" xfId="0" applyNumberFormat="1" applyFont="1" applyFill="1" applyBorder="1" applyAlignment="1">
      <alignment vertical="center"/>
    </xf>
    <xf numFmtId="4" fontId="2" fillId="0" borderId="69" xfId="0" applyNumberFormat="1" applyFont="1" applyFill="1" applyBorder="1" applyAlignment="1">
      <alignment vertical="center"/>
    </xf>
    <xf numFmtId="4" fontId="2" fillId="0" borderId="16" xfId="0" applyNumberFormat="1" applyFont="1" applyFill="1" applyBorder="1" applyAlignment="1">
      <alignment vertical="center"/>
    </xf>
    <xf numFmtId="4" fontId="2" fillId="0" borderId="67" xfId="0" applyNumberFormat="1" applyFont="1" applyFill="1" applyBorder="1" applyAlignment="1">
      <alignment vertical="center"/>
    </xf>
    <xf numFmtId="0" fontId="12" fillId="2" borderId="19" xfId="0" applyFont="1" applyFill="1" applyBorder="1"/>
    <xf numFmtId="0" fontId="0" fillId="2" borderId="19" xfId="0" applyFill="1" applyBorder="1"/>
    <xf numFmtId="0" fontId="0" fillId="2" borderId="19" xfId="0" applyFill="1" applyBorder="1" applyAlignment="1">
      <alignment horizontal="right"/>
    </xf>
    <xf numFmtId="2" fontId="0" fillId="2" borderId="19" xfId="0" applyNumberFormat="1" applyFill="1" applyBorder="1"/>
    <xf numFmtId="0" fontId="13" fillId="0" borderId="0" xfId="0" applyFont="1" applyBorder="1"/>
    <xf numFmtId="14" fontId="13" fillId="0" borderId="0" xfId="0" applyNumberFormat="1" applyFont="1" applyBorder="1"/>
    <xf numFmtId="0" fontId="0" fillId="6" borderId="0" xfId="0" applyFill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14" fontId="0" fillId="8" borderId="0" xfId="0" applyNumberFormat="1" applyFill="1" applyBorder="1" applyAlignment="1">
      <alignment horizontal="right"/>
    </xf>
    <xf numFmtId="14" fontId="0" fillId="8" borderId="0" xfId="0" applyNumberFormat="1" applyFill="1" applyBorder="1"/>
    <xf numFmtId="14" fontId="13" fillId="0" borderId="0" xfId="0" applyNumberFormat="1" applyFont="1" applyFill="1" applyBorder="1"/>
    <xf numFmtId="4" fontId="0" fillId="0" borderId="15" xfId="0" applyNumberFormat="1" applyBorder="1"/>
    <xf numFmtId="4" fontId="0" fillId="0" borderId="5" xfId="0" applyNumberFormat="1" applyBorder="1"/>
    <xf numFmtId="4" fontId="0" fillId="0" borderId="8" xfId="0" applyNumberFormat="1" applyBorder="1"/>
    <xf numFmtId="4" fontId="1" fillId="0" borderId="36" xfId="0" applyNumberFormat="1" applyFont="1" applyBorder="1"/>
    <xf numFmtId="3" fontId="1" fillId="0" borderId="1" xfId="0" applyNumberFormat="1" applyFont="1" applyBorder="1" applyAlignment="1">
      <alignment horizontal="right"/>
    </xf>
    <xf numFmtId="0" fontId="0" fillId="9" borderId="24" xfId="0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0" xfId="0" applyBorder="1"/>
    <xf numFmtId="0" fontId="0" fillId="2" borderId="5" xfId="0" applyFill="1" applyBorder="1"/>
    <xf numFmtId="0" fontId="0" fillId="6" borderId="5" xfId="0" applyFill="1" applyBorder="1"/>
    <xf numFmtId="0" fontId="0" fillId="0" borderId="5" xfId="0" applyBorder="1"/>
    <xf numFmtId="0" fontId="0" fillId="2" borderId="20" xfId="0" applyFill="1" applyBorder="1"/>
    <xf numFmtId="0" fontId="0" fillId="0" borderId="4" xfId="0" applyFill="1" applyBorder="1"/>
    <xf numFmtId="14" fontId="13" fillId="0" borderId="0" xfId="0" applyNumberFormat="1" applyFont="1"/>
    <xf numFmtId="0" fontId="17" fillId="0" borderId="24" xfId="0" applyFont="1" applyBorder="1"/>
    <xf numFmtId="0" fontId="4" fillId="0" borderId="24" xfId="0" applyFont="1" applyBorder="1" applyAlignment="1">
      <alignment horizontal="right" wrapText="1" readingOrder="1"/>
    </xf>
    <xf numFmtId="14" fontId="4" fillId="0" borderId="24" xfId="0" applyNumberFormat="1" applyFont="1" applyBorder="1" applyAlignment="1">
      <alignment horizontal="right" readingOrder="1"/>
    </xf>
    <xf numFmtId="0" fontId="4" fillId="0" borderId="24" xfId="0" applyFont="1" applyBorder="1" applyAlignment="1">
      <alignment horizontal="right" readingOrder="1"/>
    </xf>
    <xf numFmtId="2" fontId="0" fillId="0" borderId="24" xfId="0" applyNumberFormat="1" applyBorder="1"/>
    <xf numFmtId="1" fontId="0" fillId="0" borderId="24" xfId="0" applyNumberFormat="1" applyBorder="1"/>
    <xf numFmtId="2" fontId="17" fillId="0" borderId="24" xfId="0" applyNumberFormat="1" applyFont="1" applyBorder="1"/>
    <xf numFmtId="1" fontId="17" fillId="0" borderId="24" xfId="0" applyNumberFormat="1" applyFont="1" applyBorder="1"/>
    <xf numFmtId="14" fontId="4" fillId="10" borderId="24" xfId="0" applyNumberFormat="1" applyFont="1" applyFill="1" applyBorder="1" applyAlignment="1">
      <alignment horizontal="right" readingOrder="1"/>
    </xf>
    <xf numFmtId="14" fontId="4" fillId="0" borderId="24" xfId="0" applyNumberFormat="1" applyFont="1" applyFill="1" applyBorder="1" applyAlignment="1">
      <alignment horizontal="right" readingOrder="1"/>
    </xf>
    <xf numFmtId="0" fontId="4" fillId="0" borderId="24" xfId="0" applyFont="1" applyFill="1" applyBorder="1" applyAlignment="1">
      <alignment horizontal="right" readingOrder="1"/>
    </xf>
    <xf numFmtId="0" fontId="18" fillId="0" borderId="24" xfId="0" applyFont="1" applyBorder="1" applyAlignment="1">
      <alignment horizontal="right" readingOrder="1"/>
    </xf>
    <xf numFmtId="14" fontId="18" fillId="0" borderId="24" xfId="0" applyNumberFormat="1" applyFont="1" applyBorder="1" applyAlignment="1">
      <alignment horizontal="right" readingOrder="1"/>
    </xf>
    <xf numFmtId="1" fontId="0" fillId="0" borderId="4" xfId="0" applyNumberFormat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4" fontId="14" fillId="8" borderId="0" xfId="0" applyNumberFormat="1" applyFont="1" applyFill="1" applyBorder="1"/>
    <xf numFmtId="16" fontId="0" fillId="8" borderId="0" xfId="0" applyNumberFormat="1" applyFill="1"/>
    <xf numFmtId="14" fontId="13" fillId="7" borderId="0" xfId="0" applyNumberFormat="1" applyFont="1" applyFill="1" applyBorder="1"/>
    <xf numFmtId="14" fontId="13" fillId="7" borderId="0" xfId="0" applyNumberFormat="1" applyFont="1" applyFill="1"/>
    <xf numFmtId="0" fontId="13" fillId="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11" borderId="37" xfId="0" applyFill="1" applyBorder="1" applyAlignment="1">
      <alignment horizontal="left"/>
    </xf>
    <xf numFmtId="49" fontId="2" fillId="5" borderId="24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right"/>
    </xf>
    <xf numFmtId="0" fontId="0" fillId="0" borderId="24" xfId="0" applyFill="1" applyBorder="1" applyAlignment="1">
      <alignment horizontal="right"/>
    </xf>
    <xf numFmtId="4" fontId="1" fillId="0" borderId="14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4" fontId="1" fillId="0" borderId="7" xfId="0" applyNumberFormat="1" applyFont="1" applyBorder="1" applyAlignment="1">
      <alignment horizontal="right"/>
    </xf>
    <xf numFmtId="4" fontId="1" fillId="0" borderId="70" xfId="0" applyNumberFormat="1" applyFont="1" applyFill="1" applyBorder="1"/>
    <xf numFmtId="4" fontId="2" fillId="0" borderId="0" xfId="0" applyNumberFormat="1" applyFont="1" applyFill="1" applyBorder="1" applyAlignment="1">
      <alignment vertical="center"/>
    </xf>
    <xf numFmtId="4" fontId="2" fillId="0" borderId="60" xfId="0" applyNumberFormat="1" applyFont="1" applyFill="1" applyBorder="1" applyAlignment="1">
      <alignment vertical="center"/>
    </xf>
    <xf numFmtId="4" fontId="2" fillId="0" borderId="53" xfId="0" applyNumberFormat="1" applyFont="1" applyFill="1" applyBorder="1" applyAlignment="1">
      <alignment vertical="center"/>
    </xf>
    <xf numFmtId="2" fontId="2" fillId="5" borderId="24" xfId="0" applyNumberFormat="1" applyFont="1" applyFill="1" applyBorder="1" applyAlignment="1"/>
    <xf numFmtId="4" fontId="1" fillId="0" borderId="71" xfId="0" applyNumberFormat="1" applyFont="1" applyFill="1" applyBorder="1"/>
    <xf numFmtId="4" fontId="1" fillId="0" borderId="51" xfId="0" applyNumberFormat="1" applyFont="1" applyBorder="1"/>
    <xf numFmtId="4" fontId="1" fillId="0" borderId="71" xfId="0" applyNumberFormat="1" applyFont="1" applyBorder="1"/>
    <xf numFmtId="4" fontId="1" fillId="0" borderId="70" xfId="0" applyNumberFormat="1" applyFont="1" applyBorder="1"/>
    <xf numFmtId="4" fontId="1" fillId="0" borderId="62" xfId="0" applyNumberFormat="1" applyFont="1" applyBorder="1"/>
    <xf numFmtId="4" fontId="1" fillId="0" borderId="60" xfId="0" applyNumberFormat="1" applyFont="1" applyFill="1" applyBorder="1"/>
    <xf numFmtId="4" fontId="2" fillId="0" borderId="36" xfId="0" applyNumberFormat="1" applyFont="1" applyFill="1" applyBorder="1" applyAlignment="1">
      <alignment vertical="center"/>
    </xf>
    <xf numFmtId="4" fontId="1" fillId="0" borderId="36" xfId="0" applyNumberFormat="1" applyFont="1" applyFill="1" applyBorder="1"/>
    <xf numFmtId="0" fontId="12" fillId="6" borderId="4" xfId="0" applyFont="1" applyFill="1" applyBorder="1" applyAlignment="1">
      <alignment horizontal="center"/>
    </xf>
    <xf numFmtId="165" fontId="0" fillId="0" borderId="24" xfId="0" applyNumberFormat="1" applyBorder="1"/>
    <xf numFmtId="2" fontId="2" fillId="5" borderId="24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4" fontId="1" fillId="0" borderId="15" xfId="0" applyNumberFormat="1" applyFont="1" applyFill="1" applyBorder="1"/>
    <xf numFmtId="0" fontId="13" fillId="11" borderId="0" xfId="0" applyFont="1" applyFill="1"/>
    <xf numFmtId="0" fontId="0" fillId="2" borderId="24" xfId="0" applyFill="1" applyBorder="1" applyAlignment="1">
      <alignment horizontal="center" vertical="center" wrapText="1"/>
    </xf>
    <xf numFmtId="0" fontId="0" fillId="0" borderId="0" xfId="0" applyFill="1" applyBorder="1"/>
    <xf numFmtId="4" fontId="0" fillId="0" borderId="0" xfId="0" applyNumberFormat="1" applyFill="1" applyBorder="1"/>
    <xf numFmtId="0" fontId="0" fillId="0" borderId="0" xfId="0" applyFill="1" applyAlignment="1"/>
    <xf numFmtId="2" fontId="0" fillId="0" borderId="0" xfId="0" applyNumberFormat="1"/>
    <xf numFmtId="1" fontId="0" fillId="0" borderId="0" xfId="0" applyNumberFormat="1"/>
    <xf numFmtId="0" fontId="2" fillId="0" borderId="36" xfId="0" applyFont="1" applyBorder="1" applyAlignment="1">
      <alignment horizontal="left" vertical="center"/>
    </xf>
    <xf numFmtId="2" fontId="2" fillId="0" borderId="35" xfId="0" applyNumberFormat="1" applyFont="1" applyBorder="1" applyAlignment="1">
      <alignment vertical="center"/>
    </xf>
    <xf numFmtId="2" fontId="0" fillId="14" borderId="4" xfId="0" applyNumberFormat="1" applyFill="1" applyBorder="1"/>
    <xf numFmtId="0" fontId="0" fillId="14" borderId="0" xfId="0" applyFill="1" applyBorder="1"/>
    <xf numFmtId="2" fontId="0" fillId="11" borderId="4" xfId="0" applyNumberFormat="1" applyFill="1" applyBorder="1"/>
    <xf numFmtId="4" fontId="2" fillId="5" borderId="26" xfId="0" applyNumberFormat="1" applyFont="1" applyFill="1" applyBorder="1" applyAlignment="1">
      <alignment vertical="center" wrapText="1"/>
    </xf>
    <xf numFmtId="0" fontId="0" fillId="11" borderId="0" xfId="0" applyFill="1" applyBorder="1" applyAlignment="1">
      <alignment horizontal="left"/>
    </xf>
    <xf numFmtId="14" fontId="0" fillId="0" borderId="4" xfId="0" applyNumberFormat="1" applyFill="1" applyBorder="1"/>
    <xf numFmtId="2" fontId="0" fillId="0" borderId="5" xfId="0" applyNumberFormat="1" applyFill="1" applyBorder="1"/>
    <xf numFmtId="2" fontId="0" fillId="0" borderId="4" xfId="0" applyNumberFormat="1" applyFill="1" applyBorder="1"/>
    <xf numFmtId="0" fontId="12" fillId="0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169" fontId="2" fillId="4" borderId="22" xfId="0" applyNumberFormat="1" applyFont="1" applyFill="1" applyBorder="1" applyAlignment="1"/>
    <xf numFmtId="168" fontId="1" fillId="3" borderId="12" xfId="0" applyNumberFormat="1" applyFont="1" applyFill="1" applyBorder="1"/>
    <xf numFmtId="168" fontId="1" fillId="0" borderId="31" xfId="0" applyNumberFormat="1" applyFont="1" applyFill="1" applyBorder="1"/>
    <xf numFmtId="168" fontId="1" fillId="0" borderId="1" xfId="0" applyNumberFormat="1" applyFont="1" applyFill="1" applyBorder="1"/>
    <xf numFmtId="168" fontId="1" fillId="0" borderId="1" xfId="0" applyNumberFormat="1" applyFont="1" applyBorder="1"/>
    <xf numFmtId="168" fontId="1" fillId="0" borderId="2" xfId="0" applyNumberFormat="1" applyFont="1" applyBorder="1"/>
    <xf numFmtId="0" fontId="12" fillId="0" borderId="24" xfId="0" applyFont="1" applyBorder="1" applyAlignment="1">
      <alignment horizontal="center"/>
    </xf>
    <xf numFmtId="14" fontId="0" fillId="0" borderId="24" xfId="0" applyNumberFormat="1" applyBorder="1"/>
    <xf numFmtId="0" fontId="18" fillId="0" borderId="24" xfId="0" applyFont="1" applyFill="1" applyBorder="1" applyAlignment="1">
      <alignment horizontal="right" readingOrder="1"/>
    </xf>
    <xf numFmtId="2" fontId="0" fillId="0" borderId="24" xfId="0" applyNumberFormat="1" applyFill="1" applyBorder="1"/>
    <xf numFmtId="1" fontId="0" fillId="0" borderId="24" xfId="0" applyNumberFormat="1" applyFill="1" applyBorder="1"/>
    <xf numFmtId="0" fontId="0" fillId="9" borderId="40" xfId="0" applyFill="1" applyBorder="1" applyAlignment="1">
      <alignment vertical="center" wrapText="1"/>
    </xf>
    <xf numFmtId="0" fontId="0" fillId="0" borderId="5" xfId="0" applyFill="1" applyBorder="1"/>
    <xf numFmtId="4" fontId="1" fillId="0" borderId="72" xfId="0" applyNumberFormat="1" applyFont="1" applyFill="1" applyBorder="1"/>
    <xf numFmtId="170" fontId="0" fillId="0" borderId="73" xfId="0" applyNumberFormat="1" applyFill="1" applyBorder="1" applyAlignment="1" applyProtection="1">
      <alignment horizontal="right" wrapText="1"/>
    </xf>
    <xf numFmtId="4" fontId="1" fillId="0" borderId="1" xfId="0" applyNumberFormat="1" applyFont="1" applyBorder="1" applyAlignment="1">
      <alignment horizontal="right"/>
    </xf>
    <xf numFmtId="4" fontId="1" fillId="0" borderId="31" xfId="0" applyNumberFormat="1" applyFont="1" applyFill="1" applyBorder="1"/>
    <xf numFmtId="4" fontId="1" fillId="0" borderId="1" xfId="0" applyNumberFormat="1" applyFont="1" applyFill="1" applyBorder="1"/>
    <xf numFmtId="0" fontId="1" fillId="0" borderId="4" xfId="0" applyFont="1" applyBorder="1" applyAlignment="1"/>
    <xf numFmtId="0" fontId="1" fillId="0" borderId="39" xfId="0" applyFont="1" applyFill="1" applyBorder="1"/>
    <xf numFmtId="4" fontId="2" fillId="5" borderId="12" xfId="0" applyNumberFormat="1" applyFont="1" applyFill="1" applyBorder="1" applyAlignment="1"/>
    <xf numFmtId="0" fontId="1" fillId="0" borderId="0" xfId="0" applyNumberFormat="1" applyFont="1" applyBorder="1"/>
    <xf numFmtId="4" fontId="1" fillId="2" borderId="15" xfId="0" applyNumberFormat="1" applyFont="1" applyFill="1" applyBorder="1"/>
    <xf numFmtId="2" fontId="0" fillId="6" borderId="5" xfId="0" applyNumberFormat="1" applyFill="1" applyBorder="1"/>
    <xf numFmtId="0" fontId="1" fillId="3" borderId="65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4" fontId="2" fillId="4" borderId="74" xfId="0" applyNumberFormat="1" applyFont="1" applyFill="1" applyBorder="1" applyAlignment="1"/>
    <xf numFmtId="4" fontId="1" fillId="2" borderId="36" xfId="0" applyNumberFormat="1" applyFont="1" applyFill="1" applyBorder="1"/>
    <xf numFmtId="4" fontId="1" fillId="2" borderId="4" xfId="0" applyNumberFormat="1" applyFont="1" applyFill="1" applyBorder="1"/>
    <xf numFmtId="4" fontId="1" fillId="2" borderId="5" xfId="0" applyNumberFormat="1" applyFont="1" applyFill="1" applyBorder="1"/>
    <xf numFmtId="4" fontId="1" fillId="2" borderId="14" xfId="0" applyNumberFormat="1" applyFont="1" applyFill="1" applyBorder="1"/>
    <xf numFmtId="4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4" fontId="2" fillId="7" borderId="15" xfId="0" applyNumberFormat="1" applyFont="1" applyFill="1" applyBorder="1" applyAlignment="1">
      <alignment vertical="center"/>
    </xf>
    <xf numFmtId="0" fontId="1" fillId="0" borderId="75" xfId="0" applyFont="1" applyFill="1" applyBorder="1"/>
    <xf numFmtId="0" fontId="1" fillId="0" borderId="76" xfId="0" applyFont="1" applyBorder="1"/>
    <xf numFmtId="4" fontId="1" fillId="3" borderId="80" xfId="0" applyNumberFormat="1" applyFont="1" applyFill="1" applyBorder="1"/>
    <xf numFmtId="4" fontId="1" fillId="3" borderId="77" xfId="0" applyNumberFormat="1" applyFont="1" applyFill="1" applyBorder="1"/>
    <xf numFmtId="4" fontId="2" fillId="4" borderId="81" xfId="0" applyNumberFormat="1" applyFont="1" applyFill="1" applyBorder="1" applyAlignment="1"/>
    <xf numFmtId="0" fontId="1" fillId="3" borderId="65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4" fontId="2" fillId="0" borderId="19" xfId="0" applyNumberFormat="1" applyFont="1" applyFill="1" applyBorder="1" applyAlignment="1">
      <alignment vertical="center"/>
    </xf>
    <xf numFmtId="4" fontId="1" fillId="0" borderId="51" xfId="0" applyNumberFormat="1" applyFont="1" applyFill="1" applyBorder="1"/>
    <xf numFmtId="4" fontId="1" fillId="3" borderId="83" xfId="0" applyNumberFormat="1" applyFont="1" applyFill="1" applyBorder="1"/>
    <xf numFmtId="2" fontId="2" fillId="5" borderId="83" xfId="0" applyNumberFormat="1" applyFont="1" applyFill="1" applyBorder="1" applyAlignment="1"/>
    <xf numFmtId="4" fontId="1" fillId="3" borderId="82" xfId="0" applyNumberFormat="1" applyFont="1" applyFill="1" applyBorder="1"/>
    <xf numFmtId="2" fontId="2" fillId="5" borderId="82" xfId="0" applyNumberFormat="1" applyFont="1" applyFill="1" applyBorder="1" applyAlignment="1"/>
    <xf numFmtId="4" fontId="2" fillId="2" borderId="36" xfId="0" applyNumberFormat="1" applyFont="1" applyFill="1" applyBorder="1" applyAlignment="1">
      <alignment vertical="center"/>
    </xf>
    <xf numFmtId="0" fontId="0" fillId="6" borderId="74" xfId="0" applyFill="1" applyBorder="1"/>
    <xf numFmtId="0" fontId="0" fillId="6" borderId="74" xfId="0" applyFill="1" applyBorder="1" applyAlignment="1">
      <alignment horizontal="center"/>
    </xf>
    <xf numFmtId="0" fontId="0" fillId="6" borderId="74" xfId="0" applyFill="1" applyBorder="1" applyAlignment="1">
      <alignment horizontal="left"/>
    </xf>
    <xf numFmtId="4" fontId="0" fillId="6" borderId="74" xfId="0" applyNumberFormat="1" applyFill="1" applyBorder="1" applyAlignment="1">
      <alignment horizontal="right"/>
    </xf>
    <xf numFmtId="0" fontId="0" fillId="13" borderId="74" xfId="0" applyFill="1" applyBorder="1" applyAlignment="1"/>
    <xf numFmtId="4" fontId="0" fillId="13" borderId="74" xfId="0" applyNumberFormat="1" applyFill="1" applyBorder="1"/>
    <xf numFmtId="4" fontId="0" fillId="6" borderId="74" xfId="0" applyNumberFormat="1" applyFill="1" applyBorder="1"/>
    <xf numFmtId="0" fontId="0" fillId="13" borderId="74" xfId="0" applyFill="1" applyBorder="1"/>
    <xf numFmtId="0" fontId="0" fillId="0" borderId="74" xfId="0" applyBorder="1"/>
    <xf numFmtId="4" fontId="0" fillId="0" borderId="74" xfId="0" applyNumberFormat="1" applyBorder="1"/>
    <xf numFmtId="0" fontId="0" fillId="0" borderId="74" xfId="0" applyFill="1" applyBorder="1"/>
    <xf numFmtId="4" fontId="0" fillId="0" borderId="74" xfId="0" applyNumberFormat="1" applyFill="1" applyBorder="1"/>
    <xf numFmtId="0" fontId="0" fillId="13" borderId="74" xfId="0" applyFill="1" applyBorder="1" applyAlignment="1">
      <alignment horizontal="center"/>
    </xf>
    <xf numFmtId="0" fontId="0" fillId="0" borderId="74" xfId="0" applyBorder="1" applyAlignment="1"/>
    <xf numFmtId="2" fontId="0" fillId="0" borderId="74" xfId="0" applyNumberFormat="1" applyBorder="1"/>
    <xf numFmtId="1" fontId="0" fillId="0" borderId="74" xfId="0" applyNumberFormat="1" applyBorder="1"/>
    <xf numFmtId="0" fontId="0" fillId="0" borderId="74" xfId="0" applyFont="1" applyBorder="1"/>
    <xf numFmtId="1" fontId="0" fillId="0" borderId="74" xfId="0" applyNumberFormat="1" applyFont="1" applyBorder="1"/>
    <xf numFmtId="0" fontId="12" fillId="0" borderId="74" xfId="0" applyFont="1" applyBorder="1"/>
    <xf numFmtId="1" fontId="12" fillId="0" borderId="74" xfId="0" applyNumberFormat="1" applyFont="1" applyBorder="1"/>
    <xf numFmtId="0" fontId="0" fillId="13" borderId="74" xfId="0" applyFont="1" applyFill="1" applyBorder="1"/>
    <xf numFmtId="1" fontId="0" fillId="13" borderId="74" xfId="0" applyNumberFormat="1" applyFill="1" applyBorder="1"/>
    <xf numFmtId="1" fontId="22" fillId="13" borderId="74" xfId="19" applyNumberFormat="1" applyFill="1" applyBorder="1"/>
    <xf numFmtId="0" fontId="22" fillId="13" borderId="74" xfId="19" applyFill="1" applyBorder="1"/>
    <xf numFmtId="0" fontId="0" fillId="11" borderId="4" xfId="0" applyFill="1" applyBorder="1"/>
    <xf numFmtId="171" fontId="0" fillId="0" borderId="4" xfId="0" applyNumberFormat="1" applyBorder="1"/>
    <xf numFmtId="171" fontId="0" fillId="6" borderId="4" xfId="0" applyNumberFormat="1" applyFill="1" applyBorder="1"/>
    <xf numFmtId="4" fontId="2" fillId="6" borderId="36" xfId="0" applyNumberFormat="1" applyFont="1" applyFill="1" applyBorder="1" applyAlignment="1">
      <alignment vertical="center"/>
    </xf>
    <xf numFmtId="4" fontId="1" fillId="6" borderId="4" xfId="0" applyNumberFormat="1" applyFont="1" applyFill="1" applyBorder="1"/>
    <xf numFmtId="172" fontId="25" fillId="0" borderId="53" xfId="0" applyNumberFormat="1" applyFont="1" applyBorder="1" applyAlignment="1" applyProtection="1">
      <alignment horizontal="right" vertical="top" wrapText="1" readingOrder="1"/>
      <protection locked="0"/>
    </xf>
    <xf numFmtId="0" fontId="1" fillId="3" borderId="65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4" fontId="7" fillId="0" borderId="14" xfId="5" applyNumberFormat="1" applyFont="1" applyBorder="1"/>
    <xf numFmtId="4" fontId="2" fillId="4" borderId="26" xfId="0" applyNumberFormat="1" applyFont="1" applyFill="1" applyBorder="1" applyAlignment="1"/>
    <xf numFmtId="4" fontId="1" fillId="2" borderId="82" xfId="0" applyNumberFormat="1" applyFont="1" applyFill="1" applyBorder="1"/>
    <xf numFmtId="4" fontId="2" fillId="4" borderId="82" xfId="0" applyNumberFormat="1" applyFont="1" applyFill="1" applyBorder="1" applyAlignment="1"/>
    <xf numFmtId="4" fontId="2" fillId="4" borderId="83" xfId="0" applyNumberFormat="1" applyFont="1" applyFill="1" applyBorder="1" applyAlignment="1"/>
    <xf numFmtId="2" fontId="2" fillId="5" borderId="29" xfId="0" applyNumberFormat="1" applyFont="1" applyFill="1" applyBorder="1" applyAlignment="1"/>
    <xf numFmtId="4" fontId="2" fillId="0" borderId="37" xfId="0" applyNumberFormat="1" applyFont="1" applyFill="1" applyBorder="1" applyAlignment="1">
      <alignment vertical="center"/>
    </xf>
    <xf numFmtId="4" fontId="1" fillId="3" borderId="81" xfId="0" applyNumberFormat="1" applyFont="1" applyFill="1" applyBorder="1"/>
    <xf numFmtId="4" fontId="2" fillId="0" borderId="65" xfId="0" applyNumberFormat="1" applyFont="1" applyFill="1" applyBorder="1" applyAlignment="1">
      <alignment vertical="center"/>
    </xf>
    <xf numFmtId="4" fontId="1" fillId="6" borderId="36" xfId="0" applyNumberFormat="1" applyFont="1" applyFill="1" applyBorder="1"/>
    <xf numFmtId="4" fontId="1" fillId="6" borderId="72" xfId="0" applyNumberFormat="1" applyFont="1" applyFill="1" applyBorder="1"/>
    <xf numFmtId="0" fontId="1" fillId="6" borderId="0" xfId="0" applyFont="1" applyFill="1" applyBorder="1"/>
    <xf numFmtId="4" fontId="2" fillId="6" borderId="51" xfId="0" applyNumberFormat="1" applyFont="1" applyFill="1" applyBorder="1" applyAlignment="1">
      <alignment vertical="center"/>
    </xf>
    <xf numFmtId="4" fontId="1" fillId="6" borderId="14" xfId="0" applyNumberFormat="1" applyFont="1" applyFill="1" applyBorder="1"/>
    <xf numFmtId="0" fontId="12" fillId="0" borderId="4" xfId="0" applyFont="1" applyFill="1" applyBorder="1"/>
    <xf numFmtId="0" fontId="0" fillId="0" borderId="4" xfId="0" applyFill="1" applyBorder="1" applyAlignment="1">
      <alignment horizontal="center"/>
    </xf>
    <xf numFmtId="171" fontId="0" fillId="0" borderId="4" xfId="0" applyNumberFormat="1" applyFill="1" applyBorder="1"/>
    <xf numFmtId="4" fontId="2" fillId="2" borderId="14" xfId="0" applyNumberFormat="1" applyFont="1" applyFill="1" applyBorder="1" applyAlignment="1">
      <alignment vertical="center"/>
    </xf>
    <xf numFmtId="3" fontId="1" fillId="0" borderId="0" xfId="0" applyNumberFormat="1" applyFont="1" applyFill="1" applyBorder="1"/>
    <xf numFmtId="0" fontId="17" fillId="0" borderId="74" xfId="0" applyFont="1" applyBorder="1"/>
    <xf numFmtId="0" fontId="4" fillId="0" borderId="74" xfId="0" applyFont="1" applyBorder="1" applyAlignment="1">
      <alignment horizontal="right"/>
    </xf>
    <xf numFmtId="0" fontId="18" fillId="0" borderId="74" xfId="0" applyFont="1" applyBorder="1" applyAlignment="1">
      <alignment horizontal="right"/>
    </xf>
    <xf numFmtId="0" fontId="18" fillId="0" borderId="74" xfId="0" applyFont="1" applyBorder="1" applyAlignment="1">
      <alignment horizontal="right" readingOrder="1"/>
    </xf>
    <xf numFmtId="14" fontId="0" fillId="0" borderId="74" xfId="0" applyNumberFormat="1" applyBorder="1"/>
    <xf numFmtId="0" fontId="18" fillId="0" borderId="74" xfId="0" applyFont="1" applyFill="1" applyBorder="1" applyAlignment="1">
      <alignment horizontal="right" readingOrder="1"/>
    </xf>
    <xf numFmtId="14" fontId="4" fillId="0" borderId="74" xfId="0" applyNumberFormat="1" applyFont="1" applyFill="1" applyBorder="1" applyAlignment="1">
      <alignment horizontal="right" readingOrder="1"/>
    </xf>
    <xf numFmtId="2" fontId="0" fillId="0" borderId="74" xfId="0" applyNumberFormat="1" applyFill="1" applyBorder="1"/>
    <xf numFmtId="1" fontId="0" fillId="0" borderId="74" xfId="0" applyNumberFormat="1" applyFill="1" applyBorder="1"/>
    <xf numFmtId="0" fontId="0" fillId="0" borderId="74" xfId="0" applyBorder="1" applyAlignment="1">
      <alignment horizontal="right"/>
    </xf>
    <xf numFmtId="0" fontId="0" fillId="9" borderId="74" xfId="0" applyFill="1" applyBorder="1" applyAlignment="1">
      <alignment horizontal="center" vertical="center" wrapText="1"/>
    </xf>
    <xf numFmtId="0" fontId="4" fillId="0" borderId="74" xfId="0" applyFont="1" applyBorder="1" applyAlignment="1">
      <alignment horizontal="right" wrapText="1" readingOrder="1"/>
    </xf>
    <xf numFmtId="14" fontId="4" fillId="0" borderId="74" xfId="0" applyNumberFormat="1" applyFont="1" applyBorder="1" applyAlignment="1">
      <alignment horizontal="right" readingOrder="1"/>
    </xf>
    <xf numFmtId="0" fontId="4" fillId="0" borderId="74" xfId="0" applyFont="1" applyBorder="1" applyAlignment="1">
      <alignment horizontal="right" readingOrder="1"/>
    </xf>
    <xf numFmtId="1" fontId="0" fillId="0" borderId="74" xfId="0" applyNumberFormat="1" applyBorder="1" applyAlignment="1">
      <alignment horizontal="right"/>
    </xf>
    <xf numFmtId="2" fontId="17" fillId="0" borderId="74" xfId="0" applyNumberFormat="1" applyFont="1" applyBorder="1"/>
    <xf numFmtId="1" fontId="17" fillId="0" borderId="74" xfId="0" applyNumberFormat="1" applyFont="1" applyBorder="1"/>
    <xf numFmtId="1" fontId="17" fillId="0" borderId="74" xfId="0" applyNumberFormat="1" applyFont="1" applyBorder="1" applyAlignment="1">
      <alignment horizontal="right"/>
    </xf>
    <xf numFmtId="14" fontId="4" fillId="10" borderId="74" xfId="0" applyNumberFormat="1" applyFont="1" applyFill="1" applyBorder="1" applyAlignment="1">
      <alignment horizontal="right" readingOrder="1"/>
    </xf>
    <xf numFmtId="0" fontId="4" fillId="0" borderId="74" xfId="0" applyFont="1" applyFill="1" applyBorder="1" applyAlignment="1">
      <alignment horizontal="right" readingOrder="1"/>
    </xf>
    <xf numFmtId="14" fontId="18" fillId="0" borderId="74" xfId="0" applyNumberFormat="1" applyFont="1" applyBorder="1" applyAlignment="1">
      <alignment horizontal="right" readingOrder="1"/>
    </xf>
    <xf numFmtId="0" fontId="0" fillId="6" borderId="74" xfId="0" applyFill="1" applyBorder="1" applyAlignment="1">
      <alignment horizontal="right"/>
    </xf>
    <xf numFmtId="0" fontId="0" fillId="0" borderId="74" xfId="0" applyFill="1" applyBorder="1" applyAlignment="1">
      <alignment horizontal="right"/>
    </xf>
    <xf numFmtId="0" fontId="0" fillId="0" borderId="74" xfId="0" applyBorder="1" applyAlignment="1">
      <alignment horizontal="right" readingOrder="1"/>
    </xf>
    <xf numFmtId="4" fontId="0" fillId="0" borderId="74" xfId="0" applyNumberFormat="1" applyFont="1" applyBorder="1"/>
    <xf numFmtId="4" fontId="12" fillId="0" borderId="74" xfId="0" applyNumberFormat="1" applyFont="1" applyBorder="1"/>
    <xf numFmtId="4" fontId="2" fillId="5" borderId="82" xfId="0" applyNumberFormat="1" applyFont="1" applyFill="1" applyBorder="1" applyAlignment="1"/>
    <xf numFmtId="0" fontId="1" fillId="3" borderId="65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4" fontId="1" fillId="0" borderId="14" xfId="0" applyNumberFormat="1" applyFont="1" applyFill="1" applyBorder="1" applyAlignment="1">
      <alignment horizontal="right"/>
    </xf>
    <xf numFmtId="4" fontId="1" fillId="0" borderId="34" xfId="0" applyNumberFormat="1" applyFont="1" applyFill="1" applyBorder="1"/>
    <xf numFmtId="4" fontId="1" fillId="0" borderId="35" xfId="0" applyNumberFormat="1" applyFont="1" applyFill="1" applyBorder="1"/>
    <xf numFmtId="4" fontId="1" fillId="0" borderId="4" xfId="0" applyNumberFormat="1" applyFont="1" applyFill="1" applyBorder="1" applyAlignment="1">
      <alignment horizontal="right"/>
    </xf>
    <xf numFmtId="4" fontId="1" fillId="0" borderId="7" xfId="0" applyNumberFormat="1" applyFont="1" applyFill="1" applyBorder="1" applyAlignment="1">
      <alignment horizontal="right"/>
    </xf>
    <xf numFmtId="4" fontId="2" fillId="0" borderId="78" xfId="0" applyNumberFormat="1" applyFont="1" applyFill="1" applyBorder="1" applyAlignment="1">
      <alignment vertical="center"/>
    </xf>
    <xf numFmtId="4" fontId="0" fillId="0" borderId="15" xfId="0" applyNumberFormat="1" applyFill="1" applyBorder="1"/>
    <xf numFmtId="4" fontId="0" fillId="0" borderId="5" xfId="0" applyNumberFormat="1" applyFill="1" applyBorder="1"/>
    <xf numFmtId="4" fontId="0" fillId="0" borderId="8" xfId="0" applyNumberFormat="1" applyFill="1" applyBorder="1"/>
    <xf numFmtId="0" fontId="0" fillId="9" borderId="74" xfId="0" applyFill="1" applyBorder="1" applyAlignment="1">
      <alignment horizontal="center" vertical="center" wrapText="1"/>
    </xf>
    <xf numFmtId="0" fontId="0" fillId="9" borderId="74" xfId="0" applyFill="1" applyBorder="1" applyAlignment="1">
      <alignment horizontal="center" vertical="center" wrapText="1"/>
    </xf>
    <xf numFmtId="4" fontId="0" fillId="0" borderId="4" xfId="0" applyNumberFormat="1" applyFill="1" applyBorder="1"/>
    <xf numFmtId="4" fontId="2" fillId="6" borderId="15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/>
    </xf>
    <xf numFmtId="0" fontId="7" fillId="0" borderId="4" xfId="5" applyFont="1" applyFill="1" applyBorder="1"/>
    <xf numFmtId="2" fontId="7" fillId="0" borderId="4" xfId="5" applyNumberFormat="1" applyFont="1" applyFill="1" applyBorder="1"/>
    <xf numFmtId="0" fontId="2" fillId="0" borderId="4" xfId="0" applyFont="1" applyFill="1" applyBorder="1" applyAlignment="1">
      <alignment horizontal="left" vertical="center"/>
    </xf>
    <xf numFmtId="3" fontId="0" fillId="0" borderId="4" xfId="0" applyNumberFormat="1" applyFill="1" applyBorder="1"/>
    <xf numFmtId="0" fontId="6" fillId="0" borderId="4" xfId="0" applyFont="1" applyFill="1" applyBorder="1" applyAlignment="1">
      <alignment horizontal="center" vertical="center" wrapText="1"/>
    </xf>
    <xf numFmtId="49" fontId="28" fillId="0" borderId="4" xfId="0" applyNumberFormat="1" applyFont="1" applyFill="1" applyBorder="1" applyAlignment="1">
      <alignment horizontal="left" vertical="center"/>
    </xf>
    <xf numFmtId="3" fontId="29" fillId="0" borderId="4" xfId="0" applyNumberFormat="1" applyFont="1" applyFill="1" applyBorder="1"/>
    <xf numFmtId="49" fontId="30" fillId="0" borderId="4" xfId="0" applyNumberFormat="1" applyFont="1" applyFill="1" applyBorder="1" applyAlignment="1">
      <alignment horizontal="left" vertical="center"/>
    </xf>
    <xf numFmtId="3" fontId="27" fillId="0" borderId="4" xfId="0" applyNumberFormat="1" applyFont="1" applyFill="1" applyBorder="1"/>
    <xf numFmtId="0" fontId="31" fillId="0" borderId="4" xfId="5" applyFont="1" applyFill="1" applyBorder="1"/>
    <xf numFmtId="0" fontId="30" fillId="0" borderId="4" xfId="0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 vertical="center" wrapText="1"/>
    </xf>
    <xf numFmtId="3" fontId="12" fillId="0" borderId="4" xfId="0" applyNumberFormat="1" applyFont="1" applyBorder="1" applyAlignment="1">
      <alignment horizontal="right" vertical="center" wrapText="1"/>
    </xf>
    <xf numFmtId="3" fontId="0" fillId="0" borderId="4" xfId="0" applyNumberFormat="1" applyBorder="1" applyAlignment="1">
      <alignment vertical="center" wrapText="1"/>
    </xf>
    <xf numFmtId="3" fontId="0" fillId="0" borderId="4" xfId="0" applyNumberFormat="1" applyBorder="1"/>
    <xf numFmtId="0" fontId="12" fillId="0" borderId="4" xfId="0" applyFont="1" applyBorder="1"/>
    <xf numFmtId="3" fontId="12" fillId="0" borderId="4" xfId="0" applyNumberFormat="1" applyFont="1" applyBorder="1"/>
    <xf numFmtId="9" fontId="0" fillId="0" borderId="0" xfId="1" applyFont="1"/>
    <xf numFmtId="10" fontId="0" fillId="0" borderId="0" xfId="1" applyNumberFormat="1" applyFont="1"/>
    <xf numFmtId="0" fontId="1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0" fillId="0" borderId="53" xfId="0" applyBorder="1" applyAlignment="1">
      <alignment horizontal="center"/>
    </xf>
    <xf numFmtId="0" fontId="16" fillId="9" borderId="24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/>
    </xf>
    <xf numFmtId="0" fontId="0" fillId="9" borderId="24" xfId="0" applyFill="1" applyBorder="1" applyAlignment="1">
      <alignment horizontal="center" vertical="center" wrapText="1"/>
    </xf>
    <xf numFmtId="0" fontId="0" fillId="9" borderId="74" xfId="0" applyFill="1" applyBorder="1" applyAlignment="1">
      <alignment horizontal="center"/>
    </xf>
    <xf numFmtId="0" fontId="16" fillId="9" borderId="74" xfId="0" applyFont="1" applyFill="1" applyBorder="1" applyAlignment="1">
      <alignment horizontal="center" vertical="center" wrapText="1"/>
    </xf>
    <xf numFmtId="0" fontId="0" fillId="9" borderId="74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1" xfId="0" applyFill="1" applyBorder="1" applyAlignment="1">
      <alignment horizontal="center" vertical="center" wrapText="1"/>
    </xf>
    <xf numFmtId="0" fontId="0" fillId="0" borderId="72" xfId="0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49" fontId="1" fillId="0" borderId="64" xfId="0" applyNumberFormat="1" applyFont="1" applyBorder="1" applyAlignment="1">
      <alignment horizontal="center" vertical="center" wrapText="1"/>
    </xf>
    <xf numFmtId="49" fontId="1" fillId="0" borderId="65" xfId="0" applyNumberFormat="1" applyFont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 wrapText="1"/>
    </xf>
    <xf numFmtId="0" fontId="1" fillId="3" borderId="67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4" fontId="1" fillId="0" borderId="19" xfId="0" applyNumberFormat="1" applyFont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3" borderId="61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79" xfId="0" applyFont="1" applyFill="1" applyBorder="1" applyAlignment="1">
      <alignment horizontal="center" vertical="center" wrapText="1"/>
    </xf>
    <xf numFmtId="0" fontId="1" fillId="3" borderId="78" xfId="0" applyFont="1" applyFill="1" applyBorder="1" applyAlignment="1">
      <alignment horizontal="center" vertical="center" wrapText="1"/>
    </xf>
    <xf numFmtId="49" fontId="2" fillId="4" borderId="54" xfId="0" applyNumberFormat="1" applyFont="1" applyFill="1" applyBorder="1" applyAlignment="1">
      <alignment horizontal="center" vertical="center" wrapText="1"/>
    </xf>
    <xf numFmtId="49" fontId="2" fillId="4" borderId="44" xfId="0" applyNumberFormat="1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49" fontId="2" fillId="5" borderId="55" xfId="0" applyNumberFormat="1" applyFont="1" applyFill="1" applyBorder="1" applyAlignment="1">
      <alignment horizontal="center" vertical="center"/>
    </xf>
    <xf numFmtId="49" fontId="2" fillId="5" borderId="44" xfId="0" applyNumberFormat="1" applyFont="1" applyFill="1" applyBorder="1" applyAlignment="1">
      <alignment horizontal="center" vertical="center"/>
    </xf>
    <xf numFmtId="49" fontId="2" fillId="4" borderId="54" xfId="0" applyNumberFormat="1" applyFont="1" applyFill="1" applyBorder="1" applyAlignment="1">
      <alignment horizontal="center" vertical="center"/>
    </xf>
    <xf numFmtId="49" fontId="2" fillId="4" borderId="44" xfId="0" applyNumberFormat="1" applyFont="1" applyFill="1" applyBorder="1" applyAlignment="1">
      <alignment horizontal="center" vertical="center"/>
    </xf>
    <xf numFmtId="49" fontId="2" fillId="0" borderId="54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</cellXfs>
  <cellStyles count="21">
    <cellStyle name="Comma 2" xfId="6"/>
    <cellStyle name="Comma 3" xfId="7"/>
    <cellStyle name="Currency 2" xfId="8"/>
    <cellStyle name="Currency 2 2" xfId="9"/>
    <cellStyle name="Good" xfId="19" builtinId="26"/>
    <cellStyle name="Įprastas 2" xfId="10"/>
    <cellStyle name="Įprastas 3" xfId="11"/>
    <cellStyle name="Normal" xfId="0" builtinId="0"/>
    <cellStyle name="Normal 2" xfId="2"/>
    <cellStyle name="Normal 2 2" xfId="12"/>
    <cellStyle name="Normal 2 3" xfId="5"/>
    <cellStyle name="Normal 3" xfId="13"/>
    <cellStyle name="Normal 3 2" xfId="20"/>
    <cellStyle name="Normal 4" xfId="14"/>
    <cellStyle name="Normal 5" xfId="15"/>
    <cellStyle name="Paprastas_REALIZACIJA 2006" xfId="4"/>
    <cellStyle name="Percent" xfId="1" builtinId="5"/>
    <cellStyle name="Percent 2" xfId="3"/>
    <cellStyle name="Percent 2 2" xfId="16"/>
    <cellStyle name="Percent 3" xfId="17"/>
    <cellStyle name="Style 1" xfId="1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1.xml"/><Relationship Id="rId98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0.14044663167104113"/>
                  <c:y val="-0.20390274132400116"/>
                </c:manualLayout>
              </c:layout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bg1"/>
                      </a:solidFill>
                    </a:defRPr>
                  </a:pPr>
                  <a:endParaRPr lang="lt-L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Sheet3!$C$9:$C$14</c:f>
              <c:strCache>
                <c:ptCount val="6"/>
                <c:pt idx="0">
                  <c:v>30 min. bilietas</c:v>
                </c:pt>
                <c:pt idx="1">
                  <c:v>30 min. bilietas su 50% nuolaida</c:v>
                </c:pt>
                <c:pt idx="2">
                  <c:v>30 min. bilietas su 80% nuolaida</c:v>
                </c:pt>
                <c:pt idx="3">
                  <c:v>60 min. bilietas</c:v>
                </c:pt>
                <c:pt idx="4">
                  <c:v>60 min. bilietas su 50% nuolaida</c:v>
                </c:pt>
                <c:pt idx="5">
                  <c:v>60 min. bilietas su 80% nuolaida</c:v>
                </c:pt>
              </c:strCache>
            </c:strRef>
          </c:cat>
          <c:val>
            <c:numRef>
              <c:f>Sheet3!$E$9:$E$14</c:f>
              <c:numCache>
                <c:formatCode>0.00%</c:formatCode>
                <c:ptCount val="6"/>
                <c:pt idx="0">
                  <c:v>0.76807729074758946</c:v>
                </c:pt>
                <c:pt idx="1">
                  <c:v>0.17169393286152576</c:v>
                </c:pt>
                <c:pt idx="2">
                  <c:v>2.160880932835106E-3</c:v>
                </c:pt>
                <c:pt idx="3">
                  <c:v>5.0810170435452641E-2</c:v>
                </c:pt>
                <c:pt idx="4">
                  <c:v>7.1020001011108079E-3</c:v>
                </c:pt>
                <c:pt idx="5">
                  <c:v>1.5572492148621019E-4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dLbls>
            <c:dLbl>
              <c:idx val="1"/>
              <c:layout>
                <c:manualLayout>
                  <c:x val="-0.12179678684111102"/>
                  <c:y val="-5.4479355129152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2851109292939908"/>
                  <c:y val="-5.8692420728962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/>
                </a:pPr>
                <a:endParaRPr lang="lt-L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Sheet3!$C$26:$C$30</c:f>
              <c:strCache>
                <c:ptCount val="5"/>
                <c:pt idx="0">
                  <c:v>Bilietai įsigyjami iš vairuotojo</c:v>
                </c:pt>
                <c:pt idx="1">
                  <c:v>30/60 min. bilietai </c:v>
                </c:pt>
                <c:pt idx="2">
                  <c:v>30 d. terminuotieji bilietai</c:v>
                </c:pt>
                <c:pt idx="3">
                  <c:v>Ilgalaikiai terminuotieji bilietai</c:v>
                </c:pt>
                <c:pt idx="4">
                  <c:v>1-10 dienų terminuoti bilietai</c:v>
                </c:pt>
              </c:strCache>
            </c:strRef>
          </c:cat>
          <c:val>
            <c:numRef>
              <c:f>Sheet3!$E$26:$E$30</c:f>
              <c:numCache>
                <c:formatCode>0%</c:formatCode>
                <c:ptCount val="5"/>
                <c:pt idx="0">
                  <c:v>0.14896634022424818</c:v>
                </c:pt>
                <c:pt idx="1">
                  <c:v>0.28535492171282945</c:v>
                </c:pt>
                <c:pt idx="2">
                  <c:v>0.53873973801283892</c:v>
                </c:pt>
                <c:pt idx="3">
                  <c:v>8.0240933431082826E-3</c:v>
                </c:pt>
                <c:pt idx="4">
                  <c:v>1.8914906706975196E-2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900"/>
          </a:pPr>
          <a:endParaRPr lang="lt-L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</xdr:row>
      <xdr:rowOff>7620</xdr:rowOff>
    </xdr:from>
    <xdr:to>
      <xdr:col>12</xdr:col>
      <xdr:colOff>133350</xdr:colOff>
      <xdr:row>23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1893570</xdr:colOff>
      <xdr:row>13</xdr:row>
      <xdr:rowOff>167640</xdr:rowOff>
    </xdr:from>
    <xdr:to>
      <xdr:col>6</xdr:col>
      <xdr:colOff>76200</xdr:colOff>
      <xdr:row>26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na.lt\alna\Skyriai\VVS\Navision\Vykdomi_projektai\FM_2009\03_Analize\06_InfoIsFinMin\FVAIS-A.C.1.2-Ataskaitu%20paketas-2009%2003%2020-v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-0108\kac\Parai&#353;kos\Kopija%20parai&#353;k&#371;%20REGISTRAVIMO%20&#381;URNA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inis"/>
      <sheetName val="Įvadas"/>
      <sheetName val="Reglamentuotos ataskaitos"/>
      <sheetName val="F-1"/>
      <sheetName val="F-3"/>
      <sheetName val="F-2"/>
      <sheetName val="F-4"/>
      <sheetName val="F-5"/>
      <sheetName val="F-6"/>
      <sheetName val="BP-1"/>
      <sheetName val="BP-2"/>
      <sheetName val="BP-3"/>
      <sheetName val="BP-4"/>
      <sheetName val="BP-5"/>
      <sheetName val="BP-6"/>
      <sheetName val="BP-7"/>
      <sheetName val="BP-8"/>
      <sheetName val="BP-9"/>
      <sheetName val="BP-10"/>
      <sheetName val="M-1"/>
      <sheetName val="M-2"/>
      <sheetName val="M-3"/>
      <sheetName val="M-4"/>
      <sheetName val="D-1"/>
      <sheetName val="D-2"/>
      <sheetName val="D-3"/>
      <sheetName val="D-4"/>
      <sheetName val="D-5"/>
      <sheetName val="B-1"/>
      <sheetName val="B-2"/>
      <sheetName val="B-3"/>
      <sheetName val="B-4"/>
      <sheetName val="B-5"/>
      <sheetName val="B-6"/>
      <sheetName val="P-1"/>
      <sheetName val="P-2"/>
      <sheetName val="S-1"/>
      <sheetName val="S-2"/>
      <sheetName val="S-3"/>
      <sheetName val="S-4"/>
      <sheetName val="S-5"/>
      <sheetName val="A-1"/>
      <sheetName val="duomen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ąžinti EB_EP"/>
      <sheetName val="blokuoti VK_perkelti"/>
      <sheetName val="paraiškos"/>
      <sheetName val="VK problemų_aprašas"/>
      <sheetName val="duomeny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4"/>
  <sheetViews>
    <sheetView workbookViewId="0">
      <pane xSplit="2" ySplit="3" topLeftCell="Q4" activePane="bottomRight" state="frozen"/>
      <selection pane="topRight" activeCell="C1" sqref="C1"/>
      <selection pane="bottomLeft" activeCell="A4" sqref="A4"/>
      <selection pane="bottomRight" activeCell="Q20" sqref="Q20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3" width="12.33203125" customWidth="1"/>
    <col min="24" max="24" width="12.33203125" bestFit="1" customWidth="1"/>
  </cols>
  <sheetData>
    <row r="1" spans="1:24" x14ac:dyDescent="0.3">
      <c r="A1" t="s">
        <v>392</v>
      </c>
    </row>
    <row r="2" spans="1:24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  <c r="U2" s="562" t="s">
        <v>359</v>
      </c>
      <c r="V2" s="562"/>
      <c r="W2" s="562"/>
    </row>
    <row r="3" spans="1:24" ht="40.200000000000003" customHeight="1" x14ac:dyDescent="0.3">
      <c r="A3" s="344" t="s">
        <v>46</v>
      </c>
      <c r="B3" s="365" t="s">
        <v>208</v>
      </c>
      <c r="C3" s="365" t="s">
        <v>389</v>
      </c>
      <c r="D3" s="365" t="s">
        <v>425</v>
      </c>
      <c r="E3" s="365" t="s">
        <v>206</v>
      </c>
      <c r="F3" s="365" t="s">
        <v>389</v>
      </c>
      <c r="G3" s="365" t="s">
        <v>425</v>
      </c>
      <c r="H3" s="365" t="s">
        <v>206</v>
      </c>
      <c r="I3" s="365" t="s">
        <v>389</v>
      </c>
      <c r="J3" s="365" t="s">
        <v>425</v>
      </c>
      <c r="K3" s="365" t="s">
        <v>206</v>
      </c>
      <c r="L3" s="365" t="s">
        <v>389</v>
      </c>
      <c r="M3" s="365" t="s">
        <v>425</v>
      </c>
      <c r="N3" s="369" t="s">
        <v>206</v>
      </c>
      <c r="O3" s="365" t="s">
        <v>389</v>
      </c>
      <c r="P3" s="365" t="s">
        <v>389</v>
      </c>
      <c r="Q3" s="369" t="s">
        <v>206</v>
      </c>
      <c r="R3" s="365" t="s">
        <v>389</v>
      </c>
      <c r="S3" s="365" t="s">
        <v>425</v>
      </c>
      <c r="T3" s="369" t="s">
        <v>206</v>
      </c>
      <c r="U3" s="365" t="s">
        <v>426</v>
      </c>
      <c r="V3" s="365" t="s">
        <v>425</v>
      </c>
      <c r="W3" s="369" t="s">
        <v>206</v>
      </c>
      <c r="X3" s="365" t="s">
        <v>351</v>
      </c>
    </row>
    <row r="4" spans="1:24" x14ac:dyDescent="0.3">
      <c r="A4" s="263" t="s">
        <v>54</v>
      </c>
      <c r="B4" s="91">
        <v>2.2000000000000002</v>
      </c>
      <c r="C4" s="91">
        <v>757737.2</v>
      </c>
      <c r="D4" s="91">
        <v>757741.6</v>
      </c>
      <c r="E4" s="91">
        <f>+D4-C4</f>
        <v>4.4000000000232831</v>
      </c>
      <c r="F4" s="91">
        <v>698522</v>
      </c>
      <c r="G4" s="91">
        <v>698528.6</v>
      </c>
      <c r="H4" s="91">
        <f>+G4-F4</f>
        <v>6.5999999999767169</v>
      </c>
      <c r="I4" s="91">
        <v>769874.6</v>
      </c>
      <c r="J4" s="91">
        <v>769874.6</v>
      </c>
      <c r="K4" s="91">
        <f>+J4-I4</f>
        <v>0</v>
      </c>
      <c r="L4" s="91">
        <v>777779.19999999995</v>
      </c>
      <c r="M4" s="91">
        <v>777779.19999999995</v>
      </c>
      <c r="N4" s="265">
        <f>+M4-L4</f>
        <v>0</v>
      </c>
      <c r="O4" s="91">
        <v>774822.40000000002</v>
      </c>
      <c r="P4" s="91">
        <v>774846.6</v>
      </c>
      <c r="Q4" s="265">
        <f>+P4-O4</f>
        <v>24.199999999953434</v>
      </c>
      <c r="R4" s="91">
        <v>720669.4</v>
      </c>
      <c r="S4" s="91">
        <v>721809</v>
      </c>
      <c r="T4" s="265">
        <f>+S4-R4</f>
        <v>1139.5999999999767</v>
      </c>
      <c r="U4" s="91">
        <v>665018.19999999995</v>
      </c>
      <c r="V4" s="91">
        <v>736304.8</v>
      </c>
      <c r="W4" s="265">
        <f>+V4-U4</f>
        <v>71286.600000000093</v>
      </c>
      <c r="X4" s="262">
        <f>+E4+H4+K4+N4+Q4+T4+W4</f>
        <v>72461.400000000023</v>
      </c>
    </row>
    <row r="5" spans="1:24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82964.2</v>
      </c>
      <c r="K5" s="91">
        <f t="shared" ref="K5:K9" si="2">+J5-I5</f>
        <v>0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79328.7</v>
      </c>
      <c r="P5" s="91">
        <v>79332</v>
      </c>
      <c r="Q5" s="257">
        <f t="shared" ref="Q5:Q9" si="4">+P5-O5</f>
        <v>3.3000000000029104</v>
      </c>
      <c r="R5" s="91">
        <v>78285.899999999994</v>
      </c>
      <c r="S5" s="91">
        <v>78398.100000000006</v>
      </c>
      <c r="T5" s="257">
        <f t="shared" ref="T5:T9" si="5">+S5-R5</f>
        <v>112.20000000001164</v>
      </c>
      <c r="U5" s="91">
        <v>68990.899999999994</v>
      </c>
      <c r="V5" s="91">
        <v>75395.100000000006</v>
      </c>
      <c r="W5" s="257">
        <f t="shared" ref="W5:W9" si="6">+V5-U5</f>
        <v>6404.2000000000116</v>
      </c>
      <c r="X5" s="262">
        <f t="shared" ref="X5:X9" si="7">+E5+H5+K5+N5+Q5+T5+W5</f>
        <v>6519.7000000000262</v>
      </c>
    </row>
    <row r="6" spans="1:24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1437.48</v>
      </c>
      <c r="Q6" s="257">
        <f t="shared" si="4"/>
        <v>0</v>
      </c>
      <c r="R6" s="91">
        <v>1244.32</v>
      </c>
      <c r="S6" s="91">
        <v>1250.04</v>
      </c>
      <c r="T6" s="257">
        <f t="shared" si="5"/>
        <v>5.7200000000000273</v>
      </c>
      <c r="U6" s="91">
        <v>1178.32</v>
      </c>
      <c r="V6" s="91">
        <v>1297.1199999999999</v>
      </c>
      <c r="W6" s="257">
        <f t="shared" si="6"/>
        <v>118.79999999999995</v>
      </c>
      <c r="X6" s="262">
        <f t="shared" si="7"/>
        <v>124.51999999999998</v>
      </c>
    </row>
    <row r="7" spans="1:24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107462.39999999999</v>
      </c>
      <c r="G7" s="62">
        <v>107465.60000000001</v>
      </c>
      <c r="H7" s="91">
        <f t="shared" si="1"/>
        <v>3.2000000000116415</v>
      </c>
      <c r="I7" s="62">
        <v>116988.8</v>
      </c>
      <c r="J7" s="62">
        <v>116988.8</v>
      </c>
      <c r="K7" s="91">
        <f t="shared" si="2"/>
        <v>0</v>
      </c>
      <c r="L7" s="91">
        <v>124934.39999999999</v>
      </c>
      <c r="M7" s="91">
        <v>124934.39999999999</v>
      </c>
      <c r="N7" s="257">
        <f t="shared" si="3"/>
        <v>0</v>
      </c>
      <c r="O7" s="91">
        <v>126768</v>
      </c>
      <c r="P7" s="91">
        <v>126780.8</v>
      </c>
      <c r="Q7" s="257">
        <f t="shared" si="4"/>
        <v>12.80000000000291</v>
      </c>
      <c r="R7" s="91">
        <v>122976</v>
      </c>
      <c r="S7" s="91">
        <v>123222.39999999999</v>
      </c>
      <c r="T7" s="257">
        <f t="shared" si="5"/>
        <v>246.39999999999418</v>
      </c>
      <c r="U7" s="91">
        <v>115676.8</v>
      </c>
      <c r="V7" s="91">
        <v>128297.60000000001</v>
      </c>
      <c r="W7" s="257">
        <f t="shared" si="6"/>
        <v>12620.800000000003</v>
      </c>
      <c r="X7" s="262">
        <f t="shared" si="7"/>
        <v>12883.200000000012</v>
      </c>
    </row>
    <row r="8" spans="1:24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16814.400000000001</v>
      </c>
      <c r="P8" s="91">
        <v>16817.599999999999</v>
      </c>
      <c r="Q8" s="257">
        <f t="shared" si="4"/>
        <v>3.1999999999970896</v>
      </c>
      <c r="R8" s="91">
        <v>16616</v>
      </c>
      <c r="S8" s="91">
        <v>16654.400000000001</v>
      </c>
      <c r="T8" s="257">
        <f t="shared" si="5"/>
        <v>38.400000000001455</v>
      </c>
      <c r="U8" s="91">
        <v>15948.8</v>
      </c>
      <c r="V8" s="91">
        <v>17550.400000000001</v>
      </c>
      <c r="W8" s="257">
        <f t="shared" si="6"/>
        <v>1601.6000000000022</v>
      </c>
      <c r="X8" s="262">
        <f t="shared" si="7"/>
        <v>1643.2000000000007</v>
      </c>
    </row>
    <row r="9" spans="1:24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288.64</v>
      </c>
      <c r="S9" s="91">
        <v>290.56</v>
      </c>
      <c r="T9" s="259">
        <f t="shared" si="5"/>
        <v>1.9200000000000159</v>
      </c>
      <c r="U9" s="91">
        <v>254.72</v>
      </c>
      <c r="V9" s="91">
        <v>275.83999999999997</v>
      </c>
      <c r="W9" s="259">
        <f t="shared" si="6"/>
        <v>21.119999999999976</v>
      </c>
      <c r="X9" s="262">
        <f t="shared" si="7"/>
        <v>23.039999999999992</v>
      </c>
    </row>
    <row r="10" spans="1:24" x14ac:dyDescent="0.3">
      <c r="A10" s="260" t="s">
        <v>151</v>
      </c>
      <c r="B10" s="261"/>
      <c r="C10" s="364">
        <f>+SUM(C4:C9)</f>
        <v>964339.79999999981</v>
      </c>
      <c r="D10" s="364">
        <f t="shared" ref="D10:X10" si="8">+SUM(D4:D9)</f>
        <v>964344.19999999984</v>
      </c>
      <c r="E10" s="364">
        <f t="shared" si="8"/>
        <v>4.4000000000232831</v>
      </c>
      <c r="F10" s="364">
        <f t="shared" ref="F10" si="9">+SUM(F4:F9)</f>
        <v>891877.42000000016</v>
      </c>
      <c r="G10" s="364">
        <f t="shared" si="8"/>
        <v>891887.22000000009</v>
      </c>
      <c r="H10" s="364">
        <f t="shared" si="8"/>
        <v>9.7999999999883585</v>
      </c>
      <c r="I10" s="364">
        <f t="shared" ref="I10" si="10">+SUM(I4:I9)</f>
        <v>985948.75999999989</v>
      </c>
      <c r="J10" s="364">
        <f t="shared" si="8"/>
        <v>985948.75999999989</v>
      </c>
      <c r="K10" s="364">
        <f t="shared" si="8"/>
        <v>0</v>
      </c>
      <c r="L10" s="364">
        <f t="shared" ref="L10" si="11">+SUM(L4:L9)</f>
        <v>1003188.96</v>
      </c>
      <c r="M10" s="364">
        <f t="shared" si="8"/>
        <v>1003188.96</v>
      </c>
      <c r="N10" s="364">
        <f t="shared" si="8"/>
        <v>0</v>
      </c>
      <c r="O10" s="364">
        <f t="shared" si="8"/>
        <v>999501.22</v>
      </c>
      <c r="P10" s="364">
        <f t="shared" ref="P10:T10" si="12">+SUM(P4:P9)</f>
        <v>999544.72</v>
      </c>
      <c r="Q10" s="364">
        <f t="shared" si="12"/>
        <v>43.499999999956344</v>
      </c>
      <c r="R10" s="364">
        <f t="shared" si="12"/>
        <v>940080.26</v>
      </c>
      <c r="S10" s="364">
        <f t="shared" si="12"/>
        <v>941624.50000000012</v>
      </c>
      <c r="T10" s="364">
        <f t="shared" si="12"/>
        <v>1544.2399999999841</v>
      </c>
      <c r="U10" s="364">
        <f t="shared" ref="U10:W10" si="13">+SUM(U4:U9)</f>
        <v>867067.74</v>
      </c>
      <c r="V10" s="364">
        <f t="shared" si="13"/>
        <v>959120.86</v>
      </c>
      <c r="W10" s="364">
        <f t="shared" si="13"/>
        <v>92053.120000000112</v>
      </c>
      <c r="X10" s="364">
        <f t="shared" si="8"/>
        <v>93655.060000000056</v>
      </c>
    </row>
    <row r="11" spans="1:24" x14ac:dyDescent="0.3">
      <c r="C11" s="102"/>
      <c r="F11" s="102"/>
      <c r="I11" s="102"/>
    </row>
    <row r="12" spans="1:24" x14ac:dyDescent="0.3">
      <c r="X12" s="366"/>
    </row>
    <row r="14" spans="1:24" x14ac:dyDescent="0.3">
      <c r="Q14" s="102"/>
      <c r="T14" s="102"/>
      <c r="U14" s="102"/>
      <c r="V14" s="102"/>
      <c r="W14" s="102"/>
    </row>
  </sheetData>
  <mergeCells count="7">
    <mergeCell ref="U2:W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0"/>
  <sheetViews>
    <sheetView workbookViewId="0">
      <selection activeCell="C23" sqref="C23"/>
    </sheetView>
  </sheetViews>
  <sheetFormatPr defaultRowHeight="14.4" x14ac:dyDescent="0.3"/>
  <cols>
    <col min="1" max="1" width="50.6640625" bestFit="1" customWidth="1"/>
    <col min="3" max="3" width="14.33203125" customWidth="1"/>
    <col min="4" max="4" width="12.6640625" customWidth="1"/>
    <col min="5" max="5" width="11.5546875" customWidth="1"/>
  </cols>
  <sheetData>
    <row r="1" spans="1:5" x14ac:dyDescent="0.3">
      <c r="A1" t="s">
        <v>394</v>
      </c>
    </row>
    <row r="3" spans="1:5" x14ac:dyDescent="0.3">
      <c r="A3" s="266" t="s">
        <v>46</v>
      </c>
      <c r="B3" s="268" t="s">
        <v>208</v>
      </c>
      <c r="C3" s="267" t="s">
        <v>204</v>
      </c>
      <c r="D3" s="267" t="s">
        <v>205</v>
      </c>
      <c r="E3" s="267" t="s">
        <v>206</v>
      </c>
    </row>
    <row r="4" spans="1:5" x14ac:dyDescent="0.3">
      <c r="A4" s="263" t="s">
        <v>54</v>
      </c>
      <c r="B4" s="91">
        <v>2.2000000000000002</v>
      </c>
      <c r="C4" s="264">
        <v>749372.8</v>
      </c>
      <c r="D4" s="264">
        <v>750002</v>
      </c>
      <c r="E4" s="265">
        <f>+D4-C4</f>
        <v>629.19999999995343</v>
      </c>
    </row>
    <row r="5" spans="1:5" x14ac:dyDescent="0.3">
      <c r="A5" s="255" t="s">
        <v>92</v>
      </c>
      <c r="B5" s="60">
        <v>1.1000000000000001</v>
      </c>
      <c r="C5" s="106">
        <v>84348.000000000058</v>
      </c>
      <c r="D5" s="106">
        <v>84400.8</v>
      </c>
      <c r="E5" s="257">
        <f t="shared" ref="E5:E9" si="0">+D5-C5</f>
        <v>52.799999999944703</v>
      </c>
    </row>
    <row r="6" spans="1:5" x14ac:dyDescent="0.3">
      <c r="A6" s="255" t="s">
        <v>93</v>
      </c>
      <c r="B6" s="62">
        <v>0.44</v>
      </c>
      <c r="C6" s="106">
        <v>2534.84</v>
      </c>
      <c r="D6" s="106">
        <v>2534.84</v>
      </c>
      <c r="E6" s="257">
        <f t="shared" si="0"/>
        <v>0</v>
      </c>
    </row>
    <row r="7" spans="1:5" x14ac:dyDescent="0.3">
      <c r="A7" s="255" t="s">
        <v>58</v>
      </c>
      <c r="B7" s="62">
        <v>3.2</v>
      </c>
      <c r="C7" s="106">
        <v>112800</v>
      </c>
      <c r="D7" s="106">
        <v>112886.39999999999</v>
      </c>
      <c r="E7" s="257">
        <f t="shared" si="0"/>
        <v>86.399999999994179</v>
      </c>
    </row>
    <row r="8" spans="1:5" x14ac:dyDescent="0.3">
      <c r="A8" s="255" t="s">
        <v>94</v>
      </c>
      <c r="B8" s="62">
        <v>1.6</v>
      </c>
      <c r="C8" s="106">
        <v>12188.8</v>
      </c>
      <c r="D8" s="106">
        <v>12201.6</v>
      </c>
      <c r="E8" s="257">
        <f t="shared" si="0"/>
        <v>12.800000000001091</v>
      </c>
    </row>
    <row r="9" spans="1:5" x14ac:dyDescent="0.3">
      <c r="A9" s="256" t="s">
        <v>95</v>
      </c>
      <c r="B9" s="63">
        <v>0.64</v>
      </c>
      <c r="C9" s="258">
        <v>412.8</v>
      </c>
      <c r="D9" s="258">
        <v>412.8</v>
      </c>
      <c r="E9" s="259">
        <f t="shared" si="0"/>
        <v>0</v>
      </c>
    </row>
    <row r="10" spans="1:5" ht="15" x14ac:dyDescent="0.25">
      <c r="A10" s="260" t="s">
        <v>151</v>
      </c>
      <c r="B10" s="261"/>
      <c r="C10" s="262">
        <f>+SUM(C4:C9)</f>
        <v>961657.24000000011</v>
      </c>
      <c r="D10" s="262">
        <f t="shared" ref="D10:E10" si="1">+SUM(D4:D9)</f>
        <v>962438.44000000006</v>
      </c>
      <c r="E10" s="262">
        <f t="shared" si="1"/>
        <v>781.19999999989341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X66"/>
  <sheetViews>
    <sheetView zoomScaleNormal="10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A14" sqref="A14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34.44140625" style="1" customWidth="1"/>
    <col min="4" max="4" width="9.88671875" style="4" customWidth="1"/>
    <col min="5" max="5" width="14.33203125" style="4" customWidth="1" outlineLevel="1"/>
    <col min="6" max="6" width="12.441406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2" width="12.109375" style="1" customWidth="1" outlineLevel="1"/>
    <col min="13" max="14" width="13" style="1" customWidth="1" outlineLevel="1"/>
    <col min="15" max="15" width="12.33203125" style="1" bestFit="1" customWidth="1"/>
    <col min="16" max="17" width="12.33203125" style="1" customWidth="1"/>
    <col min="18" max="18" width="11.33203125" style="1" customWidth="1" outlineLevel="1"/>
    <col min="19" max="19" width="3.109375" style="1" customWidth="1"/>
    <col min="20" max="20" width="5.109375" style="1" customWidth="1"/>
    <col min="21" max="21" width="13.33203125" style="2" customWidth="1"/>
    <col min="22" max="22" width="11.33203125" style="2" bestFit="1" customWidth="1"/>
    <col min="23" max="23" width="11.6640625" style="1" customWidth="1"/>
    <col min="24" max="16384" width="8.88671875" style="1"/>
  </cols>
  <sheetData>
    <row r="1" spans="1:24" ht="15.6" customHeight="1" x14ac:dyDescent="0.3">
      <c r="A1" s="40" t="s">
        <v>195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"/>
    </row>
    <row r="2" spans="1:24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139"/>
      <c r="P2" s="2"/>
      <c r="Q2" s="2"/>
    </row>
    <row r="3" spans="1:24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4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44012.13</v>
      </c>
      <c r="F5" s="187">
        <f t="shared" si="0"/>
        <v>1968584.27</v>
      </c>
      <c r="G5" s="82">
        <f t="shared" si="0"/>
        <v>279536.99</v>
      </c>
      <c r="H5" s="82">
        <f t="shared" si="0"/>
        <v>46718.400000000009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0</v>
      </c>
      <c r="N5" s="19">
        <f>+N6+N18+N44</f>
        <v>189149.89000000004</v>
      </c>
      <c r="O5" s="113">
        <f>+SUM(E5:N5)</f>
        <v>2528001.6799999997</v>
      </c>
      <c r="P5" s="114">
        <f>+P6+P18+P44</f>
        <v>2319267.5963302753</v>
      </c>
      <c r="Q5" s="115">
        <f>+Q6+Q18+Q44</f>
        <v>208734.08366972505</v>
      </c>
      <c r="R5" s="197">
        <f>+R6+R18+R44</f>
        <v>44613.396809259262</v>
      </c>
      <c r="S5" s="71"/>
      <c r="T5" s="87"/>
      <c r="U5" s="135">
        <f>+U7+U18+U44</f>
        <v>1994174.5999999994</v>
      </c>
      <c r="W5" s="2"/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1">+E7+E11</f>
        <v>0</v>
      </c>
      <c r="F6" s="187">
        <f t="shared" si="1"/>
        <v>0</v>
      </c>
      <c r="G6" s="82">
        <f t="shared" si="1"/>
        <v>0</v>
      </c>
      <c r="H6" s="82">
        <f t="shared" si="1"/>
        <v>0</v>
      </c>
      <c r="I6" s="82">
        <f t="shared" si="1"/>
        <v>0</v>
      </c>
      <c r="J6" s="82">
        <f t="shared" si="1"/>
        <v>0</v>
      </c>
      <c r="K6" s="100">
        <f t="shared" si="1"/>
        <v>0</v>
      </c>
      <c r="L6" s="100">
        <f t="shared" si="1"/>
        <v>0</v>
      </c>
      <c r="M6" s="192">
        <f>+M7+M11</f>
        <v>0</v>
      </c>
      <c r="N6" s="19">
        <f>+N7+N11</f>
        <v>0</v>
      </c>
      <c r="O6" s="42">
        <f>+SUM(E6:N6)</f>
        <v>0</v>
      </c>
      <c r="P6" s="77">
        <f>+P7+P11</f>
        <v>0</v>
      </c>
      <c r="Q6" s="42">
        <f>+Q7+Q11</f>
        <v>0</v>
      </c>
      <c r="R6" s="44">
        <f>+R7+R11</f>
        <v>0</v>
      </c>
      <c r="T6" s="61"/>
      <c r="U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7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0</v>
      </c>
      <c r="J7" s="79">
        <f t="shared" si="2"/>
        <v>0</v>
      </c>
      <c r="K7" s="79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225">
        <f t="shared" si="3"/>
        <v>0</v>
      </c>
      <c r="P7" s="79">
        <f t="shared" si="3"/>
        <v>0</v>
      </c>
      <c r="Q7" s="79">
        <f t="shared" si="3"/>
        <v>0</v>
      </c>
      <c r="R7" s="240">
        <f t="shared" si="3"/>
        <v>0</v>
      </c>
      <c r="S7" s="71"/>
      <c r="T7" s="134"/>
      <c r="U7" s="105">
        <f>+SUM(U8:U17)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24">
        <f>+SUM(E8:N8)</f>
        <v>0</v>
      </c>
      <c r="P8" s="127">
        <f t="shared" ref="P8:P53" si="4">+O8/1.09</f>
        <v>0</v>
      </c>
      <c r="Q8" s="5">
        <f t="shared" ref="Q8:Q17" si="5">+O8-P8</f>
        <v>0</v>
      </c>
      <c r="R8" s="94">
        <f>+O8/D8</f>
        <v>0</v>
      </c>
      <c r="S8" s="71"/>
      <c r="T8" s="61"/>
      <c r="U8" s="13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6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24">
        <f>+SUM(E9:N9)</f>
        <v>0</v>
      </c>
      <c r="P9" s="127">
        <f t="shared" si="4"/>
        <v>0</v>
      </c>
      <c r="Q9" s="26">
        <f t="shared" si="5"/>
        <v>0</v>
      </c>
      <c r="R9" s="94">
        <f>+O9/D9</f>
        <v>0</v>
      </c>
      <c r="S9" s="71"/>
      <c r="T9" s="61">
        <v>1.75</v>
      </c>
      <c r="U9" s="13">
        <f>+R9*T9</f>
        <v>0</v>
      </c>
    </row>
    <row r="10" spans="1:24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26">
        <f>+SUM(E10:N10)</f>
        <v>0</v>
      </c>
      <c r="P10" s="26">
        <f t="shared" si="4"/>
        <v>0</v>
      </c>
      <c r="Q10" s="26">
        <f t="shared" si="5"/>
        <v>0</v>
      </c>
      <c r="R10" s="39">
        <f>O10/D10</f>
        <v>0</v>
      </c>
      <c r="S10" s="71"/>
      <c r="T10" s="107">
        <v>2.8</v>
      </c>
      <c r="U10" s="13">
        <f>+R10*T10</f>
        <v>0</v>
      </c>
      <c r="W10" s="138"/>
      <c r="X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L11" si="7">+SUM(E12:E17)</f>
        <v>0</v>
      </c>
      <c r="F11" s="84">
        <f t="shared" si="7"/>
        <v>0</v>
      </c>
      <c r="G11" s="84">
        <f t="shared" si="7"/>
        <v>0</v>
      </c>
      <c r="H11" s="84">
        <f t="shared" si="7"/>
        <v>0</v>
      </c>
      <c r="I11" s="84">
        <f t="shared" si="7"/>
        <v>0</v>
      </c>
      <c r="J11" s="74">
        <f t="shared" si="7"/>
        <v>0</v>
      </c>
      <c r="K11" s="101">
        <f t="shared" si="7"/>
        <v>0</v>
      </c>
      <c r="L11" s="101">
        <f t="shared" si="7"/>
        <v>0</v>
      </c>
      <c r="M11" s="101">
        <f t="shared" ref="M11:R11" si="8">+SUM(M12:M17)</f>
        <v>0</v>
      </c>
      <c r="N11" s="101">
        <f t="shared" si="8"/>
        <v>0</v>
      </c>
      <c r="O11" s="43">
        <f t="shared" si="8"/>
        <v>0</v>
      </c>
      <c r="P11" s="72">
        <f t="shared" si="8"/>
        <v>0</v>
      </c>
      <c r="Q11" s="43">
        <f t="shared" si="8"/>
        <v>0</v>
      </c>
      <c r="R11" s="45">
        <f t="shared" si="8"/>
        <v>0</v>
      </c>
      <c r="S11" s="71"/>
      <c r="T11" s="61"/>
      <c r="U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24">
        <f t="shared" ref="O12:O17" si="9">+SUM(E12:N12)</f>
        <v>0</v>
      </c>
      <c r="P12" s="127">
        <f t="shared" si="4"/>
        <v>0</v>
      </c>
      <c r="Q12" s="5">
        <f t="shared" si="5"/>
        <v>0</v>
      </c>
      <c r="R12" s="94">
        <f t="shared" ref="R12:R17" si="10">+O12/D12</f>
        <v>0</v>
      </c>
      <c r="S12" s="71"/>
      <c r="T12" s="61"/>
      <c r="U12" s="13"/>
      <c r="X12" s="104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24">
        <f t="shared" si="9"/>
        <v>0</v>
      </c>
      <c r="P13" s="127">
        <f t="shared" si="4"/>
        <v>0</v>
      </c>
      <c r="Q13" s="5">
        <f t="shared" si="5"/>
        <v>0</v>
      </c>
      <c r="R13" s="94">
        <f t="shared" si="10"/>
        <v>0</v>
      </c>
      <c r="S13" s="71"/>
      <c r="T13" s="107">
        <v>1.1000000000000001</v>
      </c>
      <c r="U13" s="13">
        <f t="shared" ref="U13:U14" si="11">+R13*T13</f>
        <v>0</v>
      </c>
      <c r="X13" s="104"/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24">
        <f t="shared" si="9"/>
        <v>0</v>
      </c>
      <c r="P14" s="127">
        <f t="shared" ref="P14:P16" si="12">+O14/1.09</f>
        <v>0</v>
      </c>
      <c r="Q14" s="5">
        <f t="shared" ref="Q14:Q16" si="13">+O14-P14</f>
        <v>0</v>
      </c>
      <c r="R14" s="94">
        <f t="shared" si="10"/>
        <v>0</v>
      </c>
      <c r="S14" s="71"/>
      <c r="T14" s="61">
        <v>1.76</v>
      </c>
      <c r="U14" s="13">
        <f t="shared" si="11"/>
        <v>0</v>
      </c>
      <c r="X14" s="104"/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4">
        <f t="shared" si="9"/>
        <v>0</v>
      </c>
      <c r="P15" s="127">
        <f t="shared" si="12"/>
        <v>0</v>
      </c>
      <c r="Q15" s="5">
        <f t="shared" si="13"/>
        <v>0</v>
      </c>
      <c r="R15" s="94">
        <f t="shared" si="10"/>
        <v>0</v>
      </c>
      <c r="S15" s="71"/>
      <c r="T15" s="61"/>
      <c r="U15" s="13"/>
      <c r="X15" s="104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24">
        <f t="shared" si="9"/>
        <v>0</v>
      </c>
      <c r="P16" s="127">
        <f t="shared" si="12"/>
        <v>0</v>
      </c>
      <c r="Q16" s="5">
        <f t="shared" si="13"/>
        <v>0</v>
      </c>
      <c r="R16" s="94">
        <f t="shared" si="10"/>
        <v>0</v>
      </c>
      <c r="S16" s="71"/>
      <c r="T16" s="61">
        <v>1.6</v>
      </c>
      <c r="U16" s="13">
        <f t="shared" ref="U16:U17" si="14">+R16*T16</f>
        <v>0</v>
      </c>
      <c r="X16" s="104"/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24">
        <f t="shared" si="9"/>
        <v>0</v>
      </c>
      <c r="P17" s="127">
        <f t="shared" si="4"/>
        <v>0</v>
      </c>
      <c r="Q17" s="5">
        <f t="shared" si="5"/>
        <v>0</v>
      </c>
      <c r="R17" s="94">
        <f t="shared" si="10"/>
        <v>0</v>
      </c>
      <c r="S17" s="71"/>
      <c r="T17" s="61">
        <v>2.56</v>
      </c>
      <c r="U17" s="13">
        <f t="shared" si="14"/>
        <v>0</v>
      </c>
      <c r="X17" s="104"/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43888.829999999994</v>
      </c>
      <c r="F18" s="231">
        <f t="shared" ref="F18:N18" si="15">+SUM(F19:F43)</f>
        <v>1959934.43</v>
      </c>
      <c r="G18" s="231">
        <f t="shared" si="15"/>
        <v>278249.46999999997</v>
      </c>
      <c r="H18" s="231">
        <f t="shared" si="15"/>
        <v>46511.140000000007</v>
      </c>
      <c r="I18" s="231">
        <f t="shared" si="15"/>
        <v>0</v>
      </c>
      <c r="J18" s="231">
        <f t="shared" si="15"/>
        <v>0</v>
      </c>
      <c r="K18" s="231">
        <f t="shared" si="15"/>
        <v>0</v>
      </c>
      <c r="L18" s="231">
        <f t="shared" si="15"/>
        <v>0</v>
      </c>
      <c r="M18" s="231">
        <f t="shared" si="15"/>
        <v>0</v>
      </c>
      <c r="N18" s="238">
        <f t="shared" si="15"/>
        <v>188438.80000000005</v>
      </c>
      <c r="O18" s="42">
        <f>+SUM(O19:O42)</f>
        <v>2517022.6700000018</v>
      </c>
      <c r="P18" s="82">
        <f t="shared" ref="P18:R18" si="16">+SUM(P19:P42)</f>
        <v>2309195.1100917431</v>
      </c>
      <c r="Q18" s="77">
        <f t="shared" si="16"/>
        <v>207827.55990825716</v>
      </c>
      <c r="R18" s="44">
        <f t="shared" si="16"/>
        <v>44071.496809259261</v>
      </c>
      <c r="S18" s="71"/>
      <c r="T18" s="61"/>
      <c r="U18" s="105">
        <f>+SUM(U19:U42)</f>
        <v>1986095.7099999995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28023.33</v>
      </c>
      <c r="F19" s="127">
        <v>1166846.67</v>
      </c>
      <c r="G19" s="127">
        <v>158170</v>
      </c>
      <c r="H19" s="127">
        <v>25020</v>
      </c>
      <c r="I19" s="127"/>
      <c r="J19" s="127"/>
      <c r="K19" s="127"/>
      <c r="L19" s="127"/>
      <c r="M19" s="127"/>
      <c r="N19" s="127">
        <v>94146.67</v>
      </c>
      <c r="O19" s="24">
        <f t="shared" ref="O19:O43" si="17">+SUM(E19:N19)</f>
        <v>1472206.67</v>
      </c>
      <c r="P19" s="127">
        <f t="shared" si="4"/>
        <v>1350648.3211009172</v>
      </c>
      <c r="Q19" s="24">
        <f>+O19-P19</f>
        <v>121558.34889908275</v>
      </c>
      <c r="R19" s="94">
        <f t="shared" ref="R19:R43" si="18">+O19/D19</f>
        <v>14722.066699999999</v>
      </c>
      <c r="S19" s="71"/>
      <c r="T19" s="61"/>
      <c r="U19" s="106"/>
      <c r="W19" s="102"/>
      <c r="X19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v>5260</v>
      </c>
      <c r="F20" s="127">
        <v>356081.67</v>
      </c>
      <c r="G20" s="127">
        <v>50678.33</v>
      </c>
      <c r="H20" s="127">
        <v>9986.67</v>
      </c>
      <c r="I20" s="127"/>
      <c r="J20" s="127"/>
      <c r="K20" s="127"/>
      <c r="L20" s="127"/>
      <c r="M20" s="127"/>
      <c r="N20" s="127">
        <v>6278.33</v>
      </c>
      <c r="O20" s="24">
        <f t="shared" si="17"/>
        <v>428285</v>
      </c>
      <c r="P20" s="127">
        <f t="shared" si="4"/>
        <v>392922.01834862382</v>
      </c>
      <c r="Q20" s="5">
        <f t="shared" ref="Q20:Q42" si="19">+O20-P20</f>
        <v>35362.981651376176</v>
      </c>
      <c r="R20" s="94">
        <f t="shared" si="18"/>
        <v>8565.7000000000007</v>
      </c>
      <c r="S20" s="71"/>
      <c r="T20" s="61">
        <v>50</v>
      </c>
      <c r="U20" s="13">
        <f t="shared" ref="U20:U21" si="20">+R20*T20</f>
        <v>428285.00000000006</v>
      </c>
      <c r="W20" s="102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584.67+6176</f>
        <v>6760.67</v>
      </c>
      <c r="F21" s="127">
        <f>14670.67+254370.67</f>
        <v>269041.34000000003</v>
      </c>
      <c r="G21" s="127">
        <f>1824+43180.67</f>
        <v>45004.67</v>
      </c>
      <c r="H21" s="127">
        <v>3770</v>
      </c>
      <c r="I21" s="2"/>
      <c r="J21" s="127"/>
      <c r="K21" s="127"/>
      <c r="L21" s="127"/>
      <c r="M21" s="127"/>
      <c r="N21" s="127">
        <f>363.33+27232.67</f>
        <v>27596</v>
      </c>
      <c r="O21" s="24">
        <f t="shared" si="17"/>
        <v>352172.68</v>
      </c>
      <c r="P21" s="127">
        <f t="shared" si="4"/>
        <v>323094.20183486235</v>
      </c>
      <c r="Q21" s="5">
        <f t="shared" si="19"/>
        <v>29078.47816513764</v>
      </c>
      <c r="R21" s="94">
        <f t="shared" si="18"/>
        <v>17608.633999999998</v>
      </c>
      <c r="S21" s="71"/>
      <c r="T21" s="61">
        <v>80</v>
      </c>
      <c r="U21" s="13">
        <f t="shared" si="20"/>
        <v>1408690.7199999997</v>
      </c>
      <c r="W21" s="102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v>3066</v>
      </c>
      <c r="F22" s="127">
        <v>132897</v>
      </c>
      <c r="G22" s="127">
        <v>19614</v>
      </c>
      <c r="H22" s="127">
        <v>4845</v>
      </c>
      <c r="I22" s="127"/>
      <c r="J22" s="127"/>
      <c r="K22" s="127"/>
      <c r="L22" s="127"/>
      <c r="M22" s="127"/>
      <c r="N22" s="127">
        <v>36909</v>
      </c>
      <c r="O22" s="24">
        <f t="shared" si="17"/>
        <v>197331</v>
      </c>
      <c r="P22" s="127">
        <f t="shared" si="4"/>
        <v>181037.61467889906</v>
      </c>
      <c r="Q22" s="5">
        <f t="shared" si="19"/>
        <v>16293.385321100941</v>
      </c>
      <c r="R22" s="94">
        <f t="shared" si="18"/>
        <v>2192.5666666666666</v>
      </c>
      <c r="S22" s="71"/>
      <c r="T22" s="61"/>
      <c r="U22" s="13"/>
      <c r="W22" s="102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v>106.5</v>
      </c>
      <c r="F23" s="127">
        <v>7401</v>
      </c>
      <c r="G23" s="127">
        <v>1689</v>
      </c>
      <c r="H23" s="127">
        <v>376.5</v>
      </c>
      <c r="I23" s="127"/>
      <c r="J23" s="127"/>
      <c r="K23" s="127"/>
      <c r="L23" s="127"/>
      <c r="M23" s="127"/>
      <c r="N23" s="127">
        <v>1392</v>
      </c>
      <c r="O23" s="24">
        <f t="shared" si="17"/>
        <v>10965</v>
      </c>
      <c r="P23" s="127">
        <f t="shared" si="4"/>
        <v>10059.633027522936</v>
      </c>
      <c r="Q23" s="5">
        <f t="shared" si="19"/>
        <v>905.36697247706434</v>
      </c>
      <c r="R23" s="94">
        <f t="shared" si="18"/>
        <v>243.66666666666666</v>
      </c>
      <c r="S23" s="71"/>
      <c r="T23" s="61">
        <v>45</v>
      </c>
      <c r="U23" s="13">
        <f t="shared" ref="U23:U24" si="21">+R23*T23</f>
        <v>10965</v>
      </c>
      <c r="W23" s="102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10.2+73.8</f>
        <v>84</v>
      </c>
      <c r="F24" s="127">
        <f>38.4+3006</f>
        <v>3044.4</v>
      </c>
      <c r="G24" s="127">
        <f>4.8+393</f>
        <v>397.8</v>
      </c>
      <c r="H24" s="127">
        <v>58.2</v>
      </c>
      <c r="I24" s="127"/>
      <c r="J24" s="127"/>
      <c r="K24" s="127"/>
      <c r="L24" s="127"/>
      <c r="M24" s="127"/>
      <c r="N24" s="127">
        <f>40.2+912</f>
        <v>952.2</v>
      </c>
      <c r="O24" s="24">
        <f t="shared" si="17"/>
        <v>4536.6000000000004</v>
      </c>
      <c r="P24" s="127">
        <f t="shared" si="4"/>
        <v>4162.0183486238529</v>
      </c>
      <c r="Q24" s="5">
        <f t="shared" si="19"/>
        <v>374.58165137614742</v>
      </c>
      <c r="R24" s="94">
        <f t="shared" si="18"/>
        <v>252.03333333333336</v>
      </c>
      <c r="S24" s="71"/>
      <c r="T24" s="61">
        <v>72</v>
      </c>
      <c r="U24" s="13">
        <f t="shared" si="21"/>
        <v>18146.400000000001</v>
      </c>
      <c r="W24" s="102"/>
    </row>
    <row r="25" spans="1:2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103.33</v>
      </c>
      <c r="F25" s="127">
        <v>4033.33</v>
      </c>
      <c r="G25" s="127">
        <v>206.68</v>
      </c>
      <c r="H25" s="127">
        <f>103.33+13.33</f>
        <v>116.66</v>
      </c>
      <c r="I25" s="127"/>
      <c r="J25" s="127"/>
      <c r="K25" s="127"/>
      <c r="L25" s="127"/>
      <c r="M25" s="127"/>
      <c r="N25" s="127">
        <v>4023.33</v>
      </c>
      <c r="O25" s="24">
        <f t="shared" si="17"/>
        <v>8483.33</v>
      </c>
      <c r="P25" s="127">
        <f t="shared" si="4"/>
        <v>7782.8715596330267</v>
      </c>
      <c r="Q25" s="5">
        <f t="shared" si="19"/>
        <v>700.45844036697326</v>
      </c>
      <c r="R25" s="94">
        <f t="shared" si="18"/>
        <v>28.277766666666665</v>
      </c>
      <c r="S25" s="71"/>
      <c r="T25" s="61"/>
      <c r="U25" s="13"/>
    </row>
    <row r="26" spans="1:2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4265</v>
      </c>
      <c r="G26" s="127">
        <v>443.33</v>
      </c>
      <c r="H26" s="127">
        <f>310+98.33+258.33</f>
        <v>666.66</v>
      </c>
      <c r="I26" s="127"/>
      <c r="J26" s="127"/>
      <c r="K26" s="127"/>
      <c r="L26" s="127"/>
      <c r="M26" s="127"/>
      <c r="N26" s="127">
        <v>706.67</v>
      </c>
      <c r="O26" s="24">
        <f t="shared" si="17"/>
        <v>6081.66</v>
      </c>
      <c r="P26" s="127">
        <f t="shared" si="4"/>
        <v>5579.5045871559623</v>
      </c>
      <c r="Q26" s="5">
        <f t="shared" si="19"/>
        <v>502.15541284403753</v>
      </c>
      <c r="R26" s="94">
        <f t="shared" si="18"/>
        <v>40.544399999999996</v>
      </c>
      <c r="S26" s="71"/>
      <c r="T26" s="61">
        <v>150</v>
      </c>
      <c r="U26" s="13">
        <f t="shared" ref="U26:U42" si="22">+R26*T26</f>
        <v>6081.66</v>
      </c>
    </row>
    <row r="27" spans="1:2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124+185.33</f>
        <v>309.33000000000004</v>
      </c>
      <c r="F27" s="127">
        <f>600+9472</f>
        <v>10072</v>
      </c>
      <c r="G27" s="127">
        <f>41.33+1397.33</f>
        <v>1438.6599999999999</v>
      </c>
      <c r="H27" s="127">
        <f>144.67+125.33+289.33</f>
        <v>559.32999999999993</v>
      </c>
      <c r="I27" s="127"/>
      <c r="J27" s="127"/>
      <c r="K27" s="127"/>
      <c r="L27" s="127"/>
      <c r="M27" s="127"/>
      <c r="N27" s="127">
        <f>186+6142.67</f>
        <v>6328.67</v>
      </c>
      <c r="O27" s="24">
        <f t="shared" si="17"/>
        <v>18707.989999999998</v>
      </c>
      <c r="P27" s="127">
        <f t="shared" si="4"/>
        <v>17163.293577981647</v>
      </c>
      <c r="Q27" s="5">
        <f t="shared" si="19"/>
        <v>1544.6964220183509</v>
      </c>
      <c r="R27" s="94">
        <f t="shared" si="18"/>
        <v>311.79983333333331</v>
      </c>
      <c r="S27" s="71"/>
      <c r="T27" s="61">
        <v>240</v>
      </c>
      <c r="U27" s="13">
        <f t="shared" si="22"/>
        <v>74831.959999999992</v>
      </c>
    </row>
    <row r="28" spans="1:24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/>
      <c r="F28" s="127">
        <v>453</v>
      </c>
      <c r="G28" s="127"/>
      <c r="H28" s="127">
        <f>15+93</f>
        <v>108</v>
      </c>
      <c r="I28" s="127"/>
      <c r="J28" s="127"/>
      <c r="K28" s="127"/>
      <c r="L28" s="127"/>
      <c r="M28" s="127"/>
      <c r="N28" s="127">
        <v>5364</v>
      </c>
      <c r="O28" s="24">
        <f t="shared" si="17"/>
        <v>5925</v>
      </c>
      <c r="P28" s="127">
        <f t="shared" si="4"/>
        <v>5435.779816513761</v>
      </c>
      <c r="Q28" s="5">
        <f t="shared" si="19"/>
        <v>489.22018348623897</v>
      </c>
      <c r="R28" s="94">
        <f t="shared" si="18"/>
        <v>21.944444444444443</v>
      </c>
      <c r="S28" s="71"/>
      <c r="T28" s="61"/>
      <c r="U28" s="13"/>
    </row>
    <row r="29" spans="1:24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/>
      <c r="F29" s="127">
        <v>139.5</v>
      </c>
      <c r="G29" s="127"/>
      <c r="H29" s="127">
        <v>46.5</v>
      </c>
      <c r="I29" s="127"/>
      <c r="J29" s="127"/>
      <c r="K29" s="127"/>
      <c r="L29" s="127"/>
      <c r="M29" s="127"/>
      <c r="N29" s="127">
        <v>39</v>
      </c>
      <c r="O29" s="24">
        <f t="shared" si="17"/>
        <v>225</v>
      </c>
      <c r="P29" s="127">
        <f t="shared" si="4"/>
        <v>206.42201834862385</v>
      </c>
      <c r="Q29" s="5">
        <f t="shared" si="19"/>
        <v>18.577981651376149</v>
      </c>
      <c r="R29" s="94">
        <f t="shared" si="18"/>
        <v>1.6666666666666667</v>
      </c>
      <c r="S29" s="71"/>
      <c r="T29" s="61">
        <v>135</v>
      </c>
      <c r="U29" s="13">
        <f t="shared" si="22"/>
        <v>225</v>
      </c>
    </row>
    <row r="30" spans="1:24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v>37.200000000000003</v>
      </c>
      <c r="F30" s="127">
        <v>320.39999999999998</v>
      </c>
      <c r="G30" s="127">
        <v>37.200000000000003</v>
      </c>
      <c r="H30" s="127">
        <v>18.600000000000001</v>
      </c>
      <c r="I30" s="127"/>
      <c r="J30" s="127"/>
      <c r="K30" s="127"/>
      <c r="L30" s="127"/>
      <c r="M30" s="127"/>
      <c r="N30" s="127">
        <f>1.8+561</f>
        <v>562.79999999999995</v>
      </c>
      <c r="O30" s="24">
        <f t="shared" si="17"/>
        <v>976.19999999999993</v>
      </c>
      <c r="P30" s="127">
        <f t="shared" si="4"/>
        <v>895.59633027522921</v>
      </c>
      <c r="Q30" s="5">
        <f t="shared" si="19"/>
        <v>80.603669724770725</v>
      </c>
      <c r="R30" s="94">
        <f t="shared" si="18"/>
        <v>18.077777777777776</v>
      </c>
      <c r="S30" s="71"/>
      <c r="T30" s="61">
        <v>216</v>
      </c>
      <c r="U30" s="13">
        <f t="shared" si="22"/>
        <v>3904.7999999999997</v>
      </c>
    </row>
    <row r="31" spans="1:2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/>
      <c r="F31" s="127">
        <v>413.33</v>
      </c>
      <c r="G31" s="127">
        <v>103.33</v>
      </c>
      <c r="H31" s="127">
        <v>206.67</v>
      </c>
      <c r="I31" s="127"/>
      <c r="J31" s="127"/>
      <c r="K31" s="127"/>
      <c r="L31" s="127"/>
      <c r="M31" s="127"/>
      <c r="N31" s="127">
        <v>206.67</v>
      </c>
      <c r="O31" s="24">
        <f t="shared" si="17"/>
        <v>929.99999999999989</v>
      </c>
      <c r="P31" s="127">
        <f t="shared" si="4"/>
        <v>853.21100917431181</v>
      </c>
      <c r="Q31" s="5">
        <f t="shared" si="19"/>
        <v>76.788990825688074</v>
      </c>
      <c r="R31" s="94">
        <f t="shared" si="18"/>
        <v>1.5499999999999998</v>
      </c>
      <c r="S31" s="71"/>
      <c r="T31" s="61"/>
      <c r="U31" s="13"/>
    </row>
    <row r="32" spans="1:2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460</v>
      </c>
      <c r="G32" s="127">
        <v>51.67</v>
      </c>
      <c r="H32" s="127">
        <f>51.67+51.67+51.67</f>
        <v>155.01</v>
      </c>
      <c r="I32" s="127"/>
      <c r="J32" s="127"/>
      <c r="K32" s="127"/>
      <c r="L32" s="127"/>
      <c r="M32" s="127"/>
      <c r="N32" s="127">
        <v>230</v>
      </c>
      <c r="O32" s="24">
        <f t="shared" si="17"/>
        <v>896.68000000000006</v>
      </c>
      <c r="P32" s="127">
        <f t="shared" si="4"/>
        <v>822.64220183486236</v>
      </c>
      <c r="Q32" s="5">
        <f t="shared" si="19"/>
        <v>74.037798165137701</v>
      </c>
      <c r="R32" s="94">
        <f t="shared" si="18"/>
        <v>2.9889333333333337</v>
      </c>
      <c r="S32" s="71"/>
      <c r="T32" s="61">
        <v>300</v>
      </c>
      <c r="U32" s="13">
        <f t="shared" si="22"/>
        <v>896.68000000000006</v>
      </c>
    </row>
    <row r="33" spans="1:2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/>
      <c r="F33" s="127">
        <f>103.33+1465.33</f>
        <v>1568.6599999999999</v>
      </c>
      <c r="G33" s="127">
        <f>38.67+165.33</f>
        <v>204</v>
      </c>
      <c r="H33" s="127">
        <f>41.33+82.67+20.67</f>
        <v>144.67000000000002</v>
      </c>
      <c r="I33" s="127"/>
      <c r="J33" s="127"/>
      <c r="K33" s="127"/>
      <c r="L33" s="127"/>
      <c r="M33" s="127"/>
      <c r="N33" s="127">
        <f>41.33+1591.33</f>
        <v>1632.6599999999999</v>
      </c>
      <c r="O33" s="24">
        <f t="shared" si="17"/>
        <v>3549.99</v>
      </c>
      <c r="P33" s="127">
        <f t="shared" si="4"/>
        <v>3256.8715596330271</v>
      </c>
      <c r="Q33" s="5">
        <f t="shared" si="19"/>
        <v>293.11844036697266</v>
      </c>
      <c r="R33" s="94">
        <f t="shared" si="18"/>
        <v>29.58325</v>
      </c>
      <c r="S33" s="71"/>
      <c r="T33" s="61">
        <v>480</v>
      </c>
      <c r="U33" s="13">
        <f t="shared" si="22"/>
        <v>14199.96</v>
      </c>
    </row>
    <row r="34" spans="1:2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279</v>
      </c>
      <c r="O34" s="24">
        <f t="shared" si="17"/>
        <v>279</v>
      </c>
      <c r="P34" s="127">
        <f t="shared" si="4"/>
        <v>255.96330275229357</v>
      </c>
      <c r="Q34" s="5">
        <f t="shared" si="19"/>
        <v>23.036697247706428</v>
      </c>
      <c r="R34" s="94">
        <f t="shared" si="18"/>
        <v>0.51666666666666672</v>
      </c>
      <c r="S34" s="71"/>
      <c r="T34" s="61"/>
      <c r="U34" s="13"/>
    </row>
    <row r="35" spans="1:2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24">
        <f t="shared" si="17"/>
        <v>0</v>
      </c>
      <c r="P35" s="127">
        <f t="shared" si="4"/>
        <v>0</v>
      </c>
      <c r="Q35" s="5">
        <f t="shared" si="19"/>
        <v>0</v>
      </c>
      <c r="R35" s="94">
        <f t="shared" si="18"/>
        <v>0</v>
      </c>
      <c r="S35" s="71"/>
      <c r="T35" s="61">
        <v>270</v>
      </c>
      <c r="U35" s="13">
        <f t="shared" si="22"/>
        <v>0</v>
      </c>
    </row>
    <row r="36" spans="1:2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37.200000000000003</v>
      </c>
      <c r="F36" s="127">
        <v>109.2</v>
      </c>
      <c r="G36" s="127">
        <v>37.200000000000003</v>
      </c>
      <c r="H36" s="127"/>
      <c r="I36" s="127"/>
      <c r="J36" s="127"/>
      <c r="K36" s="127"/>
      <c r="L36" s="127"/>
      <c r="M36" s="127"/>
      <c r="N36" s="127">
        <v>204.6</v>
      </c>
      <c r="O36" s="24">
        <f t="shared" si="17"/>
        <v>388.20000000000005</v>
      </c>
      <c r="P36" s="127">
        <f t="shared" si="4"/>
        <v>356.14678899082571</v>
      </c>
      <c r="Q36" s="5">
        <f t="shared" si="19"/>
        <v>32.053211009174333</v>
      </c>
      <c r="R36" s="94">
        <f t="shared" si="18"/>
        <v>3.594444444444445</v>
      </c>
      <c r="S36" s="71"/>
      <c r="T36" s="61">
        <v>432</v>
      </c>
      <c r="U36" s="13">
        <f t="shared" si="22"/>
        <v>1552.8000000000002</v>
      </c>
    </row>
    <row r="37" spans="1:2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/>
      <c r="F37" s="127">
        <v>103.33</v>
      </c>
      <c r="G37" s="127"/>
      <c r="H37" s="127">
        <v>103.33</v>
      </c>
      <c r="I37" s="127"/>
      <c r="J37" s="127"/>
      <c r="K37" s="127"/>
      <c r="L37" s="127"/>
      <c r="M37" s="127"/>
      <c r="N37" s="127">
        <v>103.33</v>
      </c>
      <c r="O37" s="24">
        <f t="shared" si="17"/>
        <v>309.99</v>
      </c>
      <c r="P37" s="127">
        <f t="shared" si="4"/>
        <v>284.39449541284404</v>
      </c>
      <c r="Q37" s="5">
        <f t="shared" si="19"/>
        <v>25.595504587155972</v>
      </c>
      <c r="R37" s="94">
        <f t="shared" si="18"/>
        <v>0.34443333333333337</v>
      </c>
      <c r="S37" s="71"/>
      <c r="T37" s="61"/>
      <c r="U37" s="13"/>
    </row>
    <row r="38" spans="1:2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/>
      <c r="F38" s="127">
        <v>103.33</v>
      </c>
      <c r="G38" s="127">
        <v>51.67</v>
      </c>
      <c r="H38" s="127">
        <v>103.33</v>
      </c>
      <c r="I38" s="127"/>
      <c r="J38" s="127"/>
      <c r="K38" s="127"/>
      <c r="L38" s="127"/>
      <c r="M38" s="127"/>
      <c r="N38" s="127"/>
      <c r="O38" s="24">
        <f t="shared" si="17"/>
        <v>258.33</v>
      </c>
      <c r="P38" s="127">
        <f t="shared" si="4"/>
        <v>236.99999999999997</v>
      </c>
      <c r="Q38" s="5">
        <f t="shared" si="19"/>
        <v>21.330000000000013</v>
      </c>
      <c r="R38" s="94">
        <f t="shared" si="18"/>
        <v>0.57406666666666661</v>
      </c>
      <c r="S38" s="71"/>
      <c r="T38" s="61">
        <v>450</v>
      </c>
      <c r="U38" s="13">
        <f t="shared" si="22"/>
        <v>258.33</v>
      </c>
    </row>
    <row r="39" spans="1:2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20.67+62</f>
        <v>82.67</v>
      </c>
      <c r="F39" s="127">
        <f>82.67+2294</f>
        <v>2376.67</v>
      </c>
      <c r="G39" s="127">
        <v>103.33</v>
      </c>
      <c r="H39" s="127">
        <f>20.67+20.67+20.67+81.33+62+20.67</f>
        <v>226.01</v>
      </c>
      <c r="I39" s="127"/>
      <c r="J39" s="127"/>
      <c r="K39" s="127"/>
      <c r="L39" s="127"/>
      <c r="M39" s="127"/>
      <c r="N39" s="127">
        <f>62+1198.67</f>
        <v>1260.67</v>
      </c>
      <c r="O39" s="24">
        <f t="shared" si="17"/>
        <v>4049.3500000000004</v>
      </c>
      <c r="P39" s="127">
        <f t="shared" si="4"/>
        <v>3715</v>
      </c>
      <c r="Q39" s="5">
        <f t="shared" si="19"/>
        <v>334.35000000000036</v>
      </c>
      <c r="R39" s="94">
        <f t="shared" si="18"/>
        <v>22.496388888888891</v>
      </c>
      <c r="S39" s="71"/>
      <c r="T39" s="61">
        <v>720</v>
      </c>
      <c r="U39" s="13">
        <f t="shared" si="22"/>
        <v>16197.400000000001</v>
      </c>
    </row>
    <row r="40" spans="1:2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24">
        <f t="shared" si="17"/>
        <v>0</v>
      </c>
      <c r="P40" s="127">
        <f t="shared" si="4"/>
        <v>0</v>
      </c>
      <c r="Q40" s="5">
        <f t="shared" si="19"/>
        <v>0</v>
      </c>
      <c r="R40" s="94">
        <f t="shared" si="18"/>
        <v>0</v>
      </c>
      <c r="S40" s="71"/>
      <c r="T40" s="61"/>
      <c r="U40" s="13"/>
    </row>
    <row r="41" spans="1:2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24">
        <f t="shared" si="17"/>
        <v>0</v>
      </c>
      <c r="P41" s="127">
        <f t="shared" si="4"/>
        <v>0</v>
      </c>
      <c r="Q41" s="5">
        <f t="shared" si="19"/>
        <v>0</v>
      </c>
      <c r="R41" s="94">
        <f t="shared" si="18"/>
        <v>0</v>
      </c>
      <c r="S41" s="71"/>
      <c r="T41" s="61">
        <v>405</v>
      </c>
      <c r="U41" s="13">
        <f t="shared" si="22"/>
        <v>0</v>
      </c>
    </row>
    <row r="42" spans="1:2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>
        <v>18.600000000000001</v>
      </c>
      <c r="F42" s="221">
        <v>204.6</v>
      </c>
      <c r="G42" s="221">
        <v>18.600000000000001</v>
      </c>
      <c r="H42" s="221"/>
      <c r="I42" s="221"/>
      <c r="J42" s="221"/>
      <c r="K42" s="221"/>
      <c r="L42" s="221"/>
      <c r="M42" s="221"/>
      <c r="N42" s="221">
        <f>18.6+204.6</f>
        <v>223.2</v>
      </c>
      <c r="O42" s="243">
        <f t="shared" si="17"/>
        <v>465</v>
      </c>
      <c r="P42" s="221">
        <f t="shared" si="4"/>
        <v>426.60550458715591</v>
      </c>
      <c r="Q42" s="26">
        <f t="shared" si="19"/>
        <v>38.394495412844094</v>
      </c>
      <c r="R42" s="244">
        <f t="shared" si="18"/>
        <v>2.8703703703703702</v>
      </c>
      <c r="S42" s="71"/>
      <c r="T42" s="61">
        <v>648</v>
      </c>
      <c r="U42" s="13">
        <f t="shared" si="22"/>
        <v>1860</v>
      </c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6">
        <f t="shared" si="17"/>
        <v>0</v>
      </c>
      <c r="P43" s="124">
        <f t="shared" ref="P43" si="23">+O43/1.09</f>
        <v>0</v>
      </c>
      <c r="Q43" s="6">
        <f t="shared" ref="Q43" si="24">+O43-P43</f>
        <v>0</v>
      </c>
      <c r="R43" s="22">
        <f t="shared" si="18"/>
        <v>0</v>
      </c>
      <c r="S43" s="71"/>
      <c r="T43" s="61">
        <v>649</v>
      </c>
      <c r="U43" s="13">
        <f t="shared" ref="U43" si="25">+R43*T43</f>
        <v>0</v>
      </c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123.3</v>
      </c>
      <c r="F44" s="82">
        <f>+SUM(F45:F53)</f>
        <v>8649.84</v>
      </c>
      <c r="G44" s="82">
        <f t="shared" ref="G44:R44" si="26">+SUM(G45:G53)</f>
        <v>1287.52</v>
      </c>
      <c r="H44" s="82">
        <f t="shared" si="26"/>
        <v>207.26</v>
      </c>
      <c r="I44" s="82">
        <f t="shared" si="26"/>
        <v>0</v>
      </c>
      <c r="J44" s="82">
        <f t="shared" si="26"/>
        <v>0</v>
      </c>
      <c r="K44" s="82">
        <f t="shared" si="26"/>
        <v>0</v>
      </c>
      <c r="L44" s="82">
        <f t="shared" si="26"/>
        <v>0</v>
      </c>
      <c r="M44" s="100">
        <f t="shared" si="26"/>
        <v>0</v>
      </c>
      <c r="N44" s="100">
        <f t="shared" si="26"/>
        <v>711.08999999999992</v>
      </c>
      <c r="O44" s="42">
        <f>+SUM(O45:O53)</f>
        <v>10979.009999999998</v>
      </c>
      <c r="P44" s="82">
        <f t="shared" si="26"/>
        <v>10072.48623853211</v>
      </c>
      <c r="Q44" s="77">
        <f t="shared" si="26"/>
        <v>906.52376146789072</v>
      </c>
      <c r="R44" s="44">
        <f t="shared" si="26"/>
        <v>541.9</v>
      </c>
      <c r="S44" s="71"/>
      <c r="T44" s="61"/>
      <c r="U44" s="105">
        <f>+SUM(U45:U61)</f>
        <v>8078.89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24">
        <f t="shared" ref="O45:O53" si="27">+SUM(E45:N45)</f>
        <v>0</v>
      </c>
      <c r="P45" s="127">
        <f t="shared" si="4"/>
        <v>0</v>
      </c>
      <c r="Q45" s="24">
        <f t="shared" ref="Q45:Q53" si="28">+O45-P45</f>
        <v>0</v>
      </c>
      <c r="R45" s="94">
        <f t="shared" ref="R45:R53" si="29">+O45/D45</f>
        <v>0</v>
      </c>
      <c r="S45" s="71"/>
      <c r="T45" s="61"/>
      <c r="U45" s="13"/>
      <c r="W45"/>
      <c r="X45"/>
    </row>
    <row r="46" spans="1:2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24">
        <f t="shared" si="27"/>
        <v>0</v>
      </c>
      <c r="P46" s="127">
        <f t="shared" si="4"/>
        <v>0</v>
      </c>
      <c r="Q46" s="5">
        <f t="shared" si="28"/>
        <v>0</v>
      </c>
      <c r="R46" s="94">
        <f t="shared" si="29"/>
        <v>0</v>
      </c>
      <c r="S46" s="71"/>
      <c r="T46" s="61">
        <v>6</v>
      </c>
      <c r="U46" s="13">
        <f t="shared" ref="U46:U47" si="30">+R46*T46</f>
        <v>0</v>
      </c>
    </row>
    <row r="47" spans="1:2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24">
        <f t="shared" si="27"/>
        <v>0</v>
      </c>
      <c r="P47" s="127">
        <f t="shared" si="4"/>
        <v>0</v>
      </c>
      <c r="Q47" s="5">
        <f t="shared" si="28"/>
        <v>0</v>
      </c>
      <c r="R47" s="94">
        <f t="shared" si="29"/>
        <v>0</v>
      </c>
      <c r="S47" s="71"/>
      <c r="T47" s="61">
        <v>9.6</v>
      </c>
      <c r="U47" s="13">
        <f t="shared" si="30"/>
        <v>0</v>
      </c>
    </row>
    <row r="48" spans="1:2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/>
      <c r="F48" s="127">
        <v>581</v>
      </c>
      <c r="G48" s="127">
        <v>77</v>
      </c>
      <c r="H48" s="127">
        <v>14</v>
      </c>
      <c r="I48" s="127"/>
      <c r="J48" s="127"/>
      <c r="K48" s="127"/>
      <c r="L48" s="127"/>
      <c r="M48" s="127"/>
      <c r="N48" s="127">
        <v>21</v>
      </c>
      <c r="O48" s="24">
        <f t="shared" si="27"/>
        <v>693</v>
      </c>
      <c r="P48" s="127">
        <f t="shared" si="4"/>
        <v>635.77981651376138</v>
      </c>
      <c r="Q48" s="5">
        <f t="shared" si="28"/>
        <v>57.220183486238625</v>
      </c>
      <c r="R48" s="94">
        <f t="shared" si="29"/>
        <v>33</v>
      </c>
      <c r="S48" s="71"/>
      <c r="T48" s="61"/>
      <c r="U48" s="13"/>
      <c r="W48" s="2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31.5</v>
      </c>
      <c r="G49" s="127">
        <v>3.5</v>
      </c>
      <c r="H49" s="127">
        <v>3.5</v>
      </c>
      <c r="I49" s="127"/>
      <c r="J49" s="127"/>
      <c r="K49" s="127"/>
      <c r="L49" s="127"/>
      <c r="M49" s="127"/>
      <c r="N49" s="127"/>
      <c r="O49" s="24">
        <f t="shared" si="27"/>
        <v>38.5</v>
      </c>
      <c r="P49" s="127">
        <f t="shared" si="4"/>
        <v>35.321100917431188</v>
      </c>
      <c r="Q49" s="5">
        <f t="shared" si="28"/>
        <v>3.1788990825688117</v>
      </c>
      <c r="R49" s="94">
        <f t="shared" si="29"/>
        <v>3.6666666666666665</v>
      </c>
      <c r="S49" s="71"/>
      <c r="T49" s="61">
        <v>10.5</v>
      </c>
      <c r="U49" s="13">
        <f t="shared" ref="U49:U50" si="31">+R49*T49</f>
        <v>38.5</v>
      </c>
      <c r="W49" s="2"/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8.4+4.2</f>
        <v>12.600000000000001</v>
      </c>
      <c r="F50" s="127">
        <f>7+382.2</f>
        <v>389.2</v>
      </c>
      <c r="G50" s="127">
        <v>33.6</v>
      </c>
      <c r="H50" s="127">
        <v>2.8</v>
      </c>
      <c r="I50" s="127"/>
      <c r="J50" s="127"/>
      <c r="K50" s="127"/>
      <c r="L50" s="127"/>
      <c r="M50" s="127"/>
      <c r="N50" s="127">
        <v>71.400000000000006</v>
      </c>
      <c r="O50" s="24">
        <f t="shared" si="27"/>
        <v>509.6</v>
      </c>
      <c r="P50" s="127">
        <f t="shared" si="4"/>
        <v>467.52293577981652</v>
      </c>
      <c r="Q50" s="5">
        <f t="shared" si="28"/>
        <v>42.077064220183502</v>
      </c>
      <c r="R50" s="94">
        <f t="shared" si="29"/>
        <v>121.33333333333333</v>
      </c>
      <c r="S50" s="71"/>
      <c r="T50" s="61">
        <v>16.8</v>
      </c>
      <c r="U50" s="13">
        <f t="shared" si="31"/>
        <v>2038.4</v>
      </c>
      <c r="W50" s="2"/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98.4</v>
      </c>
      <c r="F51" s="127">
        <v>6252.5</v>
      </c>
      <c r="G51" s="127">
        <v>910.2</v>
      </c>
      <c r="H51" s="127">
        <v>114.8</v>
      </c>
      <c r="I51" s="127"/>
      <c r="J51" s="127"/>
      <c r="K51" s="127"/>
      <c r="L51" s="127"/>
      <c r="M51" s="127"/>
      <c r="N51" s="127">
        <v>364.9</v>
      </c>
      <c r="O51" s="24">
        <f t="shared" si="27"/>
        <v>7740.7999999999993</v>
      </c>
      <c r="P51" s="127">
        <f t="shared" si="4"/>
        <v>7101.6513761467877</v>
      </c>
      <c r="Q51" s="5">
        <f t="shared" si="28"/>
        <v>639.14862385321157</v>
      </c>
      <c r="R51" s="94">
        <f t="shared" si="29"/>
        <v>188.79999999999998</v>
      </c>
      <c r="S51" s="71"/>
      <c r="T51" s="61"/>
      <c r="U51" s="13"/>
      <c r="W51" s="2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4.0999999999999996</v>
      </c>
      <c r="F52" s="123">
        <v>463.3</v>
      </c>
      <c r="G52" s="123">
        <v>118.9</v>
      </c>
      <c r="H52" s="123">
        <v>32.799999999999997</v>
      </c>
      <c r="I52" s="123"/>
      <c r="J52" s="123"/>
      <c r="K52" s="123"/>
      <c r="L52" s="127"/>
      <c r="M52" s="127"/>
      <c r="N52" s="123">
        <v>43.05</v>
      </c>
      <c r="O52" s="24">
        <f t="shared" si="27"/>
        <v>662.15</v>
      </c>
      <c r="P52" s="127">
        <f t="shared" si="4"/>
        <v>607.47706422018337</v>
      </c>
      <c r="Q52" s="5">
        <f t="shared" si="28"/>
        <v>54.672935779816612</v>
      </c>
      <c r="R52" s="94">
        <f t="shared" si="29"/>
        <v>32.299999999999997</v>
      </c>
      <c r="S52" s="71"/>
      <c r="T52" s="61">
        <v>20.5</v>
      </c>
      <c r="U52" s="13">
        <f t="shared" ref="U52:U53" si="32">+R52*T52</f>
        <v>662.15</v>
      </c>
      <c r="W52" s="2"/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3.28+4.92</f>
        <v>8.1999999999999993</v>
      </c>
      <c r="F53" s="199">
        <f>43.46+888.88</f>
        <v>932.34</v>
      </c>
      <c r="G53" s="199">
        <v>144.32</v>
      </c>
      <c r="H53" s="199">
        <v>39.36</v>
      </c>
      <c r="I53" s="199"/>
      <c r="J53" s="199"/>
      <c r="K53" s="199"/>
      <c r="L53" s="199"/>
      <c r="M53" s="148"/>
      <c r="N53" s="199">
        <v>210.74</v>
      </c>
      <c r="O53" s="6">
        <f t="shared" si="27"/>
        <v>1334.96</v>
      </c>
      <c r="P53" s="140">
        <f t="shared" si="4"/>
        <v>1224.7339449541284</v>
      </c>
      <c r="Q53" s="6">
        <f t="shared" si="28"/>
        <v>110.22605504587159</v>
      </c>
      <c r="R53" s="22">
        <f t="shared" si="29"/>
        <v>162.80000000000001</v>
      </c>
      <c r="S53" s="71"/>
      <c r="T53" s="61">
        <v>32.799999999999997</v>
      </c>
      <c r="U53" s="13">
        <f t="shared" si="32"/>
        <v>5339.84</v>
      </c>
      <c r="W53" s="2"/>
    </row>
    <row r="54" spans="1:23" x14ac:dyDescent="0.25">
      <c r="F54" s="2"/>
      <c r="G54" s="2"/>
      <c r="H54" s="2"/>
      <c r="I54" s="2"/>
      <c r="J54" s="2"/>
      <c r="K54" s="2"/>
      <c r="L54" s="2"/>
      <c r="O54" s="2"/>
      <c r="P54" s="2"/>
      <c r="Q54" s="2"/>
      <c r="R54" s="2"/>
    </row>
    <row r="66" spans="2:2" x14ac:dyDescent="0.25">
      <c r="B66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X74"/>
  <sheetViews>
    <sheetView zoomScaleNormal="100" workbookViewId="0">
      <pane xSplit="4" ySplit="5" topLeftCell="L6" activePane="bottomRight" state="frozen"/>
      <selection pane="topRight" activeCell="E1" sqref="E1"/>
      <selection pane="bottomLeft" activeCell="A6" sqref="A6"/>
      <selection pane="bottomRight" activeCell="C24" sqref="C24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1093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4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24" s="141" customFormat="1" ht="22.2" customHeight="1" x14ac:dyDescent="0.3">
      <c r="A2" s="40" t="s">
        <v>196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"/>
      <c r="P2" s="1"/>
      <c r="Q2" s="1"/>
      <c r="R2" s="1"/>
      <c r="S2" s="1"/>
      <c r="T2" s="1"/>
      <c r="U2" s="2"/>
      <c r="V2" s="1"/>
      <c r="X2" s="1"/>
    </row>
    <row r="3" spans="1:24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3"/>
      <c r="Q3" s="1"/>
      <c r="R3" s="3"/>
      <c r="S3" s="1"/>
      <c r="T3" s="1"/>
      <c r="U3" s="2"/>
      <c r="V3" s="1"/>
      <c r="X3" s="1"/>
    </row>
    <row r="4" spans="1:24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80" t="s">
        <v>178</v>
      </c>
      <c r="O4" s="590" t="s">
        <v>43</v>
      </c>
      <c r="P4" s="590" t="s">
        <v>44</v>
      </c>
      <c r="Q4" s="590" t="s">
        <v>41</v>
      </c>
      <c r="R4" s="590" t="s">
        <v>149</v>
      </c>
      <c r="S4" s="1"/>
      <c r="T4" s="61"/>
      <c r="U4" s="584" t="s">
        <v>148</v>
      </c>
      <c r="V4" s="1"/>
      <c r="X4" s="1"/>
    </row>
    <row r="5" spans="1:24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207</v>
      </c>
      <c r="M5" s="575"/>
      <c r="N5" s="581"/>
      <c r="O5" s="591"/>
      <c r="P5" s="592"/>
      <c r="Q5" s="592"/>
      <c r="R5" s="592"/>
      <c r="S5" s="1"/>
      <c r="T5" s="87"/>
      <c r="U5" s="585"/>
      <c r="V5" s="1"/>
      <c r="X5" s="1"/>
    </row>
    <row r="6" spans="1:24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L6" si="0">+E7+E19+E45</f>
        <v>105898.78</v>
      </c>
      <c r="F6" s="82">
        <f t="shared" si="0"/>
        <v>4620013.6400000006</v>
      </c>
      <c r="G6" s="82">
        <f t="shared" si="0"/>
        <v>704556.54</v>
      </c>
      <c r="H6" s="82">
        <f t="shared" si="0"/>
        <v>94907.65</v>
      </c>
      <c r="I6" s="82">
        <f t="shared" si="0"/>
        <v>651414.4</v>
      </c>
      <c r="J6" s="187">
        <f t="shared" si="0"/>
        <v>1021317.15</v>
      </c>
      <c r="K6" s="187">
        <f t="shared" si="0"/>
        <v>961641.78</v>
      </c>
      <c r="L6" s="187">
        <f t="shared" si="0"/>
        <v>781.19999999989341</v>
      </c>
      <c r="M6" s="187">
        <f t="shared" ref="M6:R6" si="1">+M7+M19+M45</f>
        <v>34</v>
      </c>
      <c r="N6" s="19">
        <f t="shared" si="1"/>
        <v>446566.86</v>
      </c>
      <c r="O6" s="42">
        <f t="shared" si="1"/>
        <v>8607132</v>
      </c>
      <c r="P6" s="42">
        <f t="shared" si="1"/>
        <v>7896451.3761467878</v>
      </c>
      <c r="Q6" s="42">
        <f t="shared" si="1"/>
        <v>710680.62385321176</v>
      </c>
      <c r="R6" s="42">
        <f t="shared" si="1"/>
        <v>2225510.7333499999</v>
      </c>
      <c r="S6" s="71"/>
      <c r="T6" s="87"/>
      <c r="U6" s="135">
        <f>+U8+U19+U45</f>
        <v>4881205.5199999996</v>
      </c>
      <c r="V6" s="1"/>
      <c r="X6" s="1"/>
    </row>
    <row r="7" spans="1:24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L7" si="2">+E8+E12</f>
        <v>30879.38</v>
      </c>
      <c r="F7" s="82">
        <f t="shared" si="2"/>
        <v>1497930.26</v>
      </c>
      <c r="G7" s="82">
        <f t="shared" si="2"/>
        <v>217534.92</v>
      </c>
      <c r="H7" s="82">
        <f t="shared" si="2"/>
        <v>31393.399999999998</v>
      </c>
      <c r="I7" s="82">
        <f t="shared" si="2"/>
        <v>651414.4</v>
      </c>
      <c r="J7" s="187">
        <f t="shared" si="2"/>
        <v>1021317.15</v>
      </c>
      <c r="K7" s="187">
        <f t="shared" si="2"/>
        <v>961641.78</v>
      </c>
      <c r="L7" s="187">
        <f t="shared" si="2"/>
        <v>781.19999999989341</v>
      </c>
      <c r="M7" s="187">
        <f t="shared" ref="M7:R7" si="3">+M8+M12</f>
        <v>22</v>
      </c>
      <c r="N7" s="19">
        <f t="shared" si="3"/>
        <v>163510.34</v>
      </c>
      <c r="O7" s="42">
        <f t="shared" si="3"/>
        <v>4576424.83</v>
      </c>
      <c r="P7" s="42">
        <f t="shared" si="3"/>
        <v>4198554.889908256</v>
      </c>
      <c r="Q7" s="42">
        <f t="shared" si="3"/>
        <v>377869.94009174348</v>
      </c>
      <c r="R7" s="44">
        <f t="shared" si="3"/>
        <v>2125220.9999999995</v>
      </c>
      <c r="S7" s="1"/>
      <c r="T7" s="61"/>
      <c r="U7" s="13"/>
      <c r="V7" s="1"/>
      <c r="X7" s="1"/>
    </row>
    <row r="8" spans="1:24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4">+SUM(E9:E11)</f>
        <v>0</v>
      </c>
      <c r="F8" s="219">
        <f t="shared" si="4"/>
        <v>0</v>
      </c>
      <c r="G8" s="79">
        <f t="shared" si="4"/>
        <v>0</v>
      </c>
      <c r="H8" s="79">
        <f t="shared" si="4"/>
        <v>0</v>
      </c>
      <c r="I8" s="79">
        <f t="shared" si="4"/>
        <v>651414.4</v>
      </c>
      <c r="J8" s="79">
        <f t="shared" si="4"/>
        <v>1021317.15</v>
      </c>
      <c r="K8" s="79">
        <f t="shared" si="4"/>
        <v>0</v>
      </c>
      <c r="L8" s="79">
        <f t="shared" si="4"/>
        <v>0</v>
      </c>
      <c r="M8" s="79">
        <f t="shared" ref="M8:R8" si="5">+SUM(M9:M11)</f>
        <v>0</v>
      </c>
      <c r="N8" s="79">
        <f t="shared" si="5"/>
        <v>0</v>
      </c>
      <c r="O8" s="43">
        <f t="shared" si="5"/>
        <v>1672731.55</v>
      </c>
      <c r="P8" s="43">
        <f t="shared" si="5"/>
        <v>1534616.1009174311</v>
      </c>
      <c r="Q8" s="43">
        <f t="shared" si="5"/>
        <v>138115.44908256896</v>
      </c>
      <c r="R8" s="45">
        <f t="shared" si="5"/>
        <v>603759</v>
      </c>
      <c r="S8" s="71"/>
      <c r="T8" s="134"/>
      <c r="U8" s="105">
        <f>+SUM(U9:U18)</f>
        <v>942507.06999999983</v>
      </c>
      <c r="W8" s="138"/>
    </row>
    <row r="9" spans="1:24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3">
        <v>480847.5</v>
      </c>
      <c r="J9" s="33">
        <f>739543+24230.5</f>
        <v>763773.5</v>
      </c>
      <c r="K9" s="36"/>
      <c r="L9" s="36"/>
      <c r="M9" s="36"/>
      <c r="N9" s="36"/>
      <c r="O9" s="5">
        <f>+SUM(E9:N9)</f>
        <v>1244621</v>
      </c>
      <c r="P9" s="5">
        <f t="shared" ref="P9:P11" si="6">+O9/1.09</f>
        <v>1141854.1284403668</v>
      </c>
      <c r="Q9" s="5">
        <f t="shared" ref="Q9:Q11" si="7">+O9-P9</f>
        <v>102766.87155963317</v>
      </c>
      <c r="R9" s="21">
        <f>O9/D9</f>
        <v>355606</v>
      </c>
      <c r="S9" s="71"/>
      <c r="T9" s="61"/>
      <c r="U9" s="13"/>
      <c r="V9" s="2"/>
      <c r="X9" s="1"/>
    </row>
    <row r="10" spans="1:24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8">+D9*0.5</f>
        <v>1.75</v>
      </c>
      <c r="E10" s="122"/>
      <c r="F10" s="17"/>
      <c r="G10" s="13"/>
      <c r="H10" s="13"/>
      <c r="I10" s="13">
        <v>167625.5</v>
      </c>
      <c r="J10" s="33">
        <f>245390.25+10990</f>
        <v>256380.25</v>
      </c>
      <c r="K10" s="143"/>
      <c r="L10" s="143"/>
      <c r="M10" s="143"/>
      <c r="N10" s="143"/>
      <c r="O10" s="5">
        <f>+SUM(E10:N10)</f>
        <v>424005.75</v>
      </c>
      <c r="P10" s="6">
        <f t="shared" si="6"/>
        <v>388996.10091743118</v>
      </c>
      <c r="Q10" s="6">
        <f t="shared" si="7"/>
        <v>35009.649082568823</v>
      </c>
      <c r="R10" s="22">
        <f>O10/D10</f>
        <v>242289</v>
      </c>
      <c r="S10" s="71"/>
      <c r="T10" s="61">
        <v>1.75</v>
      </c>
      <c r="U10" s="13">
        <f>+R10*T10</f>
        <v>424005.75</v>
      </c>
      <c r="V10" s="1"/>
      <c r="X10" s="1"/>
    </row>
    <row r="11" spans="1:24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14">
        <v>2941.4</v>
      </c>
      <c r="J11" s="2">
        <f>1033.2+130.2</f>
        <v>1163.4000000000001</v>
      </c>
      <c r="K11" s="144"/>
      <c r="L11" s="144"/>
      <c r="M11" s="144"/>
      <c r="N11" s="144"/>
      <c r="O11" s="26">
        <f>+SUM(E11:N11)</f>
        <v>4104.8</v>
      </c>
      <c r="P11" s="26">
        <f t="shared" si="6"/>
        <v>3765.8715596330276</v>
      </c>
      <c r="Q11" s="26">
        <f t="shared" si="7"/>
        <v>338.92844036697261</v>
      </c>
      <c r="R11" s="39">
        <f>O11/D11</f>
        <v>5864.0000000000009</v>
      </c>
      <c r="S11" s="71"/>
      <c r="T11" s="107">
        <v>2.8</v>
      </c>
      <c r="U11" s="13">
        <f>+R11*T11</f>
        <v>16419.2</v>
      </c>
      <c r="V11" s="2"/>
      <c r="W11" s="138"/>
      <c r="X11" s="2"/>
    </row>
    <row r="12" spans="1:24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09">
        <f t="shared" ref="E12:R12" si="9">+SUM(E13:E18)</f>
        <v>30879.38</v>
      </c>
      <c r="F12" s="84">
        <f t="shared" si="9"/>
        <v>1497930.26</v>
      </c>
      <c r="G12" s="84">
        <f t="shared" si="9"/>
        <v>217534.92</v>
      </c>
      <c r="H12" s="84">
        <f t="shared" si="9"/>
        <v>31393.399999999998</v>
      </c>
      <c r="I12" s="84">
        <f t="shared" si="9"/>
        <v>0</v>
      </c>
      <c r="J12" s="74">
        <f t="shared" si="9"/>
        <v>0</v>
      </c>
      <c r="K12" s="101">
        <f t="shared" si="9"/>
        <v>961641.78</v>
      </c>
      <c r="L12" s="101">
        <f t="shared" si="9"/>
        <v>781.19999999989341</v>
      </c>
      <c r="M12" s="101">
        <f t="shared" si="9"/>
        <v>22</v>
      </c>
      <c r="N12" s="101">
        <f t="shared" si="9"/>
        <v>163510.34</v>
      </c>
      <c r="O12" s="43">
        <f t="shared" si="9"/>
        <v>2903693.28</v>
      </c>
      <c r="P12" s="43">
        <f t="shared" si="9"/>
        <v>2663938.7889908254</v>
      </c>
      <c r="Q12" s="43">
        <f t="shared" si="9"/>
        <v>239754.4910091745</v>
      </c>
      <c r="R12" s="45">
        <f t="shared" si="9"/>
        <v>1521461.9999999995</v>
      </c>
      <c r="S12" s="71"/>
      <c r="T12" s="61"/>
      <c r="U12" s="13"/>
      <c r="V12" s="1"/>
      <c r="X12" s="1"/>
    </row>
    <row r="13" spans="1:24" x14ac:dyDescent="0.25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24791.8</v>
      </c>
      <c r="F13" s="13">
        <v>1158502.3999999999</v>
      </c>
      <c r="G13" s="13">
        <v>161953</v>
      </c>
      <c r="H13" s="13">
        <v>23821.599999999999</v>
      </c>
      <c r="I13" s="13"/>
      <c r="J13" s="33"/>
      <c r="K13" s="33">
        <v>755629.6</v>
      </c>
      <c r="L13" s="33">
        <v>629.19999999995343</v>
      </c>
      <c r="M13" s="33">
        <v>22</v>
      </c>
      <c r="N13" s="127">
        <v>145228.6</v>
      </c>
      <c r="O13" s="5">
        <f t="shared" ref="O13:O18" si="10">+SUM(E13:N13)</f>
        <v>2270578.1999999997</v>
      </c>
      <c r="P13" s="5">
        <f t="shared" ref="P13:P18" si="11">+O13/1.09</f>
        <v>2083099.2660550454</v>
      </c>
      <c r="Q13" s="5">
        <f t="shared" ref="Q13:Q18" si="12">+O13-P13</f>
        <v>187478.9339449543</v>
      </c>
      <c r="R13" s="21">
        <f t="shared" ref="R13:R18" si="13">O13/D13</f>
        <v>1032080.9999999998</v>
      </c>
      <c r="S13" s="2"/>
      <c r="T13" s="61"/>
      <c r="U13" s="13"/>
    </row>
    <row r="14" spans="1:24" x14ac:dyDescent="0.25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5580.3</v>
      </c>
      <c r="F14" s="13">
        <v>312931.3</v>
      </c>
      <c r="G14" s="13">
        <v>50503.199999999997</v>
      </c>
      <c r="H14" s="13">
        <v>7092.8</v>
      </c>
      <c r="I14" s="13"/>
      <c r="J14" s="33"/>
      <c r="K14" s="33">
        <v>74534.899999999994</v>
      </c>
      <c r="L14" s="33">
        <v>52.799999999944703</v>
      </c>
      <c r="M14" s="33"/>
      <c r="N14" s="127">
        <v>8900.1</v>
      </c>
      <c r="O14" s="5">
        <f t="shared" si="10"/>
        <v>459595.39999999991</v>
      </c>
      <c r="P14" s="5">
        <f t="shared" ref="P14:P17" si="14">+O14/1.09</f>
        <v>421647.15596330265</v>
      </c>
      <c r="Q14" s="5">
        <f t="shared" ref="Q14:Q17" si="15">+O14-P14</f>
        <v>37948.244036697259</v>
      </c>
      <c r="R14" s="21">
        <f t="shared" si="13"/>
        <v>417813.99999999988</v>
      </c>
      <c r="S14" s="71"/>
      <c r="T14" s="107">
        <v>1.1000000000000001</v>
      </c>
      <c r="U14" s="13">
        <f t="shared" ref="U14:U15" si="16">+R14*T14</f>
        <v>459595.39999999991</v>
      </c>
    </row>
    <row r="15" spans="1:24" x14ac:dyDescent="0.25">
      <c r="A15" s="58" t="s">
        <v>56</v>
      </c>
      <c r="B15" s="53" t="s">
        <v>140</v>
      </c>
      <c r="C15" s="59" t="s">
        <v>93</v>
      </c>
      <c r="D15" s="62">
        <v>0.44</v>
      </c>
      <c r="E15" s="130">
        <v>97.68</v>
      </c>
      <c r="F15" s="13">
        <v>3439.92</v>
      </c>
      <c r="G15" s="13">
        <v>457.6</v>
      </c>
      <c r="H15" s="13">
        <v>125.4</v>
      </c>
      <c r="I15" s="13"/>
      <c r="J15" s="33"/>
      <c r="K15" s="33">
        <v>1466.08</v>
      </c>
      <c r="L15" s="33">
        <v>0</v>
      </c>
      <c r="M15" s="33"/>
      <c r="N15" s="127">
        <v>136.84</v>
      </c>
      <c r="O15" s="5">
        <f t="shared" si="10"/>
        <v>5723.5199999999995</v>
      </c>
      <c r="P15" s="5">
        <f t="shared" si="14"/>
        <v>5250.9357798165129</v>
      </c>
      <c r="Q15" s="5">
        <f t="shared" si="15"/>
        <v>472.58422018348665</v>
      </c>
      <c r="R15" s="21">
        <f t="shared" si="13"/>
        <v>13007.999999999998</v>
      </c>
      <c r="S15" s="71"/>
      <c r="T15" s="61">
        <v>1.76</v>
      </c>
      <c r="U15" s="13">
        <f t="shared" si="16"/>
        <v>22894.079999999998</v>
      </c>
    </row>
    <row r="16" spans="1:24" x14ac:dyDescent="0.25">
      <c r="A16" s="58" t="s">
        <v>57</v>
      </c>
      <c r="B16" s="53" t="s">
        <v>192</v>
      </c>
      <c r="C16" s="59" t="s">
        <v>58</v>
      </c>
      <c r="D16" s="62">
        <v>3.2</v>
      </c>
      <c r="E16" s="130">
        <v>294.39999999999998</v>
      </c>
      <c r="F16" s="13">
        <v>18761.599999999999</v>
      </c>
      <c r="G16" s="13">
        <v>3833.6</v>
      </c>
      <c r="H16" s="13">
        <v>240</v>
      </c>
      <c r="I16" s="13"/>
      <c r="J16" s="33"/>
      <c r="K16" s="33">
        <v>117510.39999999999</v>
      </c>
      <c r="L16" s="33">
        <v>86.399999999994179</v>
      </c>
      <c r="M16" s="33"/>
      <c r="N16" s="127">
        <v>8521.6</v>
      </c>
      <c r="O16" s="5">
        <f t="shared" si="10"/>
        <v>149248</v>
      </c>
      <c r="P16" s="5">
        <f t="shared" si="14"/>
        <v>136924.77064220182</v>
      </c>
      <c r="Q16" s="5">
        <f t="shared" si="15"/>
        <v>12323.229357798176</v>
      </c>
      <c r="R16" s="21">
        <f t="shared" si="13"/>
        <v>46640</v>
      </c>
      <c r="S16" s="71"/>
      <c r="T16" s="61"/>
      <c r="U16" s="13"/>
    </row>
    <row r="17" spans="1:24" ht="12.75" x14ac:dyDescent="0.2">
      <c r="A17" s="58" t="s">
        <v>59</v>
      </c>
      <c r="B17" s="53" t="s">
        <v>193</v>
      </c>
      <c r="C17" s="59" t="s">
        <v>94</v>
      </c>
      <c r="D17" s="62">
        <v>1.6</v>
      </c>
      <c r="E17" s="130">
        <v>112</v>
      </c>
      <c r="F17" s="13">
        <v>4220.8</v>
      </c>
      <c r="G17" s="13">
        <v>776</v>
      </c>
      <c r="H17" s="13">
        <v>113.6</v>
      </c>
      <c r="I17" s="13"/>
      <c r="J17" s="33"/>
      <c r="K17" s="33">
        <v>12248</v>
      </c>
      <c r="L17" s="33">
        <v>12.800000000001091</v>
      </c>
      <c r="M17" s="33"/>
      <c r="N17" s="127">
        <v>716.8</v>
      </c>
      <c r="O17" s="5">
        <f t="shared" si="10"/>
        <v>18200.000000000004</v>
      </c>
      <c r="P17" s="5">
        <f t="shared" si="14"/>
        <v>16697.247706422022</v>
      </c>
      <c r="Q17" s="5">
        <f t="shared" si="15"/>
        <v>1502.7522935779816</v>
      </c>
      <c r="R17" s="21">
        <f t="shared" si="13"/>
        <v>11375.000000000002</v>
      </c>
      <c r="S17" s="71"/>
      <c r="T17" s="107">
        <v>1.6</v>
      </c>
      <c r="U17" s="13">
        <f t="shared" ref="U17:U18" si="17">+R17*T17</f>
        <v>18200.000000000004</v>
      </c>
    </row>
    <row r="18" spans="1:24" x14ac:dyDescent="0.25">
      <c r="A18" s="241" t="s">
        <v>60</v>
      </c>
      <c r="B18" s="53" t="s">
        <v>194</v>
      </c>
      <c r="C18" s="63" t="s">
        <v>95</v>
      </c>
      <c r="D18" s="63">
        <v>0.64</v>
      </c>
      <c r="E18" s="132">
        <v>3.2</v>
      </c>
      <c r="F18" s="14">
        <v>74.239999999999995</v>
      </c>
      <c r="G18" s="13">
        <v>11.52</v>
      </c>
      <c r="H18" s="14">
        <v>0</v>
      </c>
      <c r="I18" s="14"/>
      <c r="J18" s="76"/>
      <c r="K18" s="76">
        <v>252.8</v>
      </c>
      <c r="L18" s="76">
        <v>0</v>
      </c>
      <c r="M18" s="76"/>
      <c r="N18" s="127">
        <v>6.4</v>
      </c>
      <c r="O18" s="5">
        <f t="shared" si="10"/>
        <v>348.15999999999997</v>
      </c>
      <c r="P18" s="5">
        <f t="shared" si="11"/>
        <v>319.41284403669721</v>
      </c>
      <c r="Q18" s="5">
        <f t="shared" si="12"/>
        <v>28.74715596330276</v>
      </c>
      <c r="R18" s="22">
        <f t="shared" si="13"/>
        <v>543.99999999999989</v>
      </c>
      <c r="S18" s="71"/>
      <c r="T18" s="61">
        <v>2.56</v>
      </c>
      <c r="U18" s="13">
        <f t="shared" si="17"/>
        <v>1392.6399999999996</v>
      </c>
    </row>
    <row r="19" spans="1:24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72461.98</v>
      </c>
      <c r="F19" s="118">
        <f t="shared" ref="F19:R19" si="18">+SUM(F20:F44)</f>
        <v>3000607.22</v>
      </c>
      <c r="G19" s="118">
        <f t="shared" si="18"/>
        <v>468243.48000000004</v>
      </c>
      <c r="H19" s="118">
        <f t="shared" si="18"/>
        <v>61524.959999999999</v>
      </c>
      <c r="I19" s="118">
        <f t="shared" si="18"/>
        <v>0</v>
      </c>
      <c r="J19" s="118">
        <f t="shared" si="18"/>
        <v>0</v>
      </c>
      <c r="K19" s="118">
        <f t="shared" si="18"/>
        <v>0</v>
      </c>
      <c r="L19" s="118">
        <f t="shared" si="18"/>
        <v>0</v>
      </c>
      <c r="M19" s="118">
        <f t="shared" si="18"/>
        <v>12</v>
      </c>
      <c r="N19" s="118">
        <f t="shared" si="18"/>
        <v>270634.51999999996</v>
      </c>
      <c r="O19" s="118">
        <f t="shared" si="18"/>
        <v>3873484.16</v>
      </c>
      <c r="P19" s="118">
        <f t="shared" si="18"/>
        <v>3553655.1926605501</v>
      </c>
      <c r="Q19" s="118">
        <f t="shared" si="18"/>
        <v>319828.96733944985</v>
      </c>
      <c r="R19" s="118">
        <f t="shared" si="18"/>
        <v>76702.900016666681</v>
      </c>
      <c r="S19" s="71"/>
      <c r="T19" s="61"/>
      <c r="U19" s="105">
        <f>+SUM(U20:U43)</f>
        <v>3695725.96</v>
      </c>
    </row>
    <row r="20" spans="1:24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41006.67</v>
      </c>
      <c r="F20" s="92">
        <v>1682773.33</v>
      </c>
      <c r="G20" s="92">
        <v>254153.33</v>
      </c>
      <c r="H20" s="92">
        <v>34983.33</v>
      </c>
      <c r="I20" s="23"/>
      <c r="J20" s="34"/>
      <c r="K20" s="34"/>
      <c r="L20" s="34"/>
      <c r="M20" s="34">
        <v>10</v>
      </c>
      <c r="N20" s="34">
        <v>142313.32999999999</v>
      </c>
      <c r="O20" s="5">
        <f t="shared" ref="O20:O44" si="19">+SUM(E20:N20)</f>
        <v>2155239.9900000002</v>
      </c>
      <c r="P20" s="99">
        <f t="shared" ref="P20:P44" si="20">+O20/1.09</f>
        <v>1977284.3944954129</v>
      </c>
      <c r="Q20" s="24">
        <f>+O20-P20</f>
        <v>177955.59550458728</v>
      </c>
      <c r="R20" s="94">
        <f t="shared" ref="R20:R43" si="21">O20/D20</f>
        <v>21552.399900000004</v>
      </c>
      <c r="S20" s="41"/>
      <c r="T20" s="61"/>
      <c r="U20" s="106"/>
      <c r="V20"/>
      <c r="W20" s="142"/>
      <c r="X20"/>
    </row>
    <row r="21" spans="1:24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6493.33</v>
      </c>
      <c r="F21" s="48">
        <v>409493.33</v>
      </c>
      <c r="G21" s="48">
        <v>58016.67</v>
      </c>
      <c r="H21" s="48">
        <v>10660</v>
      </c>
      <c r="I21" s="13"/>
      <c r="J21" s="33"/>
      <c r="K21" s="33"/>
      <c r="L21" s="33"/>
      <c r="M21" s="33"/>
      <c r="N21" s="33">
        <f>7748.33-50</f>
        <v>7698.33</v>
      </c>
      <c r="O21" s="5">
        <f t="shared" si="19"/>
        <v>492361.66000000003</v>
      </c>
      <c r="P21" s="5">
        <f t="shared" si="20"/>
        <v>451707.94495412841</v>
      </c>
      <c r="Q21" s="5">
        <f t="shared" ref="Q21:Q44" si="22">+O21-P21</f>
        <v>40653.715045871621</v>
      </c>
      <c r="R21" s="21">
        <f t="shared" si="21"/>
        <v>9847.2332000000006</v>
      </c>
      <c r="S21" s="41"/>
      <c r="T21" s="61">
        <v>50</v>
      </c>
      <c r="U21" s="13">
        <f t="shared" ref="U21:U22" si="23">+R21*T21</f>
        <v>492361.66000000003</v>
      </c>
      <c r="W21" s="142"/>
    </row>
    <row r="22" spans="1:24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f>1373.33+13326.67</f>
        <v>14700</v>
      </c>
      <c r="F22" s="95">
        <f>6033.33+578520</f>
        <v>584553.32999999996</v>
      </c>
      <c r="G22" s="95">
        <f>1134+97603.33</f>
        <v>98737.33</v>
      </c>
      <c r="H22" s="95">
        <v>6102</v>
      </c>
      <c r="I22" s="13"/>
      <c r="J22" s="33"/>
      <c r="K22" s="33"/>
      <c r="L22" s="33"/>
      <c r="M22" s="33">
        <v>2</v>
      </c>
      <c r="N22" s="33">
        <f>844.67+59691.33-20</f>
        <v>60516</v>
      </c>
      <c r="O22" s="5">
        <f t="shared" si="19"/>
        <v>764610.65999999992</v>
      </c>
      <c r="P22" s="5">
        <f t="shared" si="20"/>
        <v>701477.66972477047</v>
      </c>
      <c r="Q22" s="5">
        <f t="shared" si="22"/>
        <v>63132.990275229444</v>
      </c>
      <c r="R22" s="21">
        <f t="shared" si="21"/>
        <v>38230.532999999996</v>
      </c>
      <c r="S22" s="41"/>
      <c r="T22" s="61">
        <v>80</v>
      </c>
      <c r="U22" s="13">
        <f t="shared" si="23"/>
        <v>3058442.6399999997</v>
      </c>
      <c r="W22" s="142"/>
    </row>
    <row r="23" spans="1:24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8319</v>
      </c>
      <c r="F23" s="95">
        <v>283371</v>
      </c>
      <c r="G23" s="95">
        <v>51426</v>
      </c>
      <c r="H23" s="95">
        <v>7425</v>
      </c>
      <c r="I23" s="13"/>
      <c r="J23" s="33"/>
      <c r="K23" s="33"/>
      <c r="L23" s="33"/>
      <c r="M23" s="33"/>
      <c r="N23" s="33">
        <f>47844-90</f>
        <v>47754</v>
      </c>
      <c r="O23" s="5">
        <f t="shared" si="19"/>
        <v>398295</v>
      </c>
      <c r="P23" s="5">
        <f t="shared" si="20"/>
        <v>365408.25688073394</v>
      </c>
      <c r="Q23" s="5">
        <f t="shared" si="22"/>
        <v>32886.743119266059</v>
      </c>
      <c r="R23" s="21">
        <f t="shared" si="21"/>
        <v>4425.5</v>
      </c>
      <c r="S23" s="41"/>
      <c r="T23" s="61"/>
      <c r="U23" s="13"/>
      <c r="W23" s="142"/>
    </row>
    <row r="24" spans="1:24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424.5</v>
      </c>
      <c r="F24" s="95">
        <v>14424</v>
      </c>
      <c r="G24" s="95">
        <v>2259</v>
      </c>
      <c r="H24" s="95">
        <v>480</v>
      </c>
      <c r="I24" s="13"/>
      <c r="J24" s="33"/>
      <c r="K24" s="33"/>
      <c r="L24" s="33"/>
      <c r="M24" s="33"/>
      <c r="N24" s="33">
        <v>1341</v>
      </c>
      <c r="O24" s="5">
        <f t="shared" si="19"/>
        <v>18928.5</v>
      </c>
      <c r="P24" s="5">
        <f t="shared" si="20"/>
        <v>17365.596330275228</v>
      </c>
      <c r="Q24" s="5">
        <f t="shared" si="22"/>
        <v>1562.903669724772</v>
      </c>
      <c r="R24" s="21">
        <f t="shared" si="21"/>
        <v>420.63333333333333</v>
      </c>
      <c r="S24" s="35"/>
      <c r="T24" s="61">
        <v>45</v>
      </c>
      <c r="U24" s="13">
        <f t="shared" ref="U24:U25" si="24">+R24*T24</f>
        <v>18928.5</v>
      </c>
      <c r="W24" s="142"/>
    </row>
    <row r="25" spans="1:24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f>30.6+886.8</f>
        <v>917.4</v>
      </c>
      <c r="F25" s="95">
        <f>75+14559.6</f>
        <v>14634.6</v>
      </c>
      <c r="G25" s="95">
        <f>15+2373.6</f>
        <v>2388.6</v>
      </c>
      <c r="H25" s="95">
        <v>183</v>
      </c>
      <c r="I25" s="13"/>
      <c r="J25" s="33"/>
      <c r="K25" s="33"/>
      <c r="L25" s="33"/>
      <c r="M25" s="33"/>
      <c r="N25" s="33">
        <f>155.4+4894.2</f>
        <v>5049.5999999999995</v>
      </c>
      <c r="O25" s="5">
        <f t="shared" si="19"/>
        <v>23173.199999999997</v>
      </c>
      <c r="P25" s="5">
        <f t="shared" si="20"/>
        <v>21259.816513761463</v>
      </c>
      <c r="Q25" s="5">
        <f t="shared" si="22"/>
        <v>1913.3834862385338</v>
      </c>
      <c r="R25" s="21">
        <f t="shared" si="21"/>
        <v>1287.3999999999999</v>
      </c>
      <c r="S25" s="35"/>
      <c r="T25" s="61">
        <v>72</v>
      </c>
      <c r="U25" s="13">
        <f t="shared" si="24"/>
        <v>92692.799999999988</v>
      </c>
      <c r="W25" s="142"/>
    </row>
    <row r="26" spans="1:24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/>
      <c r="F26" s="95">
        <v>1063.33</v>
      </c>
      <c r="G26" s="95"/>
      <c r="H26" s="95"/>
      <c r="I26" s="13"/>
      <c r="J26" s="33"/>
      <c r="K26" s="33"/>
      <c r="L26" s="33"/>
      <c r="M26" s="33"/>
      <c r="N26" s="33">
        <v>736.67</v>
      </c>
      <c r="O26" s="5">
        <f t="shared" si="19"/>
        <v>1800</v>
      </c>
      <c r="P26" s="5">
        <f t="shared" si="20"/>
        <v>1651.3761467889908</v>
      </c>
      <c r="Q26" s="5">
        <f t="shared" si="22"/>
        <v>148.62385321100919</v>
      </c>
      <c r="R26" s="21">
        <f t="shared" si="21"/>
        <v>6</v>
      </c>
      <c r="S26" s="35"/>
      <c r="T26" s="61"/>
      <c r="U26" s="13"/>
      <c r="W26" s="142"/>
    </row>
    <row r="27" spans="1:24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581.66999999999996</v>
      </c>
      <c r="G27" s="95"/>
      <c r="H27" s="95">
        <v>20</v>
      </c>
      <c r="I27" s="13"/>
      <c r="J27" s="33"/>
      <c r="K27" s="33"/>
      <c r="L27" s="33"/>
      <c r="M27" s="33"/>
      <c r="N27" s="33">
        <v>73.33</v>
      </c>
      <c r="O27" s="5">
        <f t="shared" si="19"/>
        <v>675</v>
      </c>
      <c r="P27" s="5">
        <f t="shared" si="20"/>
        <v>619.26605504587155</v>
      </c>
      <c r="Q27" s="5">
        <f t="shared" si="22"/>
        <v>55.733944954128447</v>
      </c>
      <c r="R27" s="21">
        <f t="shared" si="21"/>
        <v>4.5</v>
      </c>
      <c r="S27" s="35"/>
      <c r="T27" s="61">
        <v>150</v>
      </c>
      <c r="U27" s="13">
        <f t="shared" ref="U27:U43" si="25">+R27*T27</f>
        <v>675</v>
      </c>
      <c r="W27" s="142"/>
    </row>
    <row r="28" spans="1:24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102</v>
      </c>
      <c r="F28" s="95">
        <f>20.67+2987.33</f>
        <v>3008</v>
      </c>
      <c r="G28" s="95">
        <v>496</v>
      </c>
      <c r="H28" s="95">
        <v>196.67</v>
      </c>
      <c r="I28" s="13"/>
      <c r="J28" s="33"/>
      <c r="K28" s="33"/>
      <c r="L28" s="33"/>
      <c r="M28" s="33"/>
      <c r="N28" s="33">
        <f>40.67+2972</f>
        <v>3012.67</v>
      </c>
      <c r="O28" s="5">
        <f t="shared" si="19"/>
        <v>6815.34</v>
      </c>
      <c r="P28" s="5">
        <f t="shared" si="20"/>
        <v>6252.6055045871553</v>
      </c>
      <c r="Q28" s="5">
        <f t="shared" si="22"/>
        <v>562.73449541284481</v>
      </c>
      <c r="R28" s="21">
        <f t="shared" si="21"/>
        <v>113.589</v>
      </c>
      <c r="S28" s="35"/>
      <c r="T28" s="61">
        <v>240</v>
      </c>
      <c r="U28" s="13">
        <f t="shared" si="25"/>
        <v>27261.360000000001</v>
      </c>
      <c r="W28" s="142"/>
    </row>
    <row r="29" spans="1:24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162</v>
      </c>
      <c r="G29" s="95"/>
      <c r="H29" s="95">
        <v>300</v>
      </c>
      <c r="I29" s="13"/>
      <c r="J29" s="33"/>
      <c r="K29" s="33"/>
      <c r="L29" s="33"/>
      <c r="M29" s="33"/>
      <c r="N29" s="33">
        <v>1116</v>
      </c>
      <c r="O29" s="5">
        <f t="shared" si="19"/>
        <v>1578</v>
      </c>
      <c r="P29" s="5">
        <f t="shared" si="20"/>
        <v>1447.7064220183486</v>
      </c>
      <c r="Q29" s="5">
        <f t="shared" si="22"/>
        <v>130.29357798165142</v>
      </c>
      <c r="R29" s="21">
        <f t="shared" si="21"/>
        <v>5.8444444444444441</v>
      </c>
      <c r="S29" s="35"/>
      <c r="T29" s="61"/>
      <c r="U29" s="13"/>
      <c r="W29" s="142"/>
    </row>
    <row r="30" spans="1:24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/>
      <c r="G30" s="95"/>
      <c r="H30" s="95"/>
      <c r="I30" s="13"/>
      <c r="J30" s="33"/>
      <c r="K30" s="33"/>
      <c r="L30" s="33"/>
      <c r="M30" s="33"/>
      <c r="N30" s="33">
        <v>34.5</v>
      </c>
      <c r="O30" s="5">
        <f t="shared" si="19"/>
        <v>34.5</v>
      </c>
      <c r="P30" s="5">
        <f t="shared" si="20"/>
        <v>31.651376146788987</v>
      </c>
      <c r="Q30" s="5">
        <f t="shared" si="22"/>
        <v>2.8486238532110129</v>
      </c>
      <c r="R30" s="21">
        <f t="shared" si="21"/>
        <v>0.25555555555555554</v>
      </c>
      <c r="S30" s="35"/>
      <c r="T30" s="61">
        <v>135</v>
      </c>
      <c r="U30" s="13">
        <f t="shared" si="25"/>
        <v>34.5</v>
      </c>
      <c r="W30" s="142"/>
    </row>
    <row r="31" spans="1:24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33</v>
      </c>
      <c r="F31" s="95">
        <v>130.19999999999999</v>
      </c>
      <c r="G31" s="95">
        <v>17.399999999999999</v>
      </c>
      <c r="H31" s="95">
        <v>41.4</v>
      </c>
      <c r="I31" s="13"/>
      <c r="J31" s="33"/>
      <c r="K31" s="33"/>
      <c r="L31" s="33"/>
      <c r="M31" s="33"/>
      <c r="N31" s="33">
        <f>46.8+339.6</f>
        <v>386.40000000000003</v>
      </c>
      <c r="O31" s="5">
        <f t="shared" si="19"/>
        <v>608.40000000000009</v>
      </c>
      <c r="P31" s="5">
        <f t="shared" si="20"/>
        <v>558.165137614679</v>
      </c>
      <c r="Q31" s="5">
        <f t="shared" si="22"/>
        <v>50.234862385321094</v>
      </c>
      <c r="R31" s="21">
        <f t="shared" si="21"/>
        <v>11.266666666666667</v>
      </c>
      <c r="S31" s="35"/>
      <c r="T31" s="61">
        <v>216</v>
      </c>
      <c r="U31" s="13">
        <f t="shared" si="25"/>
        <v>2433.6000000000004</v>
      </c>
      <c r="W31" s="142"/>
    </row>
    <row r="32" spans="1:24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/>
      <c r="G32" s="95"/>
      <c r="H32" s="95"/>
      <c r="I32" s="13"/>
      <c r="J32" s="33"/>
      <c r="K32" s="33"/>
      <c r="L32" s="33"/>
      <c r="M32" s="33"/>
      <c r="N32" s="33"/>
      <c r="O32" s="5">
        <f t="shared" si="19"/>
        <v>0</v>
      </c>
      <c r="P32" s="5">
        <f t="shared" si="20"/>
        <v>0</v>
      </c>
      <c r="Q32" s="5">
        <f t="shared" si="22"/>
        <v>0</v>
      </c>
      <c r="R32" s="21">
        <f t="shared" si="21"/>
        <v>0</v>
      </c>
      <c r="S32" s="35"/>
      <c r="T32" s="61"/>
      <c r="U32" s="13"/>
      <c r="W32" s="142"/>
    </row>
    <row r="33" spans="1:24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51.67</v>
      </c>
      <c r="G33" s="95">
        <v>20</v>
      </c>
      <c r="H33" s="95"/>
      <c r="I33" s="13"/>
      <c r="J33" s="33"/>
      <c r="K33" s="33"/>
      <c r="L33" s="33"/>
      <c r="M33" s="33"/>
      <c r="N33" s="33"/>
      <c r="O33" s="5">
        <f t="shared" si="19"/>
        <v>71.67</v>
      </c>
      <c r="P33" s="5">
        <f t="shared" si="20"/>
        <v>65.752293577981646</v>
      </c>
      <c r="Q33" s="5">
        <f t="shared" si="22"/>
        <v>5.9177064220183553</v>
      </c>
      <c r="R33" s="21">
        <f t="shared" si="21"/>
        <v>0.2389</v>
      </c>
      <c r="S33" s="35"/>
      <c r="T33" s="61">
        <v>300</v>
      </c>
      <c r="U33" s="13">
        <f t="shared" si="25"/>
        <v>71.67</v>
      </c>
      <c r="W33" s="142"/>
    </row>
    <row r="34" spans="1:24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6.67</v>
      </c>
      <c r="F34" s="95">
        <f>13.33+346.67</f>
        <v>360</v>
      </c>
      <c r="G34" s="95">
        <v>16</v>
      </c>
      <c r="H34" s="95"/>
      <c r="I34" s="13"/>
      <c r="J34" s="33"/>
      <c r="K34" s="33"/>
      <c r="L34" s="33"/>
      <c r="M34" s="33"/>
      <c r="N34" s="33">
        <f>20+190</f>
        <v>210</v>
      </c>
      <c r="O34" s="5">
        <f t="shared" si="19"/>
        <v>592.67000000000007</v>
      </c>
      <c r="P34" s="5">
        <f t="shared" si="20"/>
        <v>543.73394495412845</v>
      </c>
      <c r="Q34" s="5">
        <f t="shared" si="22"/>
        <v>48.936055045871626</v>
      </c>
      <c r="R34" s="21">
        <f t="shared" si="21"/>
        <v>4.9389166666666675</v>
      </c>
      <c r="S34" s="35"/>
      <c r="T34" s="61">
        <v>480</v>
      </c>
      <c r="U34" s="13">
        <f t="shared" si="25"/>
        <v>2370.6800000000003</v>
      </c>
      <c r="W34" s="142"/>
    </row>
    <row r="35" spans="1:24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33">
        <v>276</v>
      </c>
      <c r="O35" s="5">
        <f t="shared" si="19"/>
        <v>276</v>
      </c>
      <c r="P35" s="5">
        <f t="shared" si="20"/>
        <v>253.2110091743119</v>
      </c>
      <c r="Q35" s="5">
        <f t="shared" si="22"/>
        <v>22.788990825688103</v>
      </c>
      <c r="R35" s="21">
        <f t="shared" si="21"/>
        <v>0.51111111111111107</v>
      </c>
      <c r="S35" s="35"/>
      <c r="T35" s="61"/>
      <c r="U35" s="13"/>
      <c r="W35" s="142"/>
    </row>
    <row r="36" spans="1:24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9"/>
        <v>0</v>
      </c>
      <c r="P36" s="5">
        <f t="shared" si="20"/>
        <v>0</v>
      </c>
      <c r="Q36" s="5">
        <f t="shared" si="22"/>
        <v>0</v>
      </c>
      <c r="R36" s="21">
        <f t="shared" si="21"/>
        <v>0</v>
      </c>
      <c r="S36" s="35"/>
      <c r="T36" s="61">
        <v>270</v>
      </c>
      <c r="U36" s="13">
        <f t="shared" si="25"/>
        <v>0</v>
      </c>
      <c r="W36" s="142"/>
    </row>
    <row r="37" spans="1:24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>
        <v>14.4</v>
      </c>
      <c r="G37" s="95"/>
      <c r="H37" s="95"/>
      <c r="I37" s="13"/>
      <c r="J37" s="33"/>
      <c r="K37" s="33"/>
      <c r="L37" s="33"/>
      <c r="M37" s="33"/>
      <c r="N37" s="33">
        <v>47.4</v>
      </c>
      <c r="O37" s="5">
        <f t="shared" si="19"/>
        <v>61.8</v>
      </c>
      <c r="P37" s="5">
        <f t="shared" si="20"/>
        <v>56.697247706422012</v>
      </c>
      <c r="Q37" s="5">
        <f t="shared" si="22"/>
        <v>5.1027522935779857</v>
      </c>
      <c r="R37" s="21">
        <f t="shared" si="21"/>
        <v>0.57222222222222219</v>
      </c>
      <c r="S37" s="35"/>
      <c r="T37" s="61">
        <v>432</v>
      </c>
      <c r="U37" s="13">
        <f t="shared" si="25"/>
        <v>247.2</v>
      </c>
      <c r="W37" s="142"/>
    </row>
    <row r="38" spans="1:24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>
        <v>310</v>
      </c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9"/>
        <v>310</v>
      </c>
      <c r="P38" s="5">
        <f t="shared" si="20"/>
        <v>284.40366972477062</v>
      </c>
      <c r="Q38" s="5">
        <f t="shared" si="22"/>
        <v>25.596330275229377</v>
      </c>
      <c r="R38" s="21">
        <f t="shared" si="21"/>
        <v>0.34444444444444444</v>
      </c>
      <c r="S38" s="35"/>
      <c r="T38" s="61"/>
      <c r="U38" s="13"/>
      <c r="W38" s="142"/>
    </row>
    <row r="39" spans="1:24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>
        <v>51.67</v>
      </c>
      <c r="F39" s="95"/>
      <c r="G39" s="95"/>
      <c r="H39" s="95"/>
      <c r="I39" s="13"/>
      <c r="J39" s="33"/>
      <c r="K39" s="33"/>
      <c r="L39" s="33"/>
      <c r="M39" s="33"/>
      <c r="N39" s="33"/>
      <c r="O39" s="5">
        <f t="shared" si="19"/>
        <v>51.67</v>
      </c>
      <c r="P39" s="5">
        <f t="shared" si="20"/>
        <v>47.403669724770637</v>
      </c>
      <c r="Q39" s="5">
        <f t="shared" si="22"/>
        <v>4.2663302752293646</v>
      </c>
      <c r="R39" s="21">
        <f t="shared" si="21"/>
        <v>0.11482222222222223</v>
      </c>
      <c r="S39" s="35"/>
      <c r="T39" s="61">
        <v>450</v>
      </c>
      <c r="U39" s="13">
        <f t="shared" si="25"/>
        <v>51.67</v>
      </c>
      <c r="W39" s="142"/>
    </row>
    <row r="40" spans="1:24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>
        <v>20.67</v>
      </c>
      <c r="F40" s="95">
        <v>14</v>
      </c>
      <c r="G40" s="95"/>
      <c r="H40" s="95"/>
      <c r="I40" s="13"/>
      <c r="J40" s="33"/>
      <c r="K40" s="33"/>
      <c r="L40" s="33"/>
      <c r="M40" s="33"/>
      <c r="N40" s="33">
        <v>4</v>
      </c>
      <c r="O40" s="5">
        <f t="shared" si="19"/>
        <v>38.67</v>
      </c>
      <c r="P40" s="5">
        <f t="shared" si="20"/>
        <v>35.477064220183486</v>
      </c>
      <c r="Q40" s="5">
        <f t="shared" si="22"/>
        <v>3.1929357798165157</v>
      </c>
      <c r="R40" s="21">
        <f t="shared" si="21"/>
        <v>0.21483333333333335</v>
      </c>
      <c r="S40" s="35"/>
      <c r="T40" s="61">
        <v>720</v>
      </c>
      <c r="U40" s="13">
        <f t="shared" si="25"/>
        <v>154.68</v>
      </c>
      <c r="W40" s="142"/>
    </row>
    <row r="41" spans="1:24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33">
        <v>54</v>
      </c>
      <c r="O41" s="5">
        <f t="shared" si="19"/>
        <v>54</v>
      </c>
      <c r="P41" s="5">
        <f t="shared" si="20"/>
        <v>49.541284403669721</v>
      </c>
      <c r="Q41" s="5">
        <f t="shared" si="22"/>
        <v>4.4587155963302791</v>
      </c>
      <c r="R41" s="21">
        <f t="shared" si="21"/>
        <v>6.6666666666666666E-2</v>
      </c>
      <c r="S41" s="71"/>
      <c r="T41" s="61"/>
      <c r="U41" s="13"/>
      <c r="W41" s="142"/>
    </row>
    <row r="42" spans="1:24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33"/>
      <c r="O42" s="5">
        <f t="shared" si="19"/>
        <v>0</v>
      </c>
      <c r="P42" s="5">
        <f t="shared" si="20"/>
        <v>0</v>
      </c>
      <c r="Q42" s="5">
        <f t="shared" si="22"/>
        <v>0</v>
      </c>
      <c r="R42" s="21">
        <f t="shared" si="21"/>
        <v>0</v>
      </c>
      <c r="S42" s="71"/>
      <c r="T42" s="61">
        <v>405</v>
      </c>
      <c r="U42" s="13">
        <f t="shared" si="25"/>
        <v>0</v>
      </c>
      <c r="W42" s="142"/>
    </row>
    <row r="43" spans="1:24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39"/>
      <c r="O43" s="26">
        <f t="shared" si="19"/>
        <v>0</v>
      </c>
      <c r="P43" s="26">
        <f t="shared" si="20"/>
        <v>0</v>
      </c>
      <c r="Q43" s="26">
        <f t="shared" si="22"/>
        <v>0</v>
      </c>
      <c r="R43" s="39">
        <f t="shared" si="21"/>
        <v>0</v>
      </c>
      <c r="S43" s="71"/>
      <c r="T43" s="61">
        <v>648</v>
      </c>
      <c r="U43" s="13">
        <f t="shared" si="25"/>
        <v>0</v>
      </c>
      <c r="W43" s="142"/>
    </row>
    <row r="44" spans="1:24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77.069999999999993</v>
      </c>
      <c r="F44" s="124">
        <v>5972.36</v>
      </c>
      <c r="G44" s="124">
        <v>713.15</v>
      </c>
      <c r="H44" s="124">
        <v>1133.56</v>
      </c>
      <c r="I44" s="124"/>
      <c r="J44" s="124"/>
      <c r="K44" s="124"/>
      <c r="L44" s="124"/>
      <c r="M44" s="124"/>
      <c r="N44" s="124">
        <v>11.29</v>
      </c>
      <c r="O44" s="6">
        <f t="shared" si="19"/>
        <v>7907.4299999999994</v>
      </c>
      <c r="P44" s="124">
        <f t="shared" si="20"/>
        <v>7254.5229357798153</v>
      </c>
      <c r="Q44" s="6">
        <f t="shared" si="22"/>
        <v>652.90706422018411</v>
      </c>
      <c r="R44" s="22">
        <f>+O44/D44</f>
        <v>790.74299999999994</v>
      </c>
      <c r="S44" s="71"/>
      <c r="T44" s="61"/>
      <c r="U44" s="13"/>
      <c r="V44" s="2"/>
      <c r="W44" s="1"/>
    </row>
    <row r="45" spans="1:24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2557.42</v>
      </c>
      <c r="F45" s="82">
        <f>+SUM(F46:F54)</f>
        <v>121476.16</v>
      </c>
      <c r="G45" s="82">
        <f>+SUM(G46:G54)</f>
        <v>18778.140000000003</v>
      </c>
      <c r="H45" s="82">
        <f>+SUM(H46:H54)</f>
        <v>1989.29</v>
      </c>
      <c r="I45" s="82">
        <f t="shared" ref="I45:R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0</v>
      </c>
      <c r="N45" s="100">
        <f t="shared" si="26"/>
        <v>12422</v>
      </c>
      <c r="O45" s="42">
        <f>+SUM(O46:O54)</f>
        <v>157223.00999999998</v>
      </c>
      <c r="P45" s="82">
        <f t="shared" si="26"/>
        <v>144241.29357798165</v>
      </c>
      <c r="Q45" s="82">
        <f t="shared" si="26"/>
        <v>12981.716422018359</v>
      </c>
      <c r="R45" s="19">
        <f t="shared" si="26"/>
        <v>23586.833333333332</v>
      </c>
      <c r="S45" s="71"/>
      <c r="T45" s="61"/>
      <c r="U45" s="105">
        <f>+SUM(U46:U69)</f>
        <v>242972.49</v>
      </c>
    </row>
    <row r="46" spans="1:24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384</v>
      </c>
      <c r="F46" s="23">
        <v>12936</v>
      </c>
      <c r="G46" s="28">
        <v>2172</v>
      </c>
      <c r="H46" s="23">
        <v>180</v>
      </c>
      <c r="I46" s="83"/>
      <c r="J46" s="75"/>
      <c r="K46" s="75"/>
      <c r="L46" s="75"/>
      <c r="M46" s="75"/>
      <c r="N46" s="75">
        <v>1356</v>
      </c>
      <c r="O46" s="5">
        <f t="shared" ref="O46:O54" si="27">+SUM(E46:N46)</f>
        <v>17028</v>
      </c>
      <c r="P46" s="99">
        <f t="shared" ref="P46:P54" si="28">+O46/1.09</f>
        <v>15622.018348623853</v>
      </c>
      <c r="Q46" s="64">
        <f t="shared" ref="Q46:Q54" si="29">+O46-P46</f>
        <v>1405.9816513761471</v>
      </c>
      <c r="R46" s="85">
        <f t="shared" ref="R46:R54" si="30">O46/D46</f>
        <v>1419</v>
      </c>
      <c r="S46" s="71"/>
      <c r="T46" s="61"/>
      <c r="U46" s="13"/>
      <c r="V46"/>
      <c r="W46" s="142"/>
      <c r="X46"/>
    </row>
    <row r="47" spans="1:24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90</v>
      </c>
      <c r="F47" s="13">
        <v>1530</v>
      </c>
      <c r="G47" s="17">
        <v>426</v>
      </c>
      <c r="H47" s="23">
        <v>6</v>
      </c>
      <c r="I47" s="13"/>
      <c r="J47" s="33"/>
      <c r="K47" s="33"/>
      <c r="L47" s="33"/>
      <c r="M47" s="33"/>
      <c r="N47" s="33">
        <v>144</v>
      </c>
      <c r="O47" s="5">
        <f t="shared" si="27"/>
        <v>2196</v>
      </c>
      <c r="P47" s="5">
        <f t="shared" si="28"/>
        <v>2014.6788990825687</v>
      </c>
      <c r="Q47" s="5">
        <f t="shared" si="29"/>
        <v>181.32110091743129</v>
      </c>
      <c r="R47" s="31">
        <f t="shared" si="30"/>
        <v>366</v>
      </c>
      <c r="S47" s="71"/>
      <c r="T47" s="61">
        <v>6</v>
      </c>
      <c r="U47" s="13">
        <f t="shared" ref="U47:U48" si="31">+R47*T47</f>
        <v>2196</v>
      </c>
      <c r="W47" s="142"/>
    </row>
    <row r="48" spans="1:24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f>9.6+439.2</f>
        <v>448.8</v>
      </c>
      <c r="F48" s="13">
        <f>168+28862.4</f>
        <v>29030.400000000001</v>
      </c>
      <c r="G48" s="17">
        <f>19.2+5212.8</f>
        <v>5232</v>
      </c>
      <c r="H48" s="23">
        <v>153.6</v>
      </c>
      <c r="I48" s="13"/>
      <c r="J48" s="33"/>
      <c r="K48" s="33"/>
      <c r="L48" s="33"/>
      <c r="M48" s="33"/>
      <c r="N48" s="33">
        <f>43.2+2524.8</f>
        <v>2568</v>
      </c>
      <c r="O48" s="5">
        <f t="shared" si="27"/>
        <v>37432.799999999996</v>
      </c>
      <c r="P48" s="5">
        <f t="shared" si="28"/>
        <v>34342.018348623846</v>
      </c>
      <c r="Q48" s="5">
        <f t="shared" si="29"/>
        <v>3090.78165137615</v>
      </c>
      <c r="R48" s="31">
        <f t="shared" si="30"/>
        <v>15596.999999999998</v>
      </c>
      <c r="S48" s="71"/>
      <c r="T48" s="61">
        <v>9.6</v>
      </c>
      <c r="U48" s="13">
        <f t="shared" si="31"/>
        <v>149731.19999999998</v>
      </c>
      <c r="W48" s="142"/>
    </row>
    <row r="49" spans="1:23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399</v>
      </c>
      <c r="F49" s="13">
        <v>13034</v>
      </c>
      <c r="G49" s="13">
        <v>1526</v>
      </c>
      <c r="H49" s="13">
        <v>385</v>
      </c>
      <c r="I49" s="13"/>
      <c r="J49" s="33"/>
      <c r="K49" s="33"/>
      <c r="L49" s="33"/>
      <c r="M49" s="33"/>
      <c r="N49" s="33">
        <v>896</v>
      </c>
      <c r="O49" s="5">
        <f t="shared" si="27"/>
        <v>16240</v>
      </c>
      <c r="P49" s="5">
        <f t="shared" si="28"/>
        <v>14899.082568807338</v>
      </c>
      <c r="Q49" s="5">
        <f t="shared" si="29"/>
        <v>1340.9174311926618</v>
      </c>
      <c r="R49" s="31">
        <f t="shared" si="30"/>
        <v>773.33333333333337</v>
      </c>
      <c r="S49" s="71"/>
      <c r="T49" s="61"/>
      <c r="U49" s="13"/>
      <c r="W49" s="142"/>
    </row>
    <row r="50" spans="1:23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31.5</v>
      </c>
      <c r="F50" s="13">
        <v>1144.5</v>
      </c>
      <c r="G50" s="13">
        <v>182</v>
      </c>
      <c r="H50" s="13">
        <v>21</v>
      </c>
      <c r="I50" s="13"/>
      <c r="J50" s="33"/>
      <c r="K50" s="33"/>
      <c r="L50" s="33"/>
      <c r="M50" s="33"/>
      <c r="N50" s="33">
        <v>73.5</v>
      </c>
      <c r="O50" s="5">
        <f t="shared" si="27"/>
        <v>1452.5</v>
      </c>
      <c r="P50" s="5">
        <f t="shared" si="28"/>
        <v>1332.5688073394494</v>
      </c>
      <c r="Q50" s="5">
        <f t="shared" si="29"/>
        <v>119.93119266055055</v>
      </c>
      <c r="R50" s="21">
        <f t="shared" si="30"/>
        <v>138.33333333333334</v>
      </c>
      <c r="S50" s="71"/>
      <c r="T50" s="61">
        <v>10.5</v>
      </c>
      <c r="U50" s="13">
        <f t="shared" ref="U50:U51" si="32">+R50*T50</f>
        <v>1452.5</v>
      </c>
      <c r="W50" s="142"/>
    </row>
    <row r="51" spans="1:23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f>8.4+75.6</f>
        <v>84</v>
      </c>
      <c r="F51" s="13">
        <f>42+6906.2</f>
        <v>6948.2</v>
      </c>
      <c r="G51" s="13">
        <f>8.4+845.6</f>
        <v>854</v>
      </c>
      <c r="H51" s="13">
        <v>75.599999999999994</v>
      </c>
      <c r="I51" s="13"/>
      <c r="J51" s="33"/>
      <c r="K51" s="33"/>
      <c r="L51" s="33"/>
      <c r="M51" s="33"/>
      <c r="N51" s="33">
        <f>8.4+1386</f>
        <v>1394.4</v>
      </c>
      <c r="O51" s="5">
        <f t="shared" si="27"/>
        <v>9356.2000000000007</v>
      </c>
      <c r="P51" s="5">
        <f t="shared" si="28"/>
        <v>8583.6697247706416</v>
      </c>
      <c r="Q51" s="5">
        <f t="shared" si="29"/>
        <v>772.53027522935918</v>
      </c>
      <c r="R51" s="21">
        <f t="shared" si="30"/>
        <v>2227.666666666667</v>
      </c>
      <c r="S51" s="71"/>
      <c r="T51" s="61">
        <v>16.8</v>
      </c>
      <c r="U51" s="13">
        <f t="shared" si="32"/>
        <v>37424.80000000001</v>
      </c>
      <c r="W51" s="142"/>
    </row>
    <row r="52" spans="1:23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762.6</v>
      </c>
      <c r="F52" s="13">
        <v>44890.9</v>
      </c>
      <c r="G52" s="13">
        <v>6801.9</v>
      </c>
      <c r="H52" s="13">
        <v>979.9</v>
      </c>
      <c r="I52" s="13"/>
      <c r="J52" s="33"/>
      <c r="K52" s="33"/>
      <c r="L52" s="33"/>
      <c r="M52" s="33"/>
      <c r="N52" s="33">
        <v>3776.1</v>
      </c>
      <c r="O52" s="5">
        <f t="shared" si="27"/>
        <v>57211.4</v>
      </c>
      <c r="P52" s="5">
        <f t="shared" si="28"/>
        <v>52487.522935779816</v>
      </c>
      <c r="Q52" s="5">
        <f t="shared" si="29"/>
        <v>4723.8770642201853</v>
      </c>
      <c r="R52" s="21">
        <f t="shared" si="30"/>
        <v>1395.4</v>
      </c>
      <c r="S52" s="71"/>
      <c r="T52" s="61"/>
      <c r="U52" s="13"/>
      <c r="W52" s="142"/>
    </row>
    <row r="53" spans="1:23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188.6</v>
      </c>
      <c r="F53" s="13">
        <v>3554.7</v>
      </c>
      <c r="G53" s="13">
        <v>397.7</v>
      </c>
      <c r="H53" s="13">
        <v>51.25</v>
      </c>
      <c r="I53" s="13"/>
      <c r="J53" s="33"/>
      <c r="K53" s="33"/>
      <c r="L53" s="33"/>
      <c r="M53" s="33"/>
      <c r="N53" s="33">
        <v>159.9</v>
      </c>
      <c r="O53" s="5">
        <f t="shared" si="27"/>
        <v>4352.1499999999996</v>
      </c>
      <c r="P53" s="5">
        <f t="shared" si="28"/>
        <v>3992.798165137614</v>
      </c>
      <c r="Q53" s="5">
        <f t="shared" si="29"/>
        <v>359.35183486238566</v>
      </c>
      <c r="R53" s="21">
        <f t="shared" si="30"/>
        <v>212.29999999999998</v>
      </c>
      <c r="S53" s="71"/>
      <c r="T53" s="61">
        <v>20.5</v>
      </c>
      <c r="U53" s="13">
        <f t="shared" ref="U53:U54" si="33">+R53*T53</f>
        <v>4352.1499999999996</v>
      </c>
      <c r="W53" s="142"/>
    </row>
    <row r="54" spans="1:23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f>16.4+152.52</f>
        <v>168.92000000000002</v>
      </c>
      <c r="F54" s="14">
        <f>137.76+8269.7</f>
        <v>8407.4600000000009</v>
      </c>
      <c r="G54" s="14">
        <f>7.38+1179.16</f>
        <v>1186.5400000000002</v>
      </c>
      <c r="H54" s="14">
        <v>136.94</v>
      </c>
      <c r="I54" s="14"/>
      <c r="J54" s="76"/>
      <c r="K54" s="76"/>
      <c r="L54" s="76"/>
      <c r="M54" s="76"/>
      <c r="N54" s="76">
        <f>27.06+2027.04</f>
        <v>2054.1</v>
      </c>
      <c r="O54" s="6">
        <f t="shared" si="27"/>
        <v>11953.960000000003</v>
      </c>
      <c r="P54" s="6">
        <f t="shared" si="28"/>
        <v>10966.935779816515</v>
      </c>
      <c r="Q54" s="6">
        <f t="shared" si="29"/>
        <v>987.02422018348807</v>
      </c>
      <c r="R54" s="22">
        <f t="shared" si="30"/>
        <v>1457.8000000000004</v>
      </c>
      <c r="S54" s="35"/>
      <c r="T54" s="61">
        <v>32.799999999999997</v>
      </c>
      <c r="U54" s="13">
        <f t="shared" si="33"/>
        <v>47815.840000000011</v>
      </c>
      <c r="W54" s="142"/>
    </row>
    <row r="55" spans="1:23" x14ac:dyDescent="0.25"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6" spans="1:23" x14ac:dyDescent="0.25"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</row>
    <row r="58" spans="1:23" x14ac:dyDescent="0.25">
      <c r="N58" s="137"/>
    </row>
    <row r="74" spans="2:2" x14ac:dyDescent="0.25">
      <c r="B74" s="1"/>
    </row>
  </sheetData>
  <mergeCells count="18">
    <mergeCell ref="U4:U5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Q5"/>
    <mergeCell ref="R4:R5"/>
    <mergeCell ref="F4:F5"/>
    <mergeCell ref="A4:A5"/>
    <mergeCell ref="B4:B5"/>
    <mergeCell ref="C4:C5"/>
    <mergeCell ref="D4:D5"/>
    <mergeCell ref="E4:E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X73"/>
  <sheetViews>
    <sheetView zoomScaleNormal="100" workbookViewId="0">
      <pane xSplit="4" ySplit="4" topLeftCell="J14" activePane="bottomRight" state="frozen"/>
      <selection pane="topRight" activeCell="E1" sqref="E1"/>
      <selection pane="bottomLeft" activeCell="A5" sqref="A5"/>
      <selection pane="bottomRight" activeCell="O19" sqref="O19"/>
    </sheetView>
  </sheetViews>
  <sheetFormatPr defaultColWidth="8.88671875" defaultRowHeight="13.2" outlineLevelCol="1" x14ac:dyDescent="0.25"/>
  <cols>
    <col min="1" max="1" width="10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 outlineLevel="1"/>
    <col min="6" max="6" width="13.332031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55468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2" ht="22.2" customHeight="1" x14ac:dyDescent="0.3">
      <c r="A1" s="40" t="s">
        <v>196</v>
      </c>
      <c r="K1" s="2"/>
      <c r="L1" s="2"/>
      <c r="M1" s="2"/>
      <c r="N1" s="2"/>
    </row>
    <row r="2" spans="1:22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P2" s="3"/>
      <c r="R2" s="3"/>
    </row>
    <row r="3" spans="1:22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2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2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49293.8</v>
      </c>
      <c r="F5" s="82">
        <f t="shared" si="0"/>
        <v>2107249.2199999997</v>
      </c>
      <c r="G5" s="82">
        <f t="shared" si="0"/>
        <v>298646.17999999993</v>
      </c>
      <c r="H5" s="82">
        <f t="shared" si="0"/>
        <v>73729.45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87">
        <f t="shared" ref="M5:R5" si="1">+M6+M18+M44</f>
        <v>108</v>
      </c>
      <c r="N5" s="19">
        <f t="shared" si="1"/>
        <v>206232.77999999997</v>
      </c>
      <c r="O5" s="42">
        <f t="shared" si="1"/>
        <v>2735259.4299999997</v>
      </c>
      <c r="P5" s="42">
        <f t="shared" si="1"/>
        <v>2509412.3211009167</v>
      </c>
      <c r="Q5" s="42">
        <f t="shared" si="1"/>
        <v>225847.10889908284</v>
      </c>
      <c r="R5" s="42">
        <f t="shared" si="1"/>
        <v>57926.266649999983</v>
      </c>
      <c r="S5" s="71"/>
      <c r="T5" s="87"/>
      <c r="U5" s="135">
        <f>+U7+U18+U44</f>
        <v>2071800.9499999997</v>
      </c>
    </row>
    <row r="6" spans="1:22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2">+E7+E11</f>
        <v>0</v>
      </c>
      <c r="F6" s="82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187">
        <f t="shared" si="2"/>
        <v>0</v>
      </c>
      <c r="K6" s="187">
        <f t="shared" si="2"/>
        <v>0</v>
      </c>
      <c r="L6" s="187"/>
      <c r="M6" s="187">
        <f t="shared" ref="M6:R6" si="3">+M7+M11</f>
        <v>0</v>
      </c>
      <c r="N6" s="19">
        <f t="shared" si="3"/>
        <v>0</v>
      </c>
      <c r="O6" s="42">
        <f t="shared" si="3"/>
        <v>0</v>
      </c>
      <c r="P6" s="42">
        <f t="shared" si="3"/>
        <v>0</v>
      </c>
      <c r="Q6" s="42">
        <f t="shared" si="3"/>
        <v>0</v>
      </c>
      <c r="R6" s="44">
        <f t="shared" si="3"/>
        <v>0</v>
      </c>
      <c r="T6" s="61"/>
      <c r="U6" s="13"/>
    </row>
    <row r="7" spans="1:22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4">+SUM(E8:E10)</f>
        <v>0</v>
      </c>
      <c r="F7" s="79">
        <f t="shared" si="4"/>
        <v>0</v>
      </c>
      <c r="G7" s="79">
        <f t="shared" si="4"/>
        <v>0</v>
      </c>
      <c r="H7" s="79">
        <f t="shared" si="4"/>
        <v>0</v>
      </c>
      <c r="I7" s="79">
        <f t="shared" si="4"/>
        <v>0</v>
      </c>
      <c r="J7" s="79">
        <f t="shared" si="4"/>
        <v>0</v>
      </c>
      <c r="K7" s="79">
        <f t="shared" si="4"/>
        <v>0</v>
      </c>
      <c r="L7" s="79"/>
      <c r="M7" s="79">
        <f t="shared" ref="M7:R7" si="5">+SUM(M8:M10)</f>
        <v>0</v>
      </c>
      <c r="N7" s="79">
        <f t="shared" si="5"/>
        <v>0</v>
      </c>
      <c r="O7" s="225">
        <f t="shared" si="5"/>
        <v>0</v>
      </c>
      <c r="P7" s="79">
        <f t="shared" si="5"/>
        <v>0</v>
      </c>
      <c r="Q7" s="79">
        <f t="shared" si="5"/>
        <v>0</v>
      </c>
      <c r="R7" s="226">
        <f t="shared" si="5"/>
        <v>0</v>
      </c>
      <c r="S7" s="71"/>
      <c r="T7" s="134"/>
      <c r="U7" s="105">
        <f>+SUM(U8:U17)</f>
        <v>0</v>
      </c>
    </row>
    <row r="8" spans="1:22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36"/>
      <c r="O8" s="5">
        <f>+SUM(E8:N8)</f>
        <v>0</v>
      </c>
      <c r="P8" s="5">
        <f t="shared" ref="P8:P10" si="6">+O8/1.09</f>
        <v>0</v>
      </c>
      <c r="Q8" s="5">
        <f t="shared" ref="Q8:Q10" si="7">+O8-P8</f>
        <v>0</v>
      </c>
      <c r="R8" s="21">
        <f>O8/D8</f>
        <v>0</v>
      </c>
      <c r="S8" s="71"/>
      <c r="T8" s="61"/>
      <c r="U8" s="13"/>
      <c r="V8" s="2"/>
    </row>
    <row r="9" spans="1:22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8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43"/>
      <c r="O9" s="26">
        <f>+SUM(E9:N9)</f>
        <v>0</v>
      </c>
      <c r="P9" s="26">
        <f t="shared" si="6"/>
        <v>0</v>
      </c>
      <c r="Q9" s="26">
        <f t="shared" si="7"/>
        <v>0</v>
      </c>
      <c r="R9" s="39">
        <f>O9/D9</f>
        <v>0</v>
      </c>
      <c r="S9" s="71"/>
      <c r="T9" s="61">
        <v>1.75</v>
      </c>
      <c r="U9" s="13">
        <f>+R9*T9</f>
        <v>0</v>
      </c>
    </row>
    <row r="10" spans="1:22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6">
        <f>+SUM(E10:N10)</f>
        <v>0</v>
      </c>
      <c r="P10" s="6">
        <f t="shared" si="6"/>
        <v>0</v>
      </c>
      <c r="Q10" s="6">
        <f t="shared" si="7"/>
        <v>0</v>
      </c>
      <c r="R10" s="22">
        <f>O10/D10</f>
        <v>0</v>
      </c>
      <c r="S10" s="71"/>
      <c r="T10" s="107">
        <v>2.8</v>
      </c>
      <c r="U10" s="13">
        <f>+R10*T10</f>
        <v>0</v>
      </c>
    </row>
    <row r="11" spans="1:22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9">+SUM(E12:E17)</f>
        <v>0</v>
      </c>
      <c r="F11" s="84">
        <f t="shared" si="9"/>
        <v>0</v>
      </c>
      <c r="G11" s="84">
        <f t="shared" si="9"/>
        <v>0</v>
      </c>
      <c r="H11" s="84">
        <f t="shared" si="9"/>
        <v>0</v>
      </c>
      <c r="I11" s="84">
        <f t="shared" si="9"/>
        <v>0</v>
      </c>
      <c r="J11" s="74">
        <f t="shared" si="9"/>
        <v>0</v>
      </c>
      <c r="K11" s="101">
        <f t="shared" si="9"/>
        <v>0</v>
      </c>
      <c r="L11" s="101"/>
      <c r="M11" s="101">
        <f t="shared" ref="M11:R11" si="10">+SUM(M12:M17)</f>
        <v>0</v>
      </c>
      <c r="N11" s="101">
        <f t="shared" si="10"/>
        <v>0</v>
      </c>
      <c r="O11" s="43">
        <f t="shared" si="10"/>
        <v>0</v>
      </c>
      <c r="P11" s="43">
        <f t="shared" si="10"/>
        <v>0</v>
      </c>
      <c r="Q11" s="43">
        <f t="shared" si="10"/>
        <v>0</v>
      </c>
      <c r="R11" s="45">
        <f t="shared" si="10"/>
        <v>0</v>
      </c>
      <c r="S11" s="71"/>
      <c r="T11" s="61"/>
      <c r="U11" s="13"/>
    </row>
    <row r="12" spans="1:22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33"/>
      <c r="O12" s="5">
        <f t="shared" ref="O12:O17" si="11">+SUM(E12:N12)</f>
        <v>0</v>
      </c>
      <c r="P12" s="5">
        <f t="shared" ref="P12:P17" si="12">+O12/1.09</f>
        <v>0</v>
      </c>
      <c r="Q12" s="5">
        <f t="shared" ref="Q12:Q17" si="13">+O12-P12</f>
        <v>0</v>
      </c>
      <c r="R12" s="21">
        <f t="shared" ref="R12:R17" si="14">O12/D12</f>
        <v>0</v>
      </c>
      <c r="S12" s="2"/>
      <c r="T12" s="61"/>
      <c r="U12" s="13"/>
    </row>
    <row r="13" spans="1:22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33"/>
      <c r="O13" s="5">
        <f t="shared" si="11"/>
        <v>0</v>
      </c>
      <c r="P13" s="5">
        <f t="shared" si="12"/>
        <v>0</v>
      </c>
      <c r="Q13" s="5">
        <f t="shared" si="13"/>
        <v>0</v>
      </c>
      <c r="R13" s="21">
        <f t="shared" si="14"/>
        <v>0</v>
      </c>
      <c r="S13" s="71"/>
      <c r="T13" s="107">
        <v>1.1000000000000001</v>
      </c>
      <c r="U13" s="13">
        <f t="shared" ref="U13:U14" si="15">+R13*T13</f>
        <v>0</v>
      </c>
    </row>
    <row r="14" spans="1:22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33"/>
      <c r="O14" s="5">
        <f t="shared" si="11"/>
        <v>0</v>
      </c>
      <c r="P14" s="5">
        <f t="shared" ref="P14:P16" si="16">+O14/1.09</f>
        <v>0</v>
      </c>
      <c r="Q14" s="5">
        <f t="shared" ref="Q14:Q16" si="17">+O14-P14</f>
        <v>0</v>
      </c>
      <c r="R14" s="21">
        <f t="shared" si="14"/>
        <v>0</v>
      </c>
      <c r="S14" s="71"/>
      <c r="T14" s="61">
        <v>1.76</v>
      </c>
      <c r="U14" s="13">
        <f t="shared" si="15"/>
        <v>0</v>
      </c>
    </row>
    <row r="15" spans="1:22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33"/>
      <c r="O15" s="5">
        <f t="shared" si="11"/>
        <v>0</v>
      </c>
      <c r="P15" s="5">
        <f t="shared" si="16"/>
        <v>0</v>
      </c>
      <c r="Q15" s="5">
        <f t="shared" si="17"/>
        <v>0</v>
      </c>
      <c r="R15" s="21">
        <f t="shared" si="14"/>
        <v>0</v>
      </c>
      <c r="S15" s="71"/>
      <c r="T15" s="61"/>
      <c r="U15" s="13"/>
    </row>
    <row r="16" spans="1:22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33"/>
      <c r="O16" s="5">
        <f t="shared" si="11"/>
        <v>0</v>
      </c>
      <c r="P16" s="5">
        <f t="shared" si="16"/>
        <v>0</v>
      </c>
      <c r="Q16" s="5">
        <f t="shared" si="17"/>
        <v>0</v>
      </c>
      <c r="R16" s="21">
        <f t="shared" si="14"/>
        <v>0</v>
      </c>
      <c r="S16" s="71"/>
      <c r="T16" s="107">
        <v>1.6</v>
      </c>
      <c r="U16" s="13">
        <f t="shared" ref="U16:U17" si="18">+R16*T16</f>
        <v>0</v>
      </c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76"/>
      <c r="O17" s="5">
        <f t="shared" si="11"/>
        <v>0</v>
      </c>
      <c r="P17" s="5">
        <f t="shared" si="12"/>
        <v>0</v>
      </c>
      <c r="Q17" s="5">
        <f t="shared" si="13"/>
        <v>0</v>
      </c>
      <c r="R17" s="22">
        <f t="shared" si="14"/>
        <v>0</v>
      </c>
      <c r="S17" s="71"/>
      <c r="T17" s="61">
        <v>2.56</v>
      </c>
      <c r="U17" s="13">
        <f t="shared" si="18"/>
        <v>0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49106.020000000004</v>
      </c>
      <c r="F18" s="118">
        <f t="shared" ref="F18:R18" si="19">+SUM(F19:F43)</f>
        <v>2097637.7799999998</v>
      </c>
      <c r="G18" s="118">
        <f t="shared" si="19"/>
        <v>297512.51999999996</v>
      </c>
      <c r="H18" s="118">
        <f t="shared" si="19"/>
        <v>73391.039999999994</v>
      </c>
      <c r="I18" s="118">
        <f t="shared" si="19"/>
        <v>0</v>
      </c>
      <c r="J18" s="118">
        <f t="shared" si="19"/>
        <v>0</v>
      </c>
      <c r="K18" s="118">
        <f t="shared" si="19"/>
        <v>0</v>
      </c>
      <c r="L18" s="118"/>
      <c r="M18" s="118">
        <f t="shared" si="19"/>
        <v>108</v>
      </c>
      <c r="N18" s="118">
        <f t="shared" si="19"/>
        <v>205510.47999999998</v>
      </c>
      <c r="O18" s="118">
        <f t="shared" si="19"/>
        <v>2723265.84</v>
      </c>
      <c r="P18" s="118">
        <f t="shared" si="19"/>
        <v>2498409.0275229351</v>
      </c>
      <c r="Q18" s="118">
        <f t="shared" si="19"/>
        <v>224856.81247706449</v>
      </c>
      <c r="R18" s="118">
        <f t="shared" si="19"/>
        <v>57449.099983333319</v>
      </c>
      <c r="S18" s="71"/>
      <c r="T18" s="61"/>
      <c r="U18" s="105">
        <f>+SUM(U19:U42)</f>
        <v>2066324.0399999998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28393.33</v>
      </c>
      <c r="F19" s="92">
        <v>1193326.67</v>
      </c>
      <c r="G19" s="92">
        <v>165546.67000000001</v>
      </c>
      <c r="H19" s="92">
        <v>32716.67</v>
      </c>
      <c r="I19" s="23"/>
      <c r="J19" s="34"/>
      <c r="K19" s="34"/>
      <c r="L19" s="34"/>
      <c r="M19" s="34">
        <v>90</v>
      </c>
      <c r="N19" s="34">
        <v>106886.67</v>
      </c>
      <c r="O19" s="5">
        <f t="shared" ref="O19:O43" si="20">+SUM(E19:N19)</f>
        <v>1526960.0099999998</v>
      </c>
      <c r="P19" s="99">
        <f t="shared" ref="P19:P43" si="21">+O19/1.09</f>
        <v>1400880.7431192657</v>
      </c>
      <c r="Q19" s="24">
        <f>+O19-P19</f>
        <v>126079.26688073413</v>
      </c>
      <c r="R19" s="94">
        <f t="shared" ref="R19:R42" si="22">O19/D19</f>
        <v>15269.600099999998</v>
      </c>
      <c r="S19" s="41"/>
      <c r="T19" s="61"/>
      <c r="U19" s="106"/>
      <c r="V19"/>
      <c r="W19" s="142"/>
      <c r="X19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4206.67</v>
      </c>
      <c r="F20" s="48">
        <v>328556.67</v>
      </c>
      <c r="G20" s="48">
        <v>43983.33</v>
      </c>
      <c r="H20" s="48">
        <v>10640</v>
      </c>
      <c r="I20" s="13"/>
      <c r="J20" s="33"/>
      <c r="K20" s="33"/>
      <c r="L20" s="33"/>
      <c r="M20" s="33"/>
      <c r="N20" s="33">
        <v>6601.67</v>
      </c>
      <c r="O20" s="5">
        <f t="shared" si="20"/>
        <v>393988.33999999997</v>
      </c>
      <c r="P20" s="5">
        <f t="shared" si="21"/>
        <v>361457.19266055041</v>
      </c>
      <c r="Q20" s="5">
        <f t="shared" ref="Q20:Q43" si="23">+O20-P20</f>
        <v>32531.147339449555</v>
      </c>
      <c r="R20" s="21">
        <f t="shared" si="22"/>
        <v>7879.7667999999994</v>
      </c>
      <c r="S20" s="41"/>
      <c r="T20" s="61">
        <v>50</v>
      </c>
      <c r="U20" s="13">
        <f t="shared" ref="U20:U21" si="24">+R20*T20</f>
        <v>393988.33999999997</v>
      </c>
      <c r="W20" s="142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f>726.67+6453.33</f>
        <v>7180</v>
      </c>
      <c r="F21" s="95">
        <f>3986.67+282660</f>
        <v>286646.67</v>
      </c>
      <c r="G21" s="95">
        <f>566+46836.67</f>
        <v>47402.67</v>
      </c>
      <c r="H21" s="95">
        <v>4238</v>
      </c>
      <c r="I21" s="13"/>
      <c r="J21" s="33"/>
      <c r="K21" s="33"/>
      <c r="L21" s="33"/>
      <c r="M21" s="33">
        <v>18</v>
      </c>
      <c r="N21" s="33">
        <f>355.33+29288.67</f>
        <v>29644</v>
      </c>
      <c r="O21" s="5">
        <f t="shared" si="20"/>
        <v>375129.33999999997</v>
      </c>
      <c r="P21" s="5">
        <f t="shared" si="21"/>
        <v>344155.35779816506</v>
      </c>
      <c r="Q21" s="5">
        <f t="shared" si="23"/>
        <v>30973.982201834908</v>
      </c>
      <c r="R21" s="21">
        <f t="shared" si="22"/>
        <v>18756.466999999997</v>
      </c>
      <c r="S21" s="41"/>
      <c r="T21" s="61">
        <v>80</v>
      </c>
      <c r="U21" s="13">
        <f t="shared" si="24"/>
        <v>1500517.3599999999</v>
      </c>
      <c r="W21" s="142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4011</v>
      </c>
      <c r="F22" s="48">
        <v>165819</v>
      </c>
      <c r="G22" s="95">
        <v>24894</v>
      </c>
      <c r="H22" s="95">
        <v>7335</v>
      </c>
      <c r="I22" s="13"/>
      <c r="J22" s="33"/>
      <c r="K22" s="33"/>
      <c r="L22" s="33"/>
      <c r="M22" s="33"/>
      <c r="N22" s="33">
        <v>32796</v>
      </c>
      <c r="O22" s="5">
        <f t="shared" si="20"/>
        <v>234855</v>
      </c>
      <c r="P22" s="5">
        <f t="shared" si="21"/>
        <v>215463.30275229356</v>
      </c>
      <c r="Q22" s="5">
        <f t="shared" si="23"/>
        <v>19391.697247706441</v>
      </c>
      <c r="R22" s="21">
        <f t="shared" si="22"/>
        <v>2609.5</v>
      </c>
      <c r="S22" s="41"/>
      <c r="T22" s="61"/>
      <c r="U22" s="13"/>
      <c r="W22" s="142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295.5</v>
      </c>
      <c r="F23" s="95">
        <v>8661</v>
      </c>
      <c r="G23" s="95">
        <v>1341</v>
      </c>
      <c r="H23" s="95">
        <v>510</v>
      </c>
      <c r="I23" s="13"/>
      <c r="J23" s="33"/>
      <c r="K23" s="33"/>
      <c r="L23" s="33"/>
      <c r="M23" s="33"/>
      <c r="N23" s="33">
        <v>1269</v>
      </c>
      <c r="O23" s="5">
        <f t="shared" si="20"/>
        <v>12076.5</v>
      </c>
      <c r="P23" s="5">
        <f t="shared" si="21"/>
        <v>11079.357798165136</v>
      </c>
      <c r="Q23" s="5">
        <f t="shared" si="23"/>
        <v>997.14220183486395</v>
      </c>
      <c r="R23" s="21">
        <f t="shared" si="22"/>
        <v>268.36666666666667</v>
      </c>
      <c r="S23" s="35"/>
      <c r="T23" s="61">
        <v>45</v>
      </c>
      <c r="U23" s="13">
        <f t="shared" ref="U23:U24" si="25">+R23*T23</f>
        <v>12076.5</v>
      </c>
      <c r="W23" s="142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f>5.4+247.2</f>
        <v>252.6</v>
      </c>
      <c r="F24" s="95">
        <f>51+5060.4</f>
        <v>5111.3999999999996</v>
      </c>
      <c r="G24" s="95">
        <f>3+740.4</f>
        <v>743.4</v>
      </c>
      <c r="H24" s="95">
        <v>141</v>
      </c>
      <c r="I24" s="13"/>
      <c r="J24" s="33"/>
      <c r="K24" s="33"/>
      <c r="L24" s="33"/>
      <c r="M24" s="33"/>
      <c r="N24" s="33">
        <f>42.6+1711.8</f>
        <v>1754.3999999999999</v>
      </c>
      <c r="O24" s="5">
        <f t="shared" si="20"/>
        <v>8002.7999999999993</v>
      </c>
      <c r="P24" s="5">
        <f t="shared" si="21"/>
        <v>7342.018348623852</v>
      </c>
      <c r="Q24" s="5">
        <f t="shared" si="23"/>
        <v>660.78165137614724</v>
      </c>
      <c r="R24" s="21">
        <f t="shared" si="22"/>
        <v>444.59999999999997</v>
      </c>
      <c r="S24" s="35"/>
      <c r="T24" s="61">
        <v>72</v>
      </c>
      <c r="U24" s="13">
        <f t="shared" si="25"/>
        <v>32011.199999999997</v>
      </c>
      <c r="W24" s="142"/>
    </row>
    <row r="25" spans="1:24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3436.67</v>
      </c>
      <c r="G25" s="95"/>
      <c r="H25" s="95"/>
      <c r="I25" s="13"/>
      <c r="J25" s="33"/>
      <c r="K25" s="33"/>
      <c r="L25" s="33"/>
      <c r="M25" s="33"/>
      <c r="N25" s="33">
        <v>3463.33</v>
      </c>
      <c r="O25" s="5">
        <f t="shared" si="20"/>
        <v>6900</v>
      </c>
      <c r="P25" s="5">
        <f t="shared" si="21"/>
        <v>6330.2752293577978</v>
      </c>
      <c r="Q25" s="5">
        <f t="shared" si="23"/>
        <v>569.7247706422022</v>
      </c>
      <c r="R25" s="21">
        <f t="shared" si="22"/>
        <v>23</v>
      </c>
      <c r="S25" s="35"/>
      <c r="T25" s="61"/>
      <c r="U25" s="13"/>
      <c r="W25" s="142"/>
    </row>
    <row r="26" spans="1:24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2568.33</v>
      </c>
      <c r="G26" s="95"/>
      <c r="H26" s="95">
        <v>430</v>
      </c>
      <c r="I26" s="13"/>
      <c r="J26" s="33"/>
      <c r="K26" s="33"/>
      <c r="L26" s="33"/>
      <c r="M26" s="33"/>
      <c r="N26" s="33">
        <v>376.67</v>
      </c>
      <c r="O26" s="5">
        <f t="shared" si="20"/>
        <v>3375</v>
      </c>
      <c r="P26" s="5">
        <f t="shared" si="21"/>
        <v>3096.3302752293575</v>
      </c>
      <c r="Q26" s="5">
        <f t="shared" si="23"/>
        <v>278.66972477064246</v>
      </c>
      <c r="R26" s="21">
        <f t="shared" si="22"/>
        <v>22.5</v>
      </c>
      <c r="S26" s="35"/>
      <c r="T26" s="61">
        <v>150</v>
      </c>
      <c r="U26" s="13">
        <f t="shared" ref="U26:U42" si="26">+R26*T26</f>
        <v>3375</v>
      </c>
      <c r="W26" s="142"/>
    </row>
    <row r="27" spans="1:24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378</v>
      </c>
      <c r="F27" s="95">
        <f>99.33+10392.67</f>
        <v>10492</v>
      </c>
      <c r="G27" s="95">
        <v>1964</v>
      </c>
      <c r="H27" s="95">
        <v>763.33</v>
      </c>
      <c r="I27" s="13"/>
      <c r="J27" s="33"/>
      <c r="K27" s="33"/>
      <c r="L27" s="33"/>
      <c r="M27" s="33"/>
      <c r="N27" s="33">
        <f>139.33+9748</f>
        <v>9887.33</v>
      </c>
      <c r="O27" s="5">
        <f t="shared" si="20"/>
        <v>23484.66</v>
      </c>
      <c r="P27" s="5">
        <f t="shared" si="21"/>
        <v>21545.559633027522</v>
      </c>
      <c r="Q27" s="5">
        <f t="shared" si="23"/>
        <v>1939.1003669724778</v>
      </c>
      <c r="R27" s="21">
        <f t="shared" si="22"/>
        <v>391.411</v>
      </c>
      <c r="S27" s="35"/>
      <c r="T27" s="61">
        <v>240</v>
      </c>
      <c r="U27" s="13">
        <f t="shared" si="26"/>
        <v>93938.64</v>
      </c>
      <c r="W27" s="142"/>
    </row>
    <row r="28" spans="1:24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>
        <v>378</v>
      </c>
      <c r="G28" s="95"/>
      <c r="H28" s="95">
        <v>780</v>
      </c>
      <c r="I28" s="13"/>
      <c r="J28" s="33"/>
      <c r="K28" s="33"/>
      <c r="L28" s="33"/>
      <c r="M28" s="33"/>
      <c r="N28" s="33">
        <v>3474</v>
      </c>
      <c r="O28" s="5">
        <f t="shared" si="20"/>
        <v>4632</v>
      </c>
      <c r="P28" s="5">
        <f t="shared" si="21"/>
        <v>4249.5412844036691</v>
      </c>
      <c r="Q28" s="5">
        <f t="shared" si="23"/>
        <v>382.45871559633088</v>
      </c>
      <c r="R28" s="21">
        <f t="shared" si="22"/>
        <v>17.155555555555555</v>
      </c>
      <c r="S28" s="35"/>
      <c r="T28" s="61"/>
      <c r="U28" s="13"/>
      <c r="W28" s="142"/>
    </row>
    <row r="29" spans="1:24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/>
      <c r="G29" s="95"/>
      <c r="H29" s="95"/>
      <c r="I29" s="13"/>
      <c r="J29" s="33"/>
      <c r="K29" s="33"/>
      <c r="L29" s="33"/>
      <c r="M29" s="33"/>
      <c r="N29" s="33">
        <v>100.5</v>
      </c>
      <c r="O29" s="5">
        <f t="shared" si="20"/>
        <v>100.5</v>
      </c>
      <c r="P29" s="5">
        <f t="shared" si="21"/>
        <v>92.201834862385311</v>
      </c>
      <c r="Q29" s="5">
        <f t="shared" si="23"/>
        <v>8.2981651376146885</v>
      </c>
      <c r="R29" s="21">
        <f t="shared" si="22"/>
        <v>0.74444444444444446</v>
      </c>
      <c r="S29" s="35"/>
      <c r="T29" s="61">
        <v>135</v>
      </c>
      <c r="U29" s="13">
        <f t="shared" si="26"/>
        <v>100.5</v>
      </c>
      <c r="W29" s="142"/>
    </row>
    <row r="30" spans="1:24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0">
        <v>75</v>
      </c>
      <c r="F30" s="95">
        <v>355.8</v>
      </c>
      <c r="G30" s="95">
        <v>36.6</v>
      </c>
      <c r="H30" s="95">
        <v>120.6</v>
      </c>
      <c r="I30" s="13"/>
      <c r="J30" s="33"/>
      <c r="K30" s="33"/>
      <c r="L30" s="33"/>
      <c r="M30" s="33"/>
      <c r="N30" s="33">
        <f>115.2+1010.4</f>
        <v>1125.5999999999999</v>
      </c>
      <c r="O30" s="5">
        <f t="shared" si="20"/>
        <v>1713.6</v>
      </c>
      <c r="P30" s="5">
        <f t="shared" si="21"/>
        <v>1572.110091743119</v>
      </c>
      <c r="Q30" s="5">
        <f t="shared" si="23"/>
        <v>141.48990825688088</v>
      </c>
      <c r="R30" s="21">
        <f t="shared" si="22"/>
        <v>31.733333333333331</v>
      </c>
      <c r="S30" s="35"/>
      <c r="T30" s="61">
        <v>216</v>
      </c>
      <c r="U30" s="13">
        <f t="shared" si="26"/>
        <v>6854.4</v>
      </c>
      <c r="W30" s="142"/>
    </row>
    <row r="31" spans="1:24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/>
      <c r="G31" s="95"/>
      <c r="H31" s="95"/>
      <c r="I31" s="13"/>
      <c r="J31" s="33"/>
      <c r="K31" s="33"/>
      <c r="L31" s="33"/>
      <c r="M31" s="33"/>
      <c r="N31" s="33"/>
      <c r="O31" s="5">
        <f t="shared" si="20"/>
        <v>0</v>
      </c>
      <c r="P31" s="5">
        <f t="shared" si="21"/>
        <v>0</v>
      </c>
      <c r="Q31" s="5">
        <f t="shared" si="23"/>
        <v>0</v>
      </c>
      <c r="R31" s="21">
        <f t="shared" si="22"/>
        <v>0</v>
      </c>
      <c r="S31" s="35"/>
      <c r="T31" s="61"/>
      <c r="U31" s="13"/>
      <c r="W31" s="142"/>
    </row>
    <row r="32" spans="1:24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548.33000000000004</v>
      </c>
      <c r="G32" s="95">
        <v>280</v>
      </c>
      <c r="H32" s="95"/>
      <c r="I32" s="13"/>
      <c r="J32" s="33"/>
      <c r="K32" s="33"/>
      <c r="L32" s="33"/>
      <c r="M32" s="33"/>
      <c r="N32" s="33"/>
      <c r="O32" s="5">
        <f t="shared" si="20"/>
        <v>828.33</v>
      </c>
      <c r="P32" s="5">
        <f t="shared" si="21"/>
        <v>759.93577981651379</v>
      </c>
      <c r="Q32" s="5">
        <f t="shared" si="23"/>
        <v>68.394220183486254</v>
      </c>
      <c r="R32" s="21">
        <f t="shared" si="22"/>
        <v>2.7611000000000003</v>
      </c>
      <c r="S32" s="35"/>
      <c r="T32" s="61">
        <v>300</v>
      </c>
      <c r="U32" s="13">
        <f t="shared" si="26"/>
        <v>828.33000000000015</v>
      </c>
      <c r="W32" s="142"/>
    </row>
    <row r="33" spans="1:24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233.33</v>
      </c>
      <c r="F33" s="95">
        <f>106.67+2653.33</f>
        <v>2760</v>
      </c>
      <c r="G33" s="95">
        <v>344</v>
      </c>
      <c r="H33" s="95"/>
      <c r="I33" s="13"/>
      <c r="J33" s="33"/>
      <c r="K33" s="33"/>
      <c r="L33" s="33"/>
      <c r="M33" s="33"/>
      <c r="N33" s="33">
        <f>100+1250</f>
        <v>1350</v>
      </c>
      <c r="O33" s="5">
        <f t="shared" si="20"/>
        <v>4687.33</v>
      </c>
      <c r="P33" s="5">
        <f t="shared" si="21"/>
        <v>4300.3027522935772</v>
      </c>
      <c r="Q33" s="5">
        <f t="shared" si="23"/>
        <v>387.02724770642271</v>
      </c>
      <c r="R33" s="21">
        <f t="shared" si="22"/>
        <v>39.061083333333336</v>
      </c>
      <c r="S33" s="35"/>
      <c r="T33" s="61">
        <v>480</v>
      </c>
      <c r="U33" s="13">
        <f t="shared" si="26"/>
        <v>18749.32</v>
      </c>
      <c r="W33" s="142"/>
    </row>
    <row r="34" spans="1:24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>
        <v>4584</v>
      </c>
      <c r="O34" s="5">
        <f t="shared" si="20"/>
        <v>4584</v>
      </c>
      <c r="P34" s="5">
        <f t="shared" si="21"/>
        <v>4205.5045871559632</v>
      </c>
      <c r="Q34" s="5">
        <f t="shared" si="23"/>
        <v>378.49541284403676</v>
      </c>
      <c r="R34" s="21">
        <f t="shared" si="22"/>
        <v>8.4888888888888889</v>
      </c>
      <c r="S34" s="35"/>
      <c r="T34" s="61"/>
      <c r="U34" s="13"/>
      <c r="W34" s="142"/>
    </row>
    <row r="35" spans="1:24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20"/>
        <v>0</v>
      </c>
      <c r="P35" s="5">
        <f t="shared" si="21"/>
        <v>0</v>
      </c>
      <c r="Q35" s="5">
        <f t="shared" si="23"/>
        <v>0</v>
      </c>
      <c r="R35" s="21">
        <f t="shared" si="22"/>
        <v>0</v>
      </c>
      <c r="S35" s="35"/>
      <c r="T35" s="61">
        <v>270</v>
      </c>
      <c r="U35" s="13">
        <f t="shared" si="26"/>
        <v>0</v>
      </c>
      <c r="W35" s="142"/>
    </row>
    <row r="36" spans="1:24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>
        <v>93.6</v>
      </c>
      <c r="G36" s="95"/>
      <c r="H36" s="95"/>
      <c r="I36" s="13"/>
      <c r="J36" s="33"/>
      <c r="K36" s="33"/>
      <c r="L36" s="33"/>
      <c r="M36" s="33"/>
      <c r="N36" s="33">
        <v>276.60000000000002</v>
      </c>
      <c r="O36" s="5">
        <f t="shared" si="20"/>
        <v>370.20000000000005</v>
      </c>
      <c r="P36" s="5">
        <f t="shared" si="21"/>
        <v>339.63302752293578</v>
      </c>
      <c r="Q36" s="5">
        <f t="shared" si="23"/>
        <v>30.566972477064269</v>
      </c>
      <c r="R36" s="21">
        <f t="shared" si="22"/>
        <v>3.427777777777778</v>
      </c>
      <c r="S36" s="35"/>
      <c r="T36" s="61">
        <v>432</v>
      </c>
      <c r="U36" s="13">
        <f t="shared" si="26"/>
        <v>1480.8000000000002</v>
      </c>
      <c r="W36" s="142"/>
    </row>
    <row r="37" spans="1:24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>
        <v>2390</v>
      </c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20"/>
        <v>2390</v>
      </c>
      <c r="P37" s="5">
        <f t="shared" si="21"/>
        <v>2192.6605504587155</v>
      </c>
      <c r="Q37" s="5">
        <f t="shared" si="23"/>
        <v>197.33944954128447</v>
      </c>
      <c r="R37" s="21">
        <f t="shared" si="22"/>
        <v>2.6555555555555554</v>
      </c>
      <c r="S37" s="35"/>
      <c r="T37" s="61"/>
      <c r="U37" s="13"/>
      <c r="W37" s="142"/>
    </row>
    <row r="38" spans="1:24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>
        <v>398.33</v>
      </c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20"/>
        <v>398.33</v>
      </c>
      <c r="P38" s="5">
        <f t="shared" si="21"/>
        <v>365.44036697247702</v>
      </c>
      <c r="Q38" s="5">
        <f t="shared" si="23"/>
        <v>32.889633027522962</v>
      </c>
      <c r="R38" s="21">
        <f t="shared" si="22"/>
        <v>0.88517777777777773</v>
      </c>
      <c r="S38" s="35"/>
      <c r="T38" s="61">
        <v>450</v>
      </c>
      <c r="U38" s="13">
        <f t="shared" si="26"/>
        <v>398.33</v>
      </c>
      <c r="W38" s="142"/>
    </row>
    <row r="39" spans="1:24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>
        <v>159.33000000000001</v>
      </c>
      <c r="F39" s="95">
        <v>166</v>
      </c>
      <c r="G39" s="95"/>
      <c r="H39" s="95"/>
      <c r="I39" s="13"/>
      <c r="J39" s="33"/>
      <c r="K39" s="33"/>
      <c r="L39" s="33"/>
      <c r="M39" s="33"/>
      <c r="N39" s="33">
        <v>176</v>
      </c>
      <c r="O39" s="5">
        <f t="shared" si="20"/>
        <v>501.33000000000004</v>
      </c>
      <c r="P39" s="5">
        <f t="shared" si="21"/>
        <v>459.93577981651379</v>
      </c>
      <c r="Q39" s="5">
        <f t="shared" si="23"/>
        <v>41.394220183486254</v>
      </c>
      <c r="R39" s="21">
        <f t="shared" si="22"/>
        <v>2.785166666666667</v>
      </c>
      <c r="S39" s="35"/>
      <c r="T39" s="61">
        <v>720</v>
      </c>
      <c r="U39" s="13">
        <f t="shared" si="26"/>
        <v>2005.3200000000002</v>
      </c>
      <c r="W39" s="142"/>
    </row>
    <row r="40" spans="1:24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>
        <v>1566</v>
      </c>
      <c r="O40" s="5">
        <f t="shared" si="20"/>
        <v>1566</v>
      </c>
      <c r="P40" s="5">
        <f t="shared" si="21"/>
        <v>1436.6972477064219</v>
      </c>
      <c r="Q40" s="5">
        <f t="shared" si="23"/>
        <v>129.30275229357812</v>
      </c>
      <c r="R40" s="21">
        <f t="shared" si="22"/>
        <v>1.9333333333333333</v>
      </c>
      <c r="S40" s="71"/>
      <c r="T40" s="61"/>
      <c r="U40" s="13"/>
      <c r="W40" s="142"/>
    </row>
    <row r="41" spans="1:24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20"/>
        <v>0</v>
      </c>
      <c r="P41" s="5">
        <f t="shared" si="21"/>
        <v>0</v>
      </c>
      <c r="Q41" s="5">
        <f t="shared" si="23"/>
        <v>0</v>
      </c>
      <c r="R41" s="21">
        <f t="shared" si="22"/>
        <v>0</v>
      </c>
      <c r="S41" s="71"/>
      <c r="T41" s="61">
        <v>405</v>
      </c>
      <c r="U41" s="13">
        <f t="shared" si="26"/>
        <v>0</v>
      </c>
      <c r="W41" s="142"/>
    </row>
    <row r="42" spans="1:24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/>
      <c r="O42" s="26">
        <f t="shared" si="20"/>
        <v>0</v>
      </c>
      <c r="P42" s="26">
        <f t="shared" si="21"/>
        <v>0</v>
      </c>
      <c r="Q42" s="26">
        <f t="shared" si="23"/>
        <v>0</v>
      </c>
      <c r="R42" s="39">
        <f t="shared" si="22"/>
        <v>0</v>
      </c>
      <c r="S42" s="71"/>
      <c r="T42" s="61">
        <v>648</v>
      </c>
      <c r="U42" s="13">
        <f t="shared" si="26"/>
        <v>0</v>
      </c>
      <c r="W42" s="142"/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1132.93</v>
      </c>
      <c r="F43" s="124">
        <v>88717.64</v>
      </c>
      <c r="G43" s="124">
        <v>10976.85</v>
      </c>
      <c r="H43" s="124">
        <v>15716.44</v>
      </c>
      <c r="I43" s="124"/>
      <c r="J43" s="124"/>
      <c r="K43" s="124"/>
      <c r="L43" s="124"/>
      <c r="M43" s="124"/>
      <c r="N43" s="124">
        <v>178.71</v>
      </c>
      <c r="O43" s="6">
        <f t="shared" si="20"/>
        <v>116722.57</v>
      </c>
      <c r="P43" s="124">
        <f t="shared" si="21"/>
        <v>107084.92660550459</v>
      </c>
      <c r="Q43" s="6">
        <f t="shared" si="23"/>
        <v>9637.6433944954188</v>
      </c>
      <c r="R43" s="22">
        <f>+O43/D43</f>
        <v>11672.257000000001</v>
      </c>
      <c r="S43" s="71"/>
      <c r="T43" s="61"/>
      <c r="U43" s="13"/>
      <c r="V43" s="2"/>
      <c r="W43" s="1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187.78</v>
      </c>
      <c r="F44" s="82">
        <f>+SUM(F45:F53)</f>
        <v>9611.4399999999987</v>
      </c>
      <c r="G44" s="82">
        <f>+SUM(G45:G53)</f>
        <v>1133.6600000000001</v>
      </c>
      <c r="H44" s="82">
        <f>+SUM(H45:H53)</f>
        <v>338.41</v>
      </c>
      <c r="I44" s="82">
        <f t="shared" ref="I44:R44" si="27">+SUM(I45:I53)</f>
        <v>0</v>
      </c>
      <c r="J44" s="82">
        <f t="shared" si="27"/>
        <v>0</v>
      </c>
      <c r="K44" s="100">
        <f t="shared" si="27"/>
        <v>0</v>
      </c>
      <c r="L44" s="100"/>
      <c r="M44" s="100">
        <f t="shared" si="27"/>
        <v>0</v>
      </c>
      <c r="N44" s="100">
        <f t="shared" si="27"/>
        <v>722.3</v>
      </c>
      <c r="O44" s="42">
        <f>+SUM(O45:O53)</f>
        <v>11993.590000000002</v>
      </c>
      <c r="P44" s="82">
        <f t="shared" si="27"/>
        <v>11003.293577981651</v>
      </c>
      <c r="Q44" s="82">
        <f t="shared" si="27"/>
        <v>990.29642201834918</v>
      </c>
      <c r="R44" s="19">
        <f t="shared" si="27"/>
        <v>477.16666666666663</v>
      </c>
      <c r="S44" s="71"/>
      <c r="T44" s="61"/>
      <c r="U44" s="105">
        <f>+SUM(U45:U68)</f>
        <v>5476.91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75"/>
      <c r="O45" s="5">
        <f t="shared" ref="O45:O53" si="28">+SUM(E45:N45)</f>
        <v>0</v>
      </c>
      <c r="P45" s="99">
        <f t="shared" ref="P45:P53" si="29">+O45/1.09</f>
        <v>0</v>
      </c>
      <c r="Q45" s="64">
        <f t="shared" ref="Q45:Q53" si="30">+O45-P45</f>
        <v>0</v>
      </c>
      <c r="R45" s="85">
        <f t="shared" ref="R45:R53" si="31">O45/D45</f>
        <v>0</v>
      </c>
      <c r="S45" s="71"/>
      <c r="T45" s="61"/>
      <c r="U45" s="13"/>
      <c r="V45"/>
      <c r="W45" s="142"/>
      <c r="X45"/>
    </row>
    <row r="46" spans="1:24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33"/>
      <c r="O46" s="5">
        <f t="shared" si="28"/>
        <v>0</v>
      </c>
      <c r="P46" s="5">
        <f t="shared" si="29"/>
        <v>0</v>
      </c>
      <c r="Q46" s="5">
        <f t="shared" si="30"/>
        <v>0</v>
      </c>
      <c r="R46" s="31">
        <f t="shared" si="31"/>
        <v>0</v>
      </c>
      <c r="S46" s="71"/>
      <c r="T46" s="61">
        <v>6</v>
      </c>
      <c r="U46" s="13">
        <f t="shared" ref="U46:U47" si="32">+R46*T46</f>
        <v>0</v>
      </c>
      <c r="W46" s="142"/>
    </row>
    <row r="47" spans="1:24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33"/>
      <c r="O47" s="5">
        <f t="shared" si="28"/>
        <v>0</v>
      </c>
      <c r="P47" s="5">
        <f t="shared" si="29"/>
        <v>0</v>
      </c>
      <c r="Q47" s="5">
        <f t="shared" si="30"/>
        <v>0</v>
      </c>
      <c r="R47" s="31">
        <f t="shared" si="31"/>
        <v>0</v>
      </c>
      <c r="S47" s="71"/>
      <c r="T47" s="61">
        <v>9.6</v>
      </c>
      <c r="U47" s="13">
        <f t="shared" si="32"/>
        <v>0</v>
      </c>
      <c r="W47" s="142"/>
    </row>
    <row r="48" spans="1:24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/>
      <c r="F48" s="13">
        <v>406</v>
      </c>
      <c r="G48" s="13">
        <v>28</v>
      </c>
      <c r="H48" s="13">
        <v>14</v>
      </c>
      <c r="I48" s="13"/>
      <c r="J48" s="33"/>
      <c r="K48" s="33"/>
      <c r="L48" s="33"/>
      <c r="M48" s="33"/>
      <c r="N48" s="33">
        <v>49</v>
      </c>
      <c r="O48" s="5">
        <f t="shared" si="28"/>
        <v>497</v>
      </c>
      <c r="P48" s="5">
        <f t="shared" si="29"/>
        <v>455.96330275229354</v>
      </c>
      <c r="Q48" s="5">
        <f t="shared" si="30"/>
        <v>41.036697247706456</v>
      </c>
      <c r="R48" s="31">
        <f t="shared" si="31"/>
        <v>23.666666666666668</v>
      </c>
      <c r="S48" s="71"/>
      <c r="T48" s="61"/>
      <c r="U48" s="13"/>
      <c r="W48" s="142"/>
    </row>
    <row r="49" spans="1:23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31.5</v>
      </c>
      <c r="G49" s="13">
        <v>17.5</v>
      </c>
      <c r="H49" s="13"/>
      <c r="I49" s="13"/>
      <c r="J49" s="33"/>
      <c r="K49" s="33"/>
      <c r="L49" s="33"/>
      <c r="M49" s="33"/>
      <c r="N49" s="33"/>
      <c r="O49" s="5">
        <f t="shared" si="28"/>
        <v>49</v>
      </c>
      <c r="P49" s="5">
        <f t="shared" si="29"/>
        <v>44.954128440366972</v>
      </c>
      <c r="Q49" s="5">
        <f t="shared" si="30"/>
        <v>4.0458715596330279</v>
      </c>
      <c r="R49" s="21">
        <f t="shared" si="31"/>
        <v>4.666666666666667</v>
      </c>
      <c r="S49" s="71"/>
      <c r="T49" s="61">
        <v>10.5</v>
      </c>
      <c r="U49" s="13">
        <f t="shared" ref="U49:U50" si="33">+R49*T49</f>
        <v>49</v>
      </c>
      <c r="W49" s="142"/>
    </row>
    <row r="50" spans="1:23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/>
      <c r="F50" s="13">
        <v>254.8</v>
      </c>
      <c r="G50" s="13">
        <v>23.8</v>
      </c>
      <c r="H50" s="13">
        <v>4.2</v>
      </c>
      <c r="I50" s="13"/>
      <c r="J50" s="33"/>
      <c r="K50" s="33"/>
      <c r="L50" s="33"/>
      <c r="M50" s="33"/>
      <c r="N50" s="33">
        <v>37.799999999999997</v>
      </c>
      <c r="O50" s="5">
        <f t="shared" si="28"/>
        <v>320.60000000000002</v>
      </c>
      <c r="P50" s="5">
        <f t="shared" si="29"/>
        <v>294.12844036697248</v>
      </c>
      <c r="Q50" s="5">
        <f t="shared" si="30"/>
        <v>26.471559633027539</v>
      </c>
      <c r="R50" s="21">
        <f t="shared" si="31"/>
        <v>76.333333333333329</v>
      </c>
      <c r="S50" s="71"/>
      <c r="T50" s="61">
        <v>16.8</v>
      </c>
      <c r="U50" s="13">
        <f t="shared" si="33"/>
        <v>1282.3999999999999</v>
      </c>
      <c r="W50" s="142"/>
    </row>
    <row r="51" spans="1:23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139.4</v>
      </c>
      <c r="F51" s="13">
        <v>7835.1</v>
      </c>
      <c r="G51" s="13">
        <v>988.1</v>
      </c>
      <c r="H51" s="13">
        <v>291.10000000000002</v>
      </c>
      <c r="I51" s="13"/>
      <c r="J51" s="33"/>
      <c r="K51" s="33"/>
      <c r="L51" s="33"/>
      <c r="M51" s="33"/>
      <c r="N51" s="33">
        <v>487.9</v>
      </c>
      <c r="O51" s="5">
        <f t="shared" si="28"/>
        <v>9741.6</v>
      </c>
      <c r="P51" s="5">
        <f t="shared" si="29"/>
        <v>8937.2477064220184</v>
      </c>
      <c r="Q51" s="5">
        <f t="shared" si="30"/>
        <v>804.35229357798198</v>
      </c>
      <c r="R51" s="21">
        <f t="shared" si="31"/>
        <v>237.60000000000002</v>
      </c>
      <c r="S51" s="71"/>
      <c r="T51" s="61"/>
      <c r="U51" s="13"/>
      <c r="W51" s="142"/>
    </row>
    <row r="52" spans="1:23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36.9</v>
      </c>
      <c r="F52" s="13">
        <v>381.3</v>
      </c>
      <c r="G52" s="13">
        <v>32.799999999999997</v>
      </c>
      <c r="H52" s="13">
        <v>10.25</v>
      </c>
      <c r="I52" s="13"/>
      <c r="J52" s="33"/>
      <c r="K52" s="33"/>
      <c r="L52" s="33"/>
      <c r="M52" s="33"/>
      <c r="N52" s="33">
        <v>4.0999999999999996</v>
      </c>
      <c r="O52" s="5">
        <f t="shared" si="28"/>
        <v>465.35</v>
      </c>
      <c r="P52" s="5">
        <f t="shared" si="29"/>
        <v>426.92660550458714</v>
      </c>
      <c r="Q52" s="5">
        <f t="shared" si="30"/>
        <v>38.423394495412879</v>
      </c>
      <c r="R52" s="21">
        <f t="shared" si="31"/>
        <v>22.700000000000003</v>
      </c>
      <c r="S52" s="71"/>
      <c r="T52" s="61">
        <v>20.5</v>
      </c>
      <c r="U52" s="13">
        <f t="shared" ref="U52:U53" si="34">+R52*T52</f>
        <v>465.35000000000008</v>
      </c>
      <c r="W52" s="142"/>
    </row>
    <row r="53" spans="1:23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11.48</v>
      </c>
      <c r="F53" s="14">
        <f>1.64+701.1</f>
        <v>702.74</v>
      </c>
      <c r="G53" s="14">
        <f>9.02+34.44</f>
        <v>43.459999999999994</v>
      </c>
      <c r="H53" s="14">
        <v>18.86</v>
      </c>
      <c r="I53" s="14"/>
      <c r="J53" s="76"/>
      <c r="K53" s="76"/>
      <c r="L53" s="76"/>
      <c r="M53" s="76"/>
      <c r="N53" s="76">
        <f>5.74+137.76</f>
        <v>143.5</v>
      </c>
      <c r="O53" s="6">
        <f t="shared" si="28"/>
        <v>920.04000000000008</v>
      </c>
      <c r="P53" s="6">
        <f t="shared" si="29"/>
        <v>844.0733944954128</v>
      </c>
      <c r="Q53" s="6">
        <f t="shared" si="30"/>
        <v>75.966605504587278</v>
      </c>
      <c r="R53" s="22">
        <f t="shared" si="31"/>
        <v>112.20000000000002</v>
      </c>
      <c r="S53" s="35"/>
      <c r="T53" s="61">
        <v>32.799999999999997</v>
      </c>
      <c r="U53" s="13">
        <f t="shared" si="34"/>
        <v>3680.1600000000003</v>
      </c>
      <c r="W53" s="142"/>
    </row>
    <row r="54" spans="1:23" x14ac:dyDescent="0.25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23" x14ac:dyDescent="0.25"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7" spans="1:23" x14ac:dyDescent="0.25">
      <c r="N57" s="137"/>
    </row>
    <row r="73" spans="2:2" x14ac:dyDescent="0.25">
      <c r="B73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D73"/>
  <sheetViews>
    <sheetView topLeftCell="G40" zoomScaleNormal="100" workbookViewId="0">
      <selection activeCell="U9" sqref="U9:U53"/>
    </sheetView>
  </sheetViews>
  <sheetFormatPr defaultColWidth="8.88671875" defaultRowHeight="14.4" outlineLevelCol="1" x14ac:dyDescent="0.3"/>
  <cols>
    <col min="1" max="1" width="11.88671875" style="1" customWidth="1"/>
    <col min="2" max="2" width="5" style="3" customWidth="1"/>
    <col min="3" max="3" width="41" style="1" customWidth="1"/>
    <col min="4" max="4" width="9.88671875" style="4" customWidth="1"/>
    <col min="5" max="5" width="14.554687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3" width="13" style="1" customWidth="1" outlineLevel="1"/>
    <col min="14" max="14" width="11.88671875" style="1" customWidth="1" outlineLevel="1"/>
    <col min="15" max="15" width="12.33203125" style="1" bestFit="1" customWidth="1"/>
    <col min="16" max="16" width="12.33203125" style="1" customWidth="1"/>
    <col min="17" max="17" width="13.109375" style="1" bestFit="1" customWidth="1"/>
    <col min="18" max="18" width="12.33203125" style="1" bestFit="1" customWidth="1"/>
    <col min="19" max="19" width="2.44140625" style="1" customWidth="1"/>
    <col min="20" max="20" width="6.5546875" style="1" customWidth="1" outlineLevel="1"/>
    <col min="21" max="21" width="14.33203125" style="2" customWidth="1" outlineLevel="1"/>
    <col min="22" max="22" width="2.44140625" style="1" customWidth="1" outlineLevel="1"/>
    <col min="24" max="24" width="15.44140625" style="141" hidden="1" customWidth="1" outlineLevel="1"/>
    <col min="25" max="25" width="19.44140625" style="1" hidden="1" customWidth="1" outlineLevel="1"/>
    <col min="26" max="26" width="15.33203125" style="1" hidden="1" customWidth="1" outlineLevel="1"/>
    <col min="27" max="27" width="16" style="1" hidden="1" customWidth="1" outlineLevel="1"/>
    <col min="28" max="28" width="8.88671875" collapsed="1"/>
    <col min="29" max="16384" width="8.88671875" style="1"/>
  </cols>
  <sheetData>
    <row r="1" spans="1:27" ht="16.95" customHeight="1" x14ac:dyDescent="0.3">
      <c r="A1" s="40" t="s">
        <v>196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X1" s="138"/>
    </row>
    <row r="2" spans="1:27" ht="18" customHeight="1" x14ac:dyDescent="0.3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8"/>
      <c r="P2" s="138"/>
      <c r="Q2" s="138"/>
      <c r="R2" s="138"/>
      <c r="U2" s="138"/>
      <c r="X2" s="138"/>
    </row>
    <row r="3" spans="1:27" ht="26.4" customHeight="1" x14ac:dyDescent="0.3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270"/>
      <c r="U3" s="584" t="s">
        <v>148</v>
      </c>
      <c r="X3" s="593" t="s">
        <v>183</v>
      </c>
      <c r="Y3" s="595" t="s">
        <v>209</v>
      </c>
      <c r="Z3" s="595" t="s">
        <v>184</v>
      </c>
      <c r="AA3" s="595" t="s">
        <v>210</v>
      </c>
    </row>
    <row r="4" spans="1:27" ht="27.6" customHeight="1" x14ac:dyDescent="0.3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  <c r="X4" s="594"/>
      <c r="Y4" s="596"/>
      <c r="Z4" s="596"/>
      <c r="AA4" s="596"/>
    </row>
    <row r="5" spans="1:27" ht="12" customHeight="1" x14ac:dyDescent="0.3">
      <c r="A5" s="70" t="s">
        <v>29</v>
      </c>
      <c r="B5" s="52" t="s">
        <v>36</v>
      </c>
      <c r="C5" s="9" t="s">
        <v>45</v>
      </c>
      <c r="D5" s="78"/>
      <c r="E5" s="231">
        <f t="shared" ref="E5:L5" si="0">+E6+E18+E44</f>
        <v>149910.91</v>
      </c>
      <c r="F5" s="82">
        <f t="shared" si="0"/>
        <v>6588597.9099999992</v>
      </c>
      <c r="G5" s="82">
        <f t="shared" si="0"/>
        <v>984093.53</v>
      </c>
      <c r="H5" s="82">
        <f t="shared" si="0"/>
        <v>141626.04999999999</v>
      </c>
      <c r="I5" s="187">
        <f t="shared" si="0"/>
        <v>651414.4</v>
      </c>
      <c r="J5" s="187">
        <f t="shared" si="0"/>
        <v>1021317.15</v>
      </c>
      <c r="K5" s="192">
        <f t="shared" si="0"/>
        <v>961641.78</v>
      </c>
      <c r="L5" s="192">
        <f t="shared" si="0"/>
        <v>781.19999999989341</v>
      </c>
      <c r="M5" s="187">
        <f t="shared" ref="M5:R5" si="1">+M6+M18+M44</f>
        <v>34</v>
      </c>
      <c r="N5" s="19">
        <f t="shared" si="1"/>
        <v>635716.75</v>
      </c>
      <c r="O5" s="42">
        <f t="shared" si="1"/>
        <v>11135133.68</v>
      </c>
      <c r="P5" s="42">
        <f t="shared" si="1"/>
        <v>10215718.972477062</v>
      </c>
      <c r="Q5" s="42">
        <f t="shared" si="1"/>
        <v>919414.70752293628</v>
      </c>
      <c r="R5" s="42">
        <f t="shared" si="1"/>
        <v>2270124.1301592588</v>
      </c>
      <c r="S5" s="71"/>
      <c r="T5" s="87"/>
      <c r="U5" s="135">
        <f>+U6+U18+U44</f>
        <v>6875380.1200000001</v>
      </c>
      <c r="X5" s="42">
        <v>11342441.43</v>
      </c>
      <c r="Y5" s="42">
        <v>2528001.6799999997</v>
      </c>
      <c r="Z5" s="42">
        <v>2735259.4299999997</v>
      </c>
      <c r="AA5" s="42">
        <v>8607182</v>
      </c>
    </row>
    <row r="6" spans="1:27" ht="12" customHeight="1" x14ac:dyDescent="0.3">
      <c r="A6" s="70" t="s">
        <v>12</v>
      </c>
      <c r="B6" s="52" t="s">
        <v>30</v>
      </c>
      <c r="C6" s="9" t="s">
        <v>1</v>
      </c>
      <c r="D6" s="78"/>
      <c r="E6" s="231">
        <f t="shared" ref="E6:L6" si="2">+E7+E11</f>
        <v>30879.38</v>
      </c>
      <c r="F6" s="82">
        <f t="shared" si="2"/>
        <v>1497930.26</v>
      </c>
      <c r="G6" s="82">
        <f t="shared" si="2"/>
        <v>217534.92</v>
      </c>
      <c r="H6" s="82">
        <f t="shared" si="2"/>
        <v>31393.399999999998</v>
      </c>
      <c r="I6" s="187">
        <f t="shared" si="2"/>
        <v>651414.4</v>
      </c>
      <c r="J6" s="187">
        <f t="shared" si="2"/>
        <v>1021317.15</v>
      </c>
      <c r="K6" s="192">
        <f t="shared" si="2"/>
        <v>961641.78</v>
      </c>
      <c r="L6" s="192">
        <f t="shared" si="2"/>
        <v>781.19999999989341</v>
      </c>
      <c r="M6" s="187">
        <f t="shared" ref="M6:R6" si="3">+M7+M11</f>
        <v>22</v>
      </c>
      <c r="N6" s="19">
        <f t="shared" si="3"/>
        <v>163510.34</v>
      </c>
      <c r="O6" s="42">
        <f t="shared" si="3"/>
        <v>4576424.83</v>
      </c>
      <c r="P6" s="42">
        <f t="shared" si="3"/>
        <v>4198554.889908256</v>
      </c>
      <c r="Q6" s="42">
        <f t="shared" si="3"/>
        <v>377869.94009174348</v>
      </c>
      <c r="R6" s="44">
        <f t="shared" si="3"/>
        <v>2125220.9999999995</v>
      </c>
      <c r="T6" s="61"/>
      <c r="U6" s="105">
        <f>+SUM(U8:U17)</f>
        <v>942507.06999999983</v>
      </c>
      <c r="X6" s="42">
        <v>4576424.83</v>
      </c>
      <c r="Y6" s="42">
        <v>0</v>
      </c>
      <c r="Z6" s="42">
        <v>0</v>
      </c>
      <c r="AA6" s="42">
        <v>4576424.83</v>
      </c>
    </row>
    <row r="7" spans="1:27" ht="12" customHeight="1" x14ac:dyDescent="0.3">
      <c r="A7" s="70" t="s">
        <v>52</v>
      </c>
      <c r="B7" s="52" t="s">
        <v>31</v>
      </c>
      <c r="C7" s="8" t="s">
        <v>11</v>
      </c>
      <c r="D7" s="79"/>
      <c r="E7" s="126">
        <f t="shared" ref="E7:L7" si="4">+SUM(E8:E10)</f>
        <v>0</v>
      </c>
      <c r="F7" s="269">
        <f t="shared" si="4"/>
        <v>0</v>
      </c>
      <c r="G7" s="126">
        <f t="shared" si="4"/>
        <v>0</v>
      </c>
      <c r="H7" s="126">
        <f t="shared" si="4"/>
        <v>0</v>
      </c>
      <c r="I7" s="126">
        <f t="shared" si="4"/>
        <v>651414.4</v>
      </c>
      <c r="J7" s="126">
        <f t="shared" si="4"/>
        <v>1021317.15</v>
      </c>
      <c r="K7" s="126">
        <f t="shared" si="4"/>
        <v>0</v>
      </c>
      <c r="L7" s="126">
        <f t="shared" si="4"/>
        <v>0</v>
      </c>
      <c r="M7" s="269">
        <f t="shared" ref="M7:R7" si="5">+SUM(M8:M10)</f>
        <v>0</v>
      </c>
      <c r="N7" s="126">
        <f t="shared" si="5"/>
        <v>0</v>
      </c>
      <c r="O7" s="43">
        <f t="shared" si="5"/>
        <v>1672731.55</v>
      </c>
      <c r="P7" s="43">
        <f t="shared" si="5"/>
        <v>1534616.1009174311</v>
      </c>
      <c r="Q7" s="43">
        <f t="shared" si="5"/>
        <v>138115.44908256896</v>
      </c>
      <c r="R7" s="45">
        <f t="shared" si="5"/>
        <v>603759</v>
      </c>
      <c r="S7" s="71"/>
      <c r="T7" s="134"/>
      <c r="U7" s="105"/>
      <c r="X7" s="43">
        <v>1672731.55</v>
      </c>
      <c r="Y7" s="43">
        <v>0</v>
      </c>
      <c r="Z7" s="43">
        <v>0</v>
      </c>
      <c r="AA7" s="43">
        <v>1672731.55</v>
      </c>
    </row>
    <row r="8" spans="1:27" ht="12" customHeight="1" x14ac:dyDescent="0.3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+'R_2014_01_atkelta(viso)'!E8+R_2014_01_priskirta!E9</f>
        <v>0</v>
      </c>
      <c r="F8" s="127">
        <f>+'R_2014_01_atkelta(viso)'!F8+R_2014_01_priskirta!F9</f>
        <v>0</v>
      </c>
      <c r="G8" s="127">
        <f>+'R_2014_01_atkelta(viso)'!G8+R_2014_01_priskirta!G9</f>
        <v>0</v>
      </c>
      <c r="H8" s="127">
        <f>+'R_2014_01_atkelta(viso)'!H8+R_2014_01_priskirta!H9</f>
        <v>0</v>
      </c>
      <c r="I8" s="127">
        <f>+'R_2014_01_atkelta(viso)'!I8+R_2014_01_priskirta!I9</f>
        <v>480847.5</v>
      </c>
      <c r="J8" s="127">
        <f>+'R_2014_01_atkelta(viso)'!J8+R_2014_01_priskirta!J9</f>
        <v>763773.5</v>
      </c>
      <c r="K8" s="127">
        <f>+'R_2014_01_atkelta(viso)'!K8+R_2014_01_priskirta!K9</f>
        <v>0</v>
      </c>
      <c r="L8" s="127">
        <f>+'R_2014_01_atkelta(viso)'!L8+R_2014_01_priskirta!L9</f>
        <v>0</v>
      </c>
      <c r="M8" s="127">
        <f>+'R_2014_01_atkelta(viso)'!M8+R_2014_01_priskirta!M9</f>
        <v>0</v>
      </c>
      <c r="N8" s="127">
        <f>+'R_2014_01_atkelta(viso)'!N8+R_2014_01_priskirta!N9</f>
        <v>0</v>
      </c>
      <c r="O8" s="152">
        <f>+SUM(E8:N8)</f>
        <v>1244621</v>
      </c>
      <c r="P8" s="229">
        <f>+'R_2014_01_atkelta(viso)'!P8+R_2014_01_priskirta!P9</f>
        <v>1141854.1284403668</v>
      </c>
      <c r="Q8" s="73">
        <f t="shared" ref="Q8:Q10" si="6">+O8-P8</f>
        <v>102766.87155963317</v>
      </c>
      <c r="R8" s="39">
        <f>O8/D8</f>
        <v>355606</v>
      </c>
      <c r="S8" s="71"/>
      <c r="T8" s="61"/>
      <c r="U8" s="13"/>
      <c r="V8" s="2"/>
      <c r="X8" s="5">
        <v>1244621</v>
      </c>
      <c r="Y8" s="5">
        <v>0</v>
      </c>
      <c r="Z8" s="5">
        <v>0</v>
      </c>
      <c r="AA8" s="5">
        <v>1244621</v>
      </c>
    </row>
    <row r="9" spans="1:27" ht="12" customHeight="1" x14ac:dyDescent="0.3">
      <c r="A9" s="54" t="s">
        <v>49</v>
      </c>
      <c r="B9" s="55" t="s">
        <v>48</v>
      </c>
      <c r="C9" s="27" t="s">
        <v>179</v>
      </c>
      <c r="D9" s="38">
        <f t="shared" ref="D9" si="7">+D8*0.5</f>
        <v>1.75</v>
      </c>
      <c r="E9" s="127">
        <f>+'R_2014_01_atkelta(viso)'!E9+R_2014_01_priskirta!E10</f>
        <v>0</v>
      </c>
      <c r="F9" s="127">
        <f>+'R_2014_01_atkelta(viso)'!F9+R_2014_01_priskirta!F10</f>
        <v>0</v>
      </c>
      <c r="G9" s="127">
        <f>+'R_2014_01_atkelta(viso)'!G9+R_2014_01_priskirta!G10</f>
        <v>0</v>
      </c>
      <c r="H9" s="127">
        <f>+'R_2014_01_atkelta(viso)'!H9+R_2014_01_priskirta!H10</f>
        <v>0</v>
      </c>
      <c r="I9" s="127">
        <f>+'R_2014_01_atkelta(viso)'!I9+R_2014_01_priskirta!I10</f>
        <v>167625.5</v>
      </c>
      <c r="J9" s="127">
        <f>+'R_2014_01_atkelta(viso)'!J9+R_2014_01_priskirta!J10</f>
        <v>256380.25</v>
      </c>
      <c r="K9" s="127">
        <f>+'R_2014_01_atkelta(viso)'!K9+R_2014_01_priskirta!K10</f>
        <v>0</v>
      </c>
      <c r="L9" s="127">
        <f>+'R_2014_01_atkelta(viso)'!L9+R_2014_01_priskirta!L10</f>
        <v>0</v>
      </c>
      <c r="M9" s="127">
        <f>+'R_2014_01_atkelta(viso)'!M9+R_2014_01_priskirta!M10</f>
        <v>0</v>
      </c>
      <c r="N9" s="127">
        <f>+'R_2014_01_atkelta(viso)'!N9+R_2014_01_priskirta!N10</f>
        <v>0</v>
      </c>
      <c r="O9" s="206">
        <f>+SUM(E9:N9)</f>
        <v>424005.75</v>
      </c>
      <c r="P9" s="229">
        <f>+'R_2014_01_atkelta(viso)'!P9+R_2014_01_priskirta!P10</f>
        <v>388996.10091743118</v>
      </c>
      <c r="Q9" s="207">
        <f t="shared" si="6"/>
        <v>35009.649082568823</v>
      </c>
      <c r="R9" s="39">
        <f>O9/D9</f>
        <v>242289</v>
      </c>
      <c r="S9" s="71"/>
      <c r="T9" s="61">
        <v>1.75</v>
      </c>
      <c r="U9" s="13">
        <f>+R9*T9</f>
        <v>424005.75</v>
      </c>
      <c r="X9" s="5">
        <v>424005.75</v>
      </c>
      <c r="Y9" s="5">
        <v>0</v>
      </c>
      <c r="Z9" s="5">
        <v>0</v>
      </c>
      <c r="AA9" s="5">
        <v>424005.75</v>
      </c>
    </row>
    <row r="10" spans="1:27" ht="12" customHeight="1" x14ac:dyDescent="0.3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+'R_2014_01_atkelta(viso)'!E10+R_2014_01_priskirta!E11</f>
        <v>0</v>
      </c>
      <c r="F10" s="127">
        <f>+'R_2014_01_atkelta(viso)'!F10+R_2014_01_priskirta!F11</f>
        <v>0</v>
      </c>
      <c r="G10" s="127">
        <f>+'R_2014_01_atkelta(viso)'!G10+R_2014_01_priskirta!G11</f>
        <v>0</v>
      </c>
      <c r="H10" s="127">
        <f>+'R_2014_01_atkelta(viso)'!H10+R_2014_01_priskirta!H11</f>
        <v>0</v>
      </c>
      <c r="I10" s="127">
        <f>+'R_2014_01_atkelta(viso)'!I10+R_2014_01_priskirta!I11</f>
        <v>2941.4</v>
      </c>
      <c r="J10" s="127">
        <f>+'R_2014_01_atkelta(viso)'!J10+R_2014_01_priskirta!J11</f>
        <v>1163.4000000000001</v>
      </c>
      <c r="K10" s="127">
        <f>+'R_2014_01_atkelta(viso)'!K10+R_2014_01_priskirta!K11</f>
        <v>0</v>
      </c>
      <c r="L10" s="127">
        <f>+'R_2014_01_atkelta(viso)'!L10+R_2014_01_priskirta!L11</f>
        <v>0</v>
      </c>
      <c r="M10" s="127">
        <f>+'R_2014_01_atkelta(viso)'!M10+R_2014_01_priskirta!M11</f>
        <v>0</v>
      </c>
      <c r="N10" s="127">
        <f>+'R_2014_01_atkelta(viso)'!N10+R_2014_01_priskirta!N11</f>
        <v>0</v>
      </c>
      <c r="O10" s="206">
        <f>+SUM(E10:N10)</f>
        <v>4104.8</v>
      </c>
      <c r="P10" s="140">
        <f>+'R_2014_01_atkelta(viso)'!P10+R_2014_01_priskirta!P11</f>
        <v>3765.8715596330276</v>
      </c>
      <c r="Q10" s="207">
        <f t="shared" si="6"/>
        <v>338.92844036697261</v>
      </c>
      <c r="R10" s="39">
        <f>O10/D10</f>
        <v>5864.0000000000009</v>
      </c>
      <c r="S10" s="71"/>
      <c r="T10" s="107">
        <v>2.8</v>
      </c>
      <c r="U10" s="13">
        <f>+R10*T10</f>
        <v>16419.2</v>
      </c>
      <c r="V10" s="2"/>
      <c r="X10" s="6">
        <v>4104.8</v>
      </c>
      <c r="Y10" s="227">
        <v>0</v>
      </c>
      <c r="Z10" s="6">
        <v>0</v>
      </c>
      <c r="AA10" s="6">
        <v>4104.8</v>
      </c>
    </row>
    <row r="11" spans="1:27" ht="12" customHeight="1" x14ac:dyDescent="0.3">
      <c r="A11" s="70" t="s">
        <v>14</v>
      </c>
      <c r="B11" s="52" t="s">
        <v>32</v>
      </c>
      <c r="C11" s="8" t="s">
        <v>46</v>
      </c>
      <c r="D11" s="79"/>
      <c r="E11" s="129">
        <f t="shared" ref="E11:L11" si="8">+SUM(E12:E17)</f>
        <v>30879.38</v>
      </c>
      <c r="F11" s="84">
        <f t="shared" si="8"/>
        <v>1497930.26</v>
      </c>
      <c r="G11" s="84">
        <f t="shared" si="8"/>
        <v>217534.92</v>
      </c>
      <c r="H11" s="84">
        <f t="shared" si="8"/>
        <v>31393.399999999998</v>
      </c>
      <c r="I11" s="84">
        <f t="shared" si="8"/>
        <v>0</v>
      </c>
      <c r="J11" s="74">
        <f t="shared" si="8"/>
        <v>0</v>
      </c>
      <c r="K11" s="101">
        <f t="shared" si="8"/>
        <v>961641.78</v>
      </c>
      <c r="L11" s="101">
        <f t="shared" si="8"/>
        <v>781.19999999989341</v>
      </c>
      <c r="M11" s="101">
        <f t="shared" ref="M11:R11" si="9">+SUM(M12:M17)</f>
        <v>22</v>
      </c>
      <c r="N11" s="101">
        <f t="shared" si="9"/>
        <v>163510.34</v>
      </c>
      <c r="O11" s="211">
        <f t="shared" si="9"/>
        <v>2903693.28</v>
      </c>
      <c r="P11" s="43">
        <f t="shared" si="9"/>
        <v>2663938.7889908254</v>
      </c>
      <c r="Q11" s="72">
        <f t="shared" si="9"/>
        <v>239754.4910091745</v>
      </c>
      <c r="R11" s="45">
        <f t="shared" si="9"/>
        <v>1521461.9999999995</v>
      </c>
      <c r="S11" s="71"/>
      <c r="T11" s="61"/>
      <c r="U11" s="13"/>
      <c r="X11" s="43">
        <v>2903693.28</v>
      </c>
      <c r="Y11" s="43">
        <v>0</v>
      </c>
      <c r="Z11" s="43">
        <v>0</v>
      </c>
      <c r="AA11" s="43">
        <v>2903693.28</v>
      </c>
    </row>
    <row r="12" spans="1:27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+'R_2014_01_atkelta(viso)'!E12+R_2014_01_priskirta!E13</f>
        <v>24791.8</v>
      </c>
      <c r="F12" s="127">
        <f>+'R_2014_01_atkelta(viso)'!F12+R_2014_01_priskirta!F13</f>
        <v>1158502.3999999999</v>
      </c>
      <c r="G12" s="127">
        <f>+'R_2014_01_atkelta(viso)'!G12+R_2014_01_priskirta!G13</f>
        <v>161953</v>
      </c>
      <c r="H12" s="127">
        <f>+'R_2014_01_atkelta(viso)'!H12+R_2014_01_priskirta!H13</f>
        <v>23821.599999999999</v>
      </c>
      <c r="I12" s="127">
        <f>+'R_2014_01_atkelta(viso)'!I12+R_2014_01_priskirta!I13</f>
        <v>0</v>
      </c>
      <c r="J12" s="127">
        <f>+'R_2014_01_atkelta(viso)'!J12+R_2014_01_priskirta!J13</f>
        <v>0</v>
      </c>
      <c r="K12" s="127">
        <f>+'R_2014_01_atkelta(viso)'!K12+R_2014_01_priskirta!K13</f>
        <v>755629.6</v>
      </c>
      <c r="L12" s="127">
        <f>+'R_2014_01_atkelta(viso)'!L12+R_2014_01_priskirta!L13</f>
        <v>629.19999999995343</v>
      </c>
      <c r="M12" s="127">
        <f>+'R_2014_01_atkelta(viso)'!M12+R_2014_01_priskirta!M13</f>
        <v>22</v>
      </c>
      <c r="N12" s="127">
        <f>+'R_2014_01_atkelta(viso)'!N12+R_2014_01_priskirta!N13</f>
        <v>145228.6</v>
      </c>
      <c r="O12" s="152">
        <f t="shared" ref="O12:O17" si="10">+SUM(E12:N12)</f>
        <v>2270578.1999999997</v>
      </c>
      <c r="P12" s="229">
        <f>+'R_2014_01_atkelta(viso)'!P12+R_2014_01_priskirta!P13</f>
        <v>2083099.2660550454</v>
      </c>
      <c r="Q12" s="73">
        <f t="shared" ref="Q12:Q17" si="11">+O12-P12</f>
        <v>187478.9339449543</v>
      </c>
      <c r="R12" s="21">
        <f t="shared" ref="R12:R17" si="12">O12/D12</f>
        <v>1032080.9999999998</v>
      </c>
      <c r="S12" s="2"/>
      <c r="T12" s="61"/>
      <c r="U12" s="13"/>
      <c r="X12" s="5">
        <v>2270578.1999999997</v>
      </c>
      <c r="Y12" s="24">
        <v>0</v>
      </c>
      <c r="Z12" s="24">
        <v>0</v>
      </c>
      <c r="AA12" s="24">
        <v>2270578.1999999997</v>
      </c>
    </row>
    <row r="13" spans="1:27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+'R_2014_01_atkelta(viso)'!E13+R_2014_01_priskirta!E14</f>
        <v>5580.3</v>
      </c>
      <c r="F13" s="127">
        <f>+'R_2014_01_atkelta(viso)'!F13+R_2014_01_priskirta!F14</f>
        <v>312931.3</v>
      </c>
      <c r="G13" s="127">
        <f>+'R_2014_01_atkelta(viso)'!G13+R_2014_01_priskirta!G14</f>
        <v>50503.199999999997</v>
      </c>
      <c r="H13" s="127">
        <f>+'R_2014_01_atkelta(viso)'!H13+R_2014_01_priskirta!H14</f>
        <v>7092.8</v>
      </c>
      <c r="I13" s="127">
        <f>+'R_2014_01_atkelta(viso)'!I13+R_2014_01_priskirta!I14</f>
        <v>0</v>
      </c>
      <c r="J13" s="127">
        <f>+'R_2014_01_atkelta(viso)'!J13+R_2014_01_priskirta!J14</f>
        <v>0</v>
      </c>
      <c r="K13" s="127">
        <f>+'R_2014_01_atkelta(viso)'!K13+R_2014_01_priskirta!K14</f>
        <v>74534.899999999994</v>
      </c>
      <c r="L13" s="127">
        <f>+'R_2014_01_atkelta(viso)'!L13+R_2014_01_priskirta!L14</f>
        <v>52.799999999944703</v>
      </c>
      <c r="M13" s="127">
        <f>+'R_2014_01_atkelta(viso)'!M13+R_2014_01_priskirta!M14</f>
        <v>0</v>
      </c>
      <c r="N13" s="127">
        <f>+'R_2014_01_atkelta(viso)'!N13+R_2014_01_priskirta!N14</f>
        <v>8900.1</v>
      </c>
      <c r="O13" s="152">
        <f t="shared" si="10"/>
        <v>459595.39999999991</v>
      </c>
      <c r="P13" s="229">
        <f>+'R_2014_01_atkelta(viso)'!P13+R_2014_01_priskirta!P14</f>
        <v>421647.15596330265</v>
      </c>
      <c r="Q13" s="73">
        <f t="shared" si="11"/>
        <v>37948.244036697259</v>
      </c>
      <c r="R13" s="21">
        <f t="shared" si="12"/>
        <v>417813.99999999988</v>
      </c>
      <c r="S13" s="71"/>
      <c r="T13" s="107">
        <v>1.1000000000000001</v>
      </c>
      <c r="U13" s="13">
        <f t="shared" ref="U13:U14" si="13">+R13*T13</f>
        <v>459595.39999999991</v>
      </c>
      <c r="X13" s="5">
        <v>459595.39999999991</v>
      </c>
      <c r="Y13" s="24">
        <v>0</v>
      </c>
      <c r="Z13" s="24">
        <v>0</v>
      </c>
      <c r="AA13" s="24">
        <v>459595.39999999991</v>
      </c>
    </row>
    <row r="14" spans="1:27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+'R_2014_01_atkelta(viso)'!E14+R_2014_01_priskirta!E15</f>
        <v>97.68</v>
      </c>
      <c r="F14" s="127">
        <f>+'R_2014_01_atkelta(viso)'!F14+R_2014_01_priskirta!F15</f>
        <v>3439.92</v>
      </c>
      <c r="G14" s="127">
        <f>+'R_2014_01_atkelta(viso)'!G14+R_2014_01_priskirta!G15</f>
        <v>457.6</v>
      </c>
      <c r="H14" s="127">
        <f>+'R_2014_01_atkelta(viso)'!H14+R_2014_01_priskirta!H15</f>
        <v>125.4</v>
      </c>
      <c r="I14" s="127">
        <f>+'R_2014_01_atkelta(viso)'!I14+R_2014_01_priskirta!I15</f>
        <v>0</v>
      </c>
      <c r="J14" s="127">
        <f>+'R_2014_01_atkelta(viso)'!J14+R_2014_01_priskirta!J15</f>
        <v>0</v>
      </c>
      <c r="K14" s="127">
        <f>+'R_2014_01_atkelta(viso)'!K14+R_2014_01_priskirta!K15</f>
        <v>1466.08</v>
      </c>
      <c r="L14" s="127">
        <f>+'R_2014_01_atkelta(viso)'!L14+R_2014_01_priskirta!L15</f>
        <v>0</v>
      </c>
      <c r="M14" s="127">
        <f>+'R_2014_01_atkelta(viso)'!M14+R_2014_01_priskirta!M15</f>
        <v>0</v>
      </c>
      <c r="N14" s="127">
        <f>+'R_2014_01_atkelta(viso)'!N14+R_2014_01_priskirta!N15</f>
        <v>136.84</v>
      </c>
      <c r="O14" s="152">
        <f t="shared" si="10"/>
        <v>5723.5199999999995</v>
      </c>
      <c r="P14" s="229">
        <f>+'R_2014_01_atkelta(viso)'!P14+R_2014_01_priskirta!P15</f>
        <v>5250.9357798165129</v>
      </c>
      <c r="Q14" s="73">
        <f t="shared" ref="Q14:Q16" si="14">+O14-P14</f>
        <v>472.58422018348665</v>
      </c>
      <c r="R14" s="21">
        <f t="shared" si="12"/>
        <v>13007.999999999998</v>
      </c>
      <c r="S14" s="71"/>
      <c r="T14" s="61">
        <v>1.76</v>
      </c>
      <c r="U14" s="13">
        <f t="shared" si="13"/>
        <v>22894.079999999998</v>
      </c>
      <c r="X14" s="5">
        <v>5723.5199999999995</v>
      </c>
      <c r="Y14" s="24">
        <v>0</v>
      </c>
      <c r="Z14" s="24">
        <v>0</v>
      </c>
      <c r="AA14" s="24">
        <v>5723.5199999999995</v>
      </c>
    </row>
    <row r="15" spans="1:27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+'R_2014_01_atkelta(viso)'!E15+R_2014_01_priskirta!E16</f>
        <v>294.39999999999998</v>
      </c>
      <c r="F15" s="127">
        <f>+'R_2014_01_atkelta(viso)'!F15+R_2014_01_priskirta!F16</f>
        <v>18761.599999999999</v>
      </c>
      <c r="G15" s="127">
        <f>+'R_2014_01_atkelta(viso)'!G15+R_2014_01_priskirta!G16</f>
        <v>3833.6</v>
      </c>
      <c r="H15" s="127">
        <f>+'R_2014_01_atkelta(viso)'!H15+R_2014_01_priskirta!H16</f>
        <v>240</v>
      </c>
      <c r="I15" s="127">
        <f>+'R_2014_01_atkelta(viso)'!I15+R_2014_01_priskirta!I16</f>
        <v>0</v>
      </c>
      <c r="J15" s="127">
        <f>+'R_2014_01_atkelta(viso)'!J15+R_2014_01_priskirta!J16</f>
        <v>0</v>
      </c>
      <c r="K15" s="127">
        <f>+'R_2014_01_atkelta(viso)'!K15+R_2014_01_priskirta!K16</f>
        <v>117510.39999999999</v>
      </c>
      <c r="L15" s="127">
        <f>+'R_2014_01_atkelta(viso)'!L15+R_2014_01_priskirta!L16</f>
        <v>86.399999999994179</v>
      </c>
      <c r="M15" s="127">
        <f>+'R_2014_01_atkelta(viso)'!M15+R_2014_01_priskirta!M16</f>
        <v>0</v>
      </c>
      <c r="N15" s="127">
        <f>+'R_2014_01_atkelta(viso)'!N15+R_2014_01_priskirta!N16</f>
        <v>8521.6</v>
      </c>
      <c r="O15" s="152">
        <f t="shared" si="10"/>
        <v>149248</v>
      </c>
      <c r="P15" s="229">
        <f>+'R_2014_01_atkelta(viso)'!P15+R_2014_01_priskirta!P16</f>
        <v>136924.77064220182</v>
      </c>
      <c r="Q15" s="73">
        <f t="shared" si="14"/>
        <v>12323.229357798176</v>
      </c>
      <c r="R15" s="21">
        <f t="shared" si="12"/>
        <v>46640</v>
      </c>
      <c r="S15" s="71"/>
      <c r="T15" s="61"/>
      <c r="U15" s="13"/>
      <c r="X15" s="5">
        <v>149248</v>
      </c>
      <c r="Y15" s="24">
        <v>0</v>
      </c>
      <c r="Z15" s="24">
        <v>0</v>
      </c>
      <c r="AA15" s="24">
        <v>149248</v>
      </c>
    </row>
    <row r="16" spans="1:27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+'R_2014_01_atkelta(viso)'!E16+R_2014_01_priskirta!E17</f>
        <v>112</v>
      </c>
      <c r="F16" s="127">
        <f>+'R_2014_01_atkelta(viso)'!F16+R_2014_01_priskirta!F17</f>
        <v>4220.8</v>
      </c>
      <c r="G16" s="127">
        <f>+'R_2014_01_atkelta(viso)'!G16+R_2014_01_priskirta!G17</f>
        <v>776</v>
      </c>
      <c r="H16" s="127">
        <f>+'R_2014_01_atkelta(viso)'!H16+R_2014_01_priskirta!H17</f>
        <v>113.6</v>
      </c>
      <c r="I16" s="127">
        <f>+'R_2014_01_atkelta(viso)'!I16+R_2014_01_priskirta!I17</f>
        <v>0</v>
      </c>
      <c r="J16" s="127">
        <f>+'R_2014_01_atkelta(viso)'!J16+R_2014_01_priskirta!J17</f>
        <v>0</v>
      </c>
      <c r="K16" s="127">
        <f>+'R_2014_01_atkelta(viso)'!K16+R_2014_01_priskirta!K17</f>
        <v>12248</v>
      </c>
      <c r="L16" s="127">
        <f>+'R_2014_01_atkelta(viso)'!L16+R_2014_01_priskirta!L17</f>
        <v>12.800000000001091</v>
      </c>
      <c r="M16" s="127">
        <f>+'R_2014_01_atkelta(viso)'!M16+R_2014_01_priskirta!M17</f>
        <v>0</v>
      </c>
      <c r="N16" s="127">
        <f>+'R_2014_01_atkelta(viso)'!N16+R_2014_01_priskirta!N17</f>
        <v>716.8</v>
      </c>
      <c r="O16" s="152">
        <f t="shared" si="10"/>
        <v>18200.000000000004</v>
      </c>
      <c r="P16" s="229">
        <f>+'R_2014_01_atkelta(viso)'!P16+R_2014_01_priskirta!P17</f>
        <v>16697.247706422022</v>
      </c>
      <c r="Q16" s="73">
        <f t="shared" si="14"/>
        <v>1502.7522935779816</v>
      </c>
      <c r="R16" s="21">
        <f t="shared" si="12"/>
        <v>11375.000000000002</v>
      </c>
      <c r="S16" s="71"/>
      <c r="T16" s="13">
        <v>1.6</v>
      </c>
      <c r="U16" s="13">
        <f t="shared" ref="U16:U17" si="15">+R16*T16</f>
        <v>18200.000000000004</v>
      </c>
      <c r="X16" s="5">
        <v>18200.000000000004</v>
      </c>
      <c r="Y16" s="24">
        <v>0</v>
      </c>
      <c r="Z16" s="24">
        <v>0</v>
      </c>
      <c r="AA16" s="24">
        <v>18200.000000000004</v>
      </c>
    </row>
    <row r="17" spans="1:30" x14ac:dyDescent="0.3">
      <c r="A17" s="241" t="s">
        <v>60</v>
      </c>
      <c r="B17" s="53" t="s">
        <v>194</v>
      </c>
      <c r="C17" s="63" t="s">
        <v>95</v>
      </c>
      <c r="D17" s="63">
        <v>0.64</v>
      </c>
      <c r="E17" s="124">
        <f>+'R_2014_01_atkelta(viso)'!E17+R_2014_01_priskirta!E18</f>
        <v>3.2</v>
      </c>
      <c r="F17" s="148">
        <f>+'R_2014_01_atkelta(viso)'!F17+R_2014_01_priskirta!F18</f>
        <v>74.239999999999995</v>
      </c>
      <c r="G17" s="127">
        <f>+'R_2014_01_atkelta(viso)'!G17+R_2014_01_priskirta!G18</f>
        <v>11.52</v>
      </c>
      <c r="H17" s="127">
        <f>+'R_2014_01_atkelta(viso)'!H17+R_2014_01_priskirta!H18</f>
        <v>0</v>
      </c>
      <c r="I17" s="127">
        <f>+'R_2014_01_atkelta(viso)'!I17+R_2014_01_priskirta!I18</f>
        <v>0</v>
      </c>
      <c r="J17" s="127">
        <f>+'R_2014_01_atkelta(viso)'!J17+R_2014_01_priskirta!J18</f>
        <v>0</v>
      </c>
      <c r="K17" s="127">
        <f>+'R_2014_01_atkelta(viso)'!K17+R_2014_01_priskirta!K18</f>
        <v>252.8</v>
      </c>
      <c r="L17" s="127">
        <f>+'R_2014_01_atkelta(viso)'!L17+R_2014_01_priskirta!L18</f>
        <v>0</v>
      </c>
      <c r="M17" s="127">
        <f>+'R_2014_01_atkelta(viso)'!M17+R_2014_01_priskirta!M18</f>
        <v>0</v>
      </c>
      <c r="N17" s="127">
        <f>+'R_2014_01_atkelta(viso)'!N17+R_2014_01_priskirta!N18</f>
        <v>6.4</v>
      </c>
      <c r="O17" s="206">
        <f t="shared" si="10"/>
        <v>348.15999999999997</v>
      </c>
      <c r="P17" s="140">
        <f>+'R_2014_01_atkelta(viso)'!P17+R_2014_01_priskirta!P18</f>
        <v>319.41284403669721</v>
      </c>
      <c r="Q17" s="207">
        <f t="shared" si="11"/>
        <v>28.74715596330276</v>
      </c>
      <c r="R17" s="22">
        <f t="shared" si="12"/>
        <v>543.99999999999989</v>
      </c>
      <c r="S17" s="71"/>
      <c r="T17" s="61">
        <v>2.56</v>
      </c>
      <c r="U17" s="13">
        <f t="shared" si="15"/>
        <v>1392.6399999999996</v>
      </c>
      <c r="X17" s="5">
        <v>348.15999999999997</v>
      </c>
      <c r="Y17" s="24">
        <v>0</v>
      </c>
      <c r="Z17" s="24">
        <v>0</v>
      </c>
      <c r="AA17" s="24">
        <v>348.15999999999997</v>
      </c>
    </row>
    <row r="18" spans="1:30" ht="12" customHeight="1" x14ac:dyDescent="0.3">
      <c r="A18" s="70" t="s">
        <v>15</v>
      </c>
      <c r="B18" s="52" t="s">
        <v>33</v>
      </c>
      <c r="C18" s="9" t="s">
        <v>141</v>
      </c>
      <c r="D18" s="78"/>
      <c r="E18" s="118">
        <f>+SUM(E19:E43)</f>
        <v>116350.81</v>
      </c>
      <c r="F18" s="118">
        <f t="shared" ref="F18:R18" si="16">+SUM(F19:F43)</f>
        <v>4960541.6499999994</v>
      </c>
      <c r="G18" s="118">
        <f t="shared" si="16"/>
        <v>746492.95</v>
      </c>
      <c r="H18" s="118">
        <f t="shared" si="16"/>
        <v>108036.09999999999</v>
      </c>
      <c r="I18" s="118">
        <f t="shared" si="16"/>
        <v>0</v>
      </c>
      <c r="J18" s="118">
        <f t="shared" si="16"/>
        <v>0</v>
      </c>
      <c r="K18" s="118">
        <f t="shared" si="16"/>
        <v>0</v>
      </c>
      <c r="L18" s="118">
        <f t="shared" ref="L18" si="17">+SUM(L19:L43)</f>
        <v>0</v>
      </c>
      <c r="M18" s="118">
        <f t="shared" si="16"/>
        <v>12</v>
      </c>
      <c r="N18" s="118">
        <f t="shared" si="16"/>
        <v>459073.32</v>
      </c>
      <c r="O18" s="118">
        <f t="shared" si="16"/>
        <v>6390506.8299999991</v>
      </c>
      <c r="P18" s="118">
        <f t="shared" si="16"/>
        <v>5862850.3027522927</v>
      </c>
      <c r="Q18" s="118">
        <f t="shared" si="16"/>
        <v>527656.52724770654</v>
      </c>
      <c r="R18" s="253">
        <f t="shared" si="16"/>
        <v>120774.39682592593</v>
      </c>
      <c r="S18" s="71"/>
      <c r="T18" s="61"/>
      <c r="U18" s="105">
        <f>+SUM(U19:U42)</f>
        <v>5681821.6699999999</v>
      </c>
      <c r="V18" s="2"/>
      <c r="X18" s="145">
        <v>6596800</v>
      </c>
      <c r="Y18" s="42">
        <v>2517022.6700000018</v>
      </c>
      <c r="Z18" s="42">
        <v>2723265.84</v>
      </c>
      <c r="AA18" s="42">
        <v>3873534.16</v>
      </c>
    </row>
    <row r="19" spans="1:30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+'R_2014_01_atkelta(viso)'!E19+R_2014_01_priskirta!E20</f>
        <v>69030</v>
      </c>
      <c r="F19" s="127">
        <f>+'R_2014_01_atkelta(viso)'!F19+R_2014_01_priskirta!F20</f>
        <v>2849620</v>
      </c>
      <c r="G19" s="127">
        <f>+'R_2014_01_atkelta(viso)'!G19+R_2014_01_priskirta!G20</f>
        <v>412323.32999999996</v>
      </c>
      <c r="H19" s="127">
        <f>+'R_2014_01_atkelta(viso)'!H19+R_2014_01_priskirta!H20</f>
        <v>60003.33</v>
      </c>
      <c r="I19" s="127">
        <f>+'R_2014_01_atkelta(viso)'!I19+R_2014_01_priskirta!I20</f>
        <v>0</v>
      </c>
      <c r="J19" s="127">
        <f>+'R_2014_01_atkelta(viso)'!J19+R_2014_01_priskirta!J20</f>
        <v>0</v>
      </c>
      <c r="K19" s="127">
        <f>+'R_2014_01_atkelta(viso)'!K19+R_2014_01_priskirta!K20</f>
        <v>0</v>
      </c>
      <c r="L19" s="127">
        <f>+'R_2014_01_atkelta(viso)'!L19+R_2014_01_priskirta!L20</f>
        <v>0</v>
      </c>
      <c r="M19" s="127">
        <f>+'R_2014_01_atkelta(viso)'!M19+R_2014_01_priskirta!M20</f>
        <v>10</v>
      </c>
      <c r="N19" s="127">
        <f>+'R_2014_01_atkelta(viso)'!N19+R_2014_01_priskirta!N20</f>
        <v>236460</v>
      </c>
      <c r="O19" s="153">
        <f t="shared" ref="O19:O43" si="18">+SUM(E19:N19)</f>
        <v>3627446.66</v>
      </c>
      <c r="P19" s="210">
        <f>+'R_2014_01_atkelta(viso)'!P19+R_2014_01_priskirta!P20</f>
        <v>3327932.7155963304</v>
      </c>
      <c r="Q19" s="93">
        <f>+O19-P19</f>
        <v>299513.9444036698</v>
      </c>
      <c r="R19" s="94">
        <f t="shared" ref="R19:R43" si="19">O19/D19</f>
        <v>36274.4666</v>
      </c>
      <c r="S19" s="41"/>
      <c r="T19" s="61"/>
      <c r="U19" s="106"/>
      <c r="V19" s="205"/>
      <c r="X19" s="5">
        <v>3682200</v>
      </c>
      <c r="Y19" s="24">
        <v>1472206.67</v>
      </c>
      <c r="Z19" s="24">
        <v>1526960.0099999998</v>
      </c>
      <c r="AA19" s="24">
        <v>2155239.9900000002</v>
      </c>
      <c r="AC19" s="2"/>
      <c r="AD19" s="2"/>
    </row>
    <row r="20" spans="1:30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+'R_2014_01_atkelta(viso)'!E20+R_2014_01_priskirta!E21</f>
        <v>11753.33</v>
      </c>
      <c r="F20" s="127">
        <f>+'R_2014_01_atkelta(viso)'!F20+R_2014_01_priskirta!F21</f>
        <v>765575</v>
      </c>
      <c r="G20" s="127">
        <f>+'R_2014_01_atkelta(viso)'!G20+R_2014_01_priskirta!G21</f>
        <v>108695</v>
      </c>
      <c r="H20" s="127">
        <f>+'R_2014_01_atkelta(viso)'!H20+R_2014_01_priskirta!H21</f>
        <v>20646.669999999998</v>
      </c>
      <c r="I20" s="127">
        <f>+'R_2014_01_atkelta(viso)'!I20+R_2014_01_priskirta!I21</f>
        <v>0</v>
      </c>
      <c r="J20" s="127">
        <f>+'R_2014_01_atkelta(viso)'!J20+R_2014_01_priskirta!J21</f>
        <v>0</v>
      </c>
      <c r="K20" s="127">
        <f>+'R_2014_01_atkelta(viso)'!K20+R_2014_01_priskirta!K21</f>
        <v>0</v>
      </c>
      <c r="L20" s="127">
        <f>+'R_2014_01_atkelta(viso)'!L20+R_2014_01_priskirta!L21</f>
        <v>0</v>
      </c>
      <c r="M20" s="127">
        <f>+'R_2014_01_atkelta(viso)'!M20+R_2014_01_priskirta!M21</f>
        <v>0</v>
      </c>
      <c r="N20" s="127">
        <f>+'R_2014_01_atkelta(viso)'!N20+R_2014_01_priskirta!N21</f>
        <v>13976.66</v>
      </c>
      <c r="O20" s="152">
        <f t="shared" si="18"/>
        <v>920646.66</v>
      </c>
      <c r="P20" s="229">
        <f>+'R_2014_01_atkelta(viso)'!P20+R_2014_01_priskirta!P21</f>
        <v>844629.96330275224</v>
      </c>
      <c r="Q20" s="73">
        <f t="shared" ref="Q20:Q42" si="20">+O20-P20</f>
        <v>76016.696697247797</v>
      </c>
      <c r="R20" s="21">
        <f t="shared" si="19"/>
        <v>18412.933199999999</v>
      </c>
      <c r="S20" s="41"/>
      <c r="T20" s="61">
        <v>50</v>
      </c>
      <c r="U20" s="13">
        <f t="shared" ref="U20:U21" si="21">+R20*T20</f>
        <v>920646.65999999992</v>
      </c>
      <c r="V20" s="205"/>
      <c r="X20" s="5">
        <v>886400</v>
      </c>
      <c r="Y20" s="24">
        <v>428285</v>
      </c>
      <c r="Z20" s="24">
        <v>393988.33999999997</v>
      </c>
      <c r="AA20" s="24">
        <v>492411.66000000003</v>
      </c>
    </row>
    <row r="21" spans="1:30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+'R_2014_01_atkelta(viso)'!E21+R_2014_01_priskirta!E22</f>
        <v>21460.67</v>
      </c>
      <c r="F21" s="127">
        <f>+'R_2014_01_atkelta(viso)'!F21+R_2014_01_priskirta!F22</f>
        <v>853594.66999999993</v>
      </c>
      <c r="G21" s="127">
        <f>+'R_2014_01_atkelta(viso)'!G21+R_2014_01_priskirta!G22</f>
        <v>143742</v>
      </c>
      <c r="H21" s="127">
        <f>+'R_2014_01_atkelta(viso)'!H21+R_2014_01_priskirta!H22</f>
        <v>9872</v>
      </c>
      <c r="I21" s="127">
        <f>+'R_2014_01_atkelta(viso)'!I21+R_2014_01_priskirta!I22</f>
        <v>0</v>
      </c>
      <c r="J21" s="127">
        <f>+'R_2014_01_atkelta(viso)'!J21+R_2014_01_priskirta!J22</f>
        <v>0</v>
      </c>
      <c r="K21" s="127">
        <f>+'R_2014_01_atkelta(viso)'!K21+R_2014_01_priskirta!K22</f>
        <v>0</v>
      </c>
      <c r="L21" s="127">
        <f>+'R_2014_01_atkelta(viso)'!L21+R_2014_01_priskirta!L22</f>
        <v>0</v>
      </c>
      <c r="M21" s="127">
        <f>+'R_2014_01_atkelta(viso)'!M21+R_2014_01_priskirta!M22</f>
        <v>2</v>
      </c>
      <c r="N21" s="127">
        <f>+'R_2014_01_atkelta(viso)'!N21+R_2014_01_priskirta!N22</f>
        <v>88112</v>
      </c>
      <c r="O21" s="152">
        <f t="shared" si="18"/>
        <v>1116783.3399999999</v>
      </c>
      <c r="P21" s="229">
        <f>+'R_2014_01_atkelta(viso)'!P21+R_2014_01_priskirta!P22</f>
        <v>1024571.8715596328</v>
      </c>
      <c r="Q21" s="73">
        <f t="shared" si="20"/>
        <v>92211.468440367025</v>
      </c>
      <c r="R21" s="21">
        <f t="shared" si="19"/>
        <v>55839.166999999994</v>
      </c>
      <c r="S21" s="41"/>
      <c r="T21" s="61">
        <v>80</v>
      </c>
      <c r="U21" s="13">
        <f t="shared" si="21"/>
        <v>4467133.3599999994</v>
      </c>
      <c r="V21" s="205"/>
      <c r="X21" s="5">
        <v>1139740</v>
      </c>
      <c r="Y21" s="24">
        <v>352172.68</v>
      </c>
      <c r="Z21" s="24">
        <v>375129.33999999997</v>
      </c>
      <c r="AA21" s="24">
        <v>764610.65999999992</v>
      </c>
    </row>
    <row r="22" spans="1:30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+'R_2014_01_atkelta(viso)'!E22+R_2014_01_priskirta!E23</f>
        <v>11385</v>
      </c>
      <c r="F22" s="127">
        <f>+'R_2014_01_atkelta(viso)'!F22+R_2014_01_priskirta!F23</f>
        <v>416268</v>
      </c>
      <c r="G22" s="127">
        <f>+'R_2014_01_atkelta(viso)'!G22+R_2014_01_priskirta!G23</f>
        <v>71040</v>
      </c>
      <c r="H22" s="127">
        <f>+'R_2014_01_atkelta(viso)'!H22+R_2014_01_priskirta!H23</f>
        <v>12270</v>
      </c>
      <c r="I22" s="127">
        <f>+'R_2014_01_atkelta(viso)'!I22+R_2014_01_priskirta!I23</f>
        <v>0</v>
      </c>
      <c r="J22" s="127">
        <f>+'R_2014_01_atkelta(viso)'!J22+R_2014_01_priskirta!J23</f>
        <v>0</v>
      </c>
      <c r="K22" s="127">
        <f>+'R_2014_01_atkelta(viso)'!K22+R_2014_01_priskirta!K23</f>
        <v>0</v>
      </c>
      <c r="L22" s="127">
        <f>+'R_2014_01_atkelta(viso)'!L22+R_2014_01_priskirta!L23</f>
        <v>0</v>
      </c>
      <c r="M22" s="127">
        <f>+'R_2014_01_atkelta(viso)'!M22+R_2014_01_priskirta!M23</f>
        <v>0</v>
      </c>
      <c r="N22" s="127">
        <f>+'R_2014_01_atkelta(viso)'!N22+R_2014_01_priskirta!N23</f>
        <v>84663</v>
      </c>
      <c r="O22" s="152">
        <f t="shared" si="18"/>
        <v>595626</v>
      </c>
      <c r="P22" s="229">
        <f>+'R_2014_01_atkelta(viso)'!P22+R_2014_01_priskirta!P23</f>
        <v>546445.87155963294</v>
      </c>
      <c r="Q22" s="73">
        <f t="shared" si="20"/>
        <v>49180.128440367058</v>
      </c>
      <c r="R22" s="21">
        <f t="shared" si="19"/>
        <v>6618.0666666666666</v>
      </c>
      <c r="S22" s="41"/>
      <c r="T22" s="61"/>
      <c r="U22" s="13"/>
      <c r="V22" s="205"/>
      <c r="X22" s="5">
        <v>633150</v>
      </c>
      <c r="Y22" s="24">
        <v>197331</v>
      </c>
      <c r="Z22" s="24">
        <v>234855</v>
      </c>
      <c r="AA22" s="24">
        <v>398295</v>
      </c>
    </row>
    <row r="23" spans="1:30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+'R_2014_01_atkelta(viso)'!E23+R_2014_01_priskirta!E24</f>
        <v>531</v>
      </c>
      <c r="F23" s="127">
        <f>+'R_2014_01_atkelta(viso)'!F23+R_2014_01_priskirta!F24</f>
        <v>21825</v>
      </c>
      <c r="G23" s="127">
        <f>+'R_2014_01_atkelta(viso)'!G23+R_2014_01_priskirta!G24</f>
        <v>3948</v>
      </c>
      <c r="H23" s="127">
        <f>+'R_2014_01_atkelta(viso)'!H23+R_2014_01_priskirta!H24</f>
        <v>856.5</v>
      </c>
      <c r="I23" s="127">
        <f>+'R_2014_01_atkelta(viso)'!I23+R_2014_01_priskirta!I24</f>
        <v>0</v>
      </c>
      <c r="J23" s="127">
        <f>+'R_2014_01_atkelta(viso)'!J23+R_2014_01_priskirta!J24</f>
        <v>0</v>
      </c>
      <c r="K23" s="127">
        <f>+'R_2014_01_atkelta(viso)'!K23+R_2014_01_priskirta!K24</f>
        <v>0</v>
      </c>
      <c r="L23" s="127">
        <f>+'R_2014_01_atkelta(viso)'!L23+R_2014_01_priskirta!L24</f>
        <v>0</v>
      </c>
      <c r="M23" s="127">
        <f>+'R_2014_01_atkelta(viso)'!M23+R_2014_01_priskirta!M24</f>
        <v>0</v>
      </c>
      <c r="N23" s="127">
        <f>+'R_2014_01_atkelta(viso)'!N23+R_2014_01_priskirta!N24</f>
        <v>2733</v>
      </c>
      <c r="O23" s="152">
        <f t="shared" si="18"/>
        <v>29893.5</v>
      </c>
      <c r="P23" s="229">
        <f>+'R_2014_01_atkelta(viso)'!P23+R_2014_01_priskirta!P24</f>
        <v>27425.229357798162</v>
      </c>
      <c r="Q23" s="73">
        <f t="shared" si="20"/>
        <v>2468.2706422018382</v>
      </c>
      <c r="R23" s="21">
        <f t="shared" si="19"/>
        <v>664.3</v>
      </c>
      <c r="S23" s="35"/>
      <c r="T23" s="61">
        <v>45</v>
      </c>
      <c r="U23" s="13">
        <f t="shared" ref="U23:U24" si="22">+R23*T23</f>
        <v>29893.499999999996</v>
      </c>
      <c r="V23" s="205"/>
      <c r="X23" s="5">
        <v>31005</v>
      </c>
      <c r="Y23" s="24">
        <v>10965</v>
      </c>
      <c r="Z23" s="24">
        <v>12076.5</v>
      </c>
      <c r="AA23" s="24">
        <v>18928.5</v>
      </c>
    </row>
    <row r="24" spans="1:30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+'R_2014_01_atkelta(viso)'!E24+R_2014_01_priskirta!E25</f>
        <v>1001.4</v>
      </c>
      <c r="F24" s="127">
        <f>+'R_2014_01_atkelta(viso)'!F24+R_2014_01_priskirta!F25</f>
        <v>17679</v>
      </c>
      <c r="G24" s="127">
        <f>+'R_2014_01_atkelta(viso)'!G24+R_2014_01_priskirta!G25</f>
        <v>2786.4</v>
      </c>
      <c r="H24" s="127">
        <f>+'R_2014_01_atkelta(viso)'!H24+R_2014_01_priskirta!H25</f>
        <v>241.2</v>
      </c>
      <c r="I24" s="127">
        <f>+'R_2014_01_atkelta(viso)'!I24+R_2014_01_priskirta!I25</f>
        <v>0</v>
      </c>
      <c r="J24" s="127">
        <f>+'R_2014_01_atkelta(viso)'!J24+R_2014_01_priskirta!J25</f>
        <v>0</v>
      </c>
      <c r="K24" s="127">
        <f>+'R_2014_01_atkelta(viso)'!K24+R_2014_01_priskirta!K25</f>
        <v>0</v>
      </c>
      <c r="L24" s="127">
        <f>+'R_2014_01_atkelta(viso)'!L24+R_2014_01_priskirta!L25</f>
        <v>0</v>
      </c>
      <c r="M24" s="127">
        <f>+'R_2014_01_atkelta(viso)'!M24+R_2014_01_priskirta!M25</f>
        <v>0</v>
      </c>
      <c r="N24" s="127">
        <f>+'R_2014_01_atkelta(viso)'!N24+R_2014_01_priskirta!N25</f>
        <v>6001.7999999999993</v>
      </c>
      <c r="O24" s="152">
        <f t="shared" si="18"/>
        <v>27709.800000000003</v>
      </c>
      <c r="P24" s="229">
        <f>+'R_2014_01_atkelta(viso)'!P24+R_2014_01_priskirta!P25</f>
        <v>25421.834862385316</v>
      </c>
      <c r="Q24" s="73">
        <f t="shared" si="20"/>
        <v>2287.9651376146867</v>
      </c>
      <c r="R24" s="21">
        <f t="shared" si="19"/>
        <v>1539.4333333333334</v>
      </c>
      <c r="S24" s="35"/>
      <c r="T24" s="61">
        <v>72</v>
      </c>
      <c r="U24" s="13">
        <f t="shared" si="22"/>
        <v>110839.20000000001</v>
      </c>
      <c r="V24" s="205"/>
      <c r="X24" s="5">
        <v>31176</v>
      </c>
      <c r="Y24" s="24">
        <v>4536.6000000000004</v>
      </c>
      <c r="Z24" s="24">
        <v>8002.7999999999993</v>
      </c>
      <c r="AA24" s="24">
        <v>23173.199999999997</v>
      </c>
    </row>
    <row r="25" spans="1:30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+'R_2014_01_atkelta(viso)'!E25+R_2014_01_priskirta!E26</f>
        <v>103.33</v>
      </c>
      <c r="F25" s="127">
        <f>+'R_2014_01_atkelta(viso)'!F25+R_2014_01_priskirta!F26</f>
        <v>5096.66</v>
      </c>
      <c r="G25" s="127">
        <f>+'R_2014_01_atkelta(viso)'!G25+R_2014_01_priskirta!G26</f>
        <v>206.68</v>
      </c>
      <c r="H25" s="127">
        <f>+'R_2014_01_atkelta(viso)'!H25+R_2014_01_priskirta!H26</f>
        <v>116.66</v>
      </c>
      <c r="I25" s="127">
        <f>+'R_2014_01_atkelta(viso)'!I25+R_2014_01_priskirta!I26</f>
        <v>0</v>
      </c>
      <c r="J25" s="127">
        <f>+'R_2014_01_atkelta(viso)'!J25+R_2014_01_priskirta!J26</f>
        <v>0</v>
      </c>
      <c r="K25" s="127">
        <f>+'R_2014_01_atkelta(viso)'!K25+R_2014_01_priskirta!K26</f>
        <v>0</v>
      </c>
      <c r="L25" s="127">
        <f>+'R_2014_01_atkelta(viso)'!L25+R_2014_01_priskirta!L26</f>
        <v>0</v>
      </c>
      <c r="M25" s="127">
        <f>+'R_2014_01_atkelta(viso)'!M25+R_2014_01_priskirta!M26</f>
        <v>0</v>
      </c>
      <c r="N25" s="127">
        <f>+'R_2014_01_atkelta(viso)'!N25+R_2014_01_priskirta!N26</f>
        <v>4760</v>
      </c>
      <c r="O25" s="152">
        <f t="shared" si="18"/>
        <v>10283.33</v>
      </c>
      <c r="P25" s="229">
        <f>+'R_2014_01_atkelta(viso)'!P25+R_2014_01_priskirta!P26</f>
        <v>9434.2477064220184</v>
      </c>
      <c r="Q25" s="73">
        <f t="shared" si="20"/>
        <v>849.08229357798155</v>
      </c>
      <c r="R25" s="21">
        <f t="shared" si="19"/>
        <v>34.277766666666665</v>
      </c>
      <c r="S25" s="35"/>
      <c r="T25" s="61"/>
      <c r="U25" s="13"/>
      <c r="X25" s="5">
        <v>8700</v>
      </c>
      <c r="Y25" s="24">
        <v>8483.33</v>
      </c>
      <c r="Z25" s="24">
        <v>6900</v>
      </c>
      <c r="AA25" s="24">
        <v>1800</v>
      </c>
    </row>
    <row r="26" spans="1:30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+'R_2014_01_atkelta(viso)'!E26+R_2014_01_priskirta!E27</f>
        <v>0</v>
      </c>
      <c r="F26" s="127">
        <f>+'R_2014_01_atkelta(viso)'!F26+R_2014_01_priskirta!F27</f>
        <v>4846.67</v>
      </c>
      <c r="G26" s="127">
        <f>+'R_2014_01_atkelta(viso)'!G26+R_2014_01_priskirta!G27</f>
        <v>443.33</v>
      </c>
      <c r="H26" s="127">
        <f>+'R_2014_01_atkelta(viso)'!H26+R_2014_01_priskirta!H27</f>
        <v>686.66</v>
      </c>
      <c r="I26" s="127">
        <f>+'R_2014_01_atkelta(viso)'!I26+R_2014_01_priskirta!I27</f>
        <v>0</v>
      </c>
      <c r="J26" s="127">
        <f>+'R_2014_01_atkelta(viso)'!J26+R_2014_01_priskirta!J27</f>
        <v>0</v>
      </c>
      <c r="K26" s="127">
        <f>+'R_2014_01_atkelta(viso)'!K26+R_2014_01_priskirta!K27</f>
        <v>0</v>
      </c>
      <c r="L26" s="127">
        <f>+'R_2014_01_atkelta(viso)'!L26+R_2014_01_priskirta!L27</f>
        <v>0</v>
      </c>
      <c r="M26" s="127">
        <f>+'R_2014_01_atkelta(viso)'!M26+R_2014_01_priskirta!M27</f>
        <v>0</v>
      </c>
      <c r="N26" s="127">
        <f>+'R_2014_01_atkelta(viso)'!N26+R_2014_01_priskirta!N27</f>
        <v>780</v>
      </c>
      <c r="O26" s="152">
        <f t="shared" si="18"/>
        <v>6756.66</v>
      </c>
      <c r="P26" s="229">
        <f>+'R_2014_01_atkelta(viso)'!P26+R_2014_01_priskirta!P27</f>
        <v>6198.7706422018337</v>
      </c>
      <c r="Q26" s="73">
        <f t="shared" si="20"/>
        <v>557.8893577981662</v>
      </c>
      <c r="R26" s="21">
        <f t="shared" si="19"/>
        <v>45.044399999999996</v>
      </c>
      <c r="S26" s="35"/>
      <c r="T26" s="61">
        <v>150</v>
      </c>
      <c r="U26" s="13">
        <f t="shared" ref="U26:U42" si="23">+R26*T26</f>
        <v>6756.66</v>
      </c>
      <c r="X26" s="5">
        <v>4050</v>
      </c>
      <c r="Y26" s="24">
        <v>6081.66</v>
      </c>
      <c r="Z26" s="24">
        <v>3375</v>
      </c>
      <c r="AA26" s="24">
        <v>675</v>
      </c>
    </row>
    <row r="27" spans="1:30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+'R_2014_01_atkelta(viso)'!E27+R_2014_01_priskirta!E28</f>
        <v>411.33000000000004</v>
      </c>
      <c r="F27" s="127">
        <f>+'R_2014_01_atkelta(viso)'!F27+R_2014_01_priskirta!F28</f>
        <v>13080</v>
      </c>
      <c r="G27" s="127">
        <f>+'R_2014_01_atkelta(viso)'!G27+R_2014_01_priskirta!G28</f>
        <v>1934.6599999999999</v>
      </c>
      <c r="H27" s="127">
        <f>+'R_2014_01_atkelta(viso)'!H27+R_2014_01_priskirta!H28</f>
        <v>755.99999999999989</v>
      </c>
      <c r="I27" s="127">
        <f>+'R_2014_01_atkelta(viso)'!I27+R_2014_01_priskirta!I28</f>
        <v>0</v>
      </c>
      <c r="J27" s="127">
        <f>+'R_2014_01_atkelta(viso)'!J27+R_2014_01_priskirta!J28</f>
        <v>0</v>
      </c>
      <c r="K27" s="127">
        <f>+'R_2014_01_atkelta(viso)'!K27+R_2014_01_priskirta!K28</f>
        <v>0</v>
      </c>
      <c r="L27" s="127">
        <f>+'R_2014_01_atkelta(viso)'!L27+R_2014_01_priskirta!L28</f>
        <v>0</v>
      </c>
      <c r="M27" s="127">
        <f>+'R_2014_01_atkelta(viso)'!M27+R_2014_01_priskirta!M28</f>
        <v>0</v>
      </c>
      <c r="N27" s="127">
        <f>+'R_2014_01_atkelta(viso)'!N27+R_2014_01_priskirta!N28</f>
        <v>9341.34</v>
      </c>
      <c r="O27" s="152">
        <f t="shared" si="18"/>
        <v>25523.33</v>
      </c>
      <c r="P27" s="229">
        <f>+'R_2014_01_atkelta(viso)'!P27+R_2014_01_priskirta!P28</f>
        <v>23415.899082568802</v>
      </c>
      <c r="Q27" s="73">
        <f t="shared" si="20"/>
        <v>2107.4309174312002</v>
      </c>
      <c r="R27" s="21">
        <f t="shared" si="19"/>
        <v>425.38883333333337</v>
      </c>
      <c r="S27" s="35"/>
      <c r="T27" s="61">
        <v>240</v>
      </c>
      <c r="U27" s="13">
        <f t="shared" si="23"/>
        <v>102093.32</v>
      </c>
      <c r="X27" s="5">
        <v>30300</v>
      </c>
      <c r="Y27" s="24">
        <v>18707.989999999998</v>
      </c>
      <c r="Z27" s="24">
        <v>23484.66</v>
      </c>
      <c r="AA27" s="24">
        <v>6815.34</v>
      </c>
    </row>
    <row r="28" spans="1:30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+'R_2014_01_atkelta(viso)'!E28+R_2014_01_priskirta!E29</f>
        <v>0</v>
      </c>
      <c r="F28" s="127">
        <f>+'R_2014_01_atkelta(viso)'!F28+R_2014_01_priskirta!F29</f>
        <v>615</v>
      </c>
      <c r="G28" s="127">
        <f>+'R_2014_01_atkelta(viso)'!G28+R_2014_01_priskirta!G29</f>
        <v>0</v>
      </c>
      <c r="H28" s="127">
        <f>+'R_2014_01_atkelta(viso)'!H28+R_2014_01_priskirta!H29</f>
        <v>408</v>
      </c>
      <c r="I28" s="127">
        <f>+'R_2014_01_atkelta(viso)'!I28+R_2014_01_priskirta!I29</f>
        <v>0</v>
      </c>
      <c r="J28" s="127">
        <f>+'R_2014_01_atkelta(viso)'!J28+R_2014_01_priskirta!J29</f>
        <v>0</v>
      </c>
      <c r="K28" s="127">
        <f>+'R_2014_01_atkelta(viso)'!K28+R_2014_01_priskirta!K29</f>
        <v>0</v>
      </c>
      <c r="L28" s="127">
        <f>+'R_2014_01_atkelta(viso)'!L28+R_2014_01_priskirta!L29</f>
        <v>0</v>
      </c>
      <c r="M28" s="127">
        <f>+'R_2014_01_atkelta(viso)'!M28+R_2014_01_priskirta!M29</f>
        <v>0</v>
      </c>
      <c r="N28" s="127">
        <f>+'R_2014_01_atkelta(viso)'!N28+R_2014_01_priskirta!N29</f>
        <v>6480</v>
      </c>
      <c r="O28" s="152">
        <f t="shared" si="18"/>
        <v>7503</v>
      </c>
      <c r="P28" s="229">
        <f>+'R_2014_01_atkelta(viso)'!P28+R_2014_01_priskirta!P29</f>
        <v>6883.4862385321094</v>
      </c>
      <c r="Q28" s="73">
        <f t="shared" si="20"/>
        <v>619.51376146789062</v>
      </c>
      <c r="R28" s="21">
        <f t="shared" si="19"/>
        <v>27.788888888888888</v>
      </c>
      <c r="S28" s="35"/>
      <c r="T28" s="61"/>
      <c r="U28" s="13"/>
      <c r="X28" s="5">
        <v>6210</v>
      </c>
      <c r="Y28" s="24">
        <v>5925</v>
      </c>
      <c r="Z28" s="24">
        <v>4632</v>
      </c>
      <c r="AA28" s="24">
        <v>1578</v>
      </c>
    </row>
    <row r="29" spans="1:30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+'R_2014_01_atkelta(viso)'!E29+R_2014_01_priskirta!E30</f>
        <v>0</v>
      </c>
      <c r="F29" s="127">
        <f>+'R_2014_01_atkelta(viso)'!F29+R_2014_01_priskirta!F30</f>
        <v>139.5</v>
      </c>
      <c r="G29" s="127">
        <f>+'R_2014_01_atkelta(viso)'!G29+R_2014_01_priskirta!G30</f>
        <v>0</v>
      </c>
      <c r="H29" s="127">
        <f>+'R_2014_01_atkelta(viso)'!H29+R_2014_01_priskirta!H30</f>
        <v>46.5</v>
      </c>
      <c r="I29" s="127">
        <f>+'R_2014_01_atkelta(viso)'!I29+R_2014_01_priskirta!I30</f>
        <v>0</v>
      </c>
      <c r="J29" s="127">
        <f>+'R_2014_01_atkelta(viso)'!J29+R_2014_01_priskirta!J30</f>
        <v>0</v>
      </c>
      <c r="K29" s="127">
        <f>+'R_2014_01_atkelta(viso)'!K29+R_2014_01_priskirta!K30</f>
        <v>0</v>
      </c>
      <c r="L29" s="127">
        <f>+'R_2014_01_atkelta(viso)'!L29+R_2014_01_priskirta!L30</f>
        <v>0</v>
      </c>
      <c r="M29" s="127">
        <f>+'R_2014_01_atkelta(viso)'!M29+R_2014_01_priskirta!M30</f>
        <v>0</v>
      </c>
      <c r="N29" s="127">
        <f>+'R_2014_01_atkelta(viso)'!N29+R_2014_01_priskirta!N30</f>
        <v>73.5</v>
      </c>
      <c r="O29" s="152">
        <f t="shared" si="18"/>
        <v>259.5</v>
      </c>
      <c r="P29" s="229">
        <f>+'R_2014_01_atkelta(viso)'!P29+R_2014_01_priskirta!P30</f>
        <v>238.07339449541283</v>
      </c>
      <c r="Q29" s="73">
        <f t="shared" si="20"/>
        <v>21.426605504587172</v>
      </c>
      <c r="R29" s="21">
        <f t="shared" si="19"/>
        <v>1.9222222222222223</v>
      </c>
      <c r="S29" s="35"/>
      <c r="T29" s="61">
        <v>135</v>
      </c>
      <c r="U29" s="13">
        <f t="shared" si="23"/>
        <v>259.5</v>
      </c>
      <c r="X29" s="5">
        <v>135</v>
      </c>
      <c r="Y29" s="24">
        <v>225</v>
      </c>
      <c r="Z29" s="24">
        <v>100.5</v>
      </c>
      <c r="AA29" s="24">
        <v>34.5</v>
      </c>
    </row>
    <row r="30" spans="1:30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+'R_2014_01_atkelta(viso)'!E30+R_2014_01_priskirta!E31</f>
        <v>70.2</v>
      </c>
      <c r="F30" s="127">
        <f>+'R_2014_01_atkelta(viso)'!F30+R_2014_01_priskirta!F31</f>
        <v>450.59999999999997</v>
      </c>
      <c r="G30" s="127">
        <f>+'R_2014_01_atkelta(viso)'!G30+R_2014_01_priskirta!G31</f>
        <v>54.6</v>
      </c>
      <c r="H30" s="127">
        <f>+'R_2014_01_atkelta(viso)'!H30+R_2014_01_priskirta!H31</f>
        <v>60</v>
      </c>
      <c r="I30" s="127">
        <f>+'R_2014_01_atkelta(viso)'!I30+R_2014_01_priskirta!I31</f>
        <v>0</v>
      </c>
      <c r="J30" s="127">
        <f>+'R_2014_01_atkelta(viso)'!J30+R_2014_01_priskirta!J31</f>
        <v>0</v>
      </c>
      <c r="K30" s="127">
        <f>+'R_2014_01_atkelta(viso)'!K30+R_2014_01_priskirta!K31</f>
        <v>0</v>
      </c>
      <c r="L30" s="127">
        <f>+'R_2014_01_atkelta(viso)'!L30+R_2014_01_priskirta!L31</f>
        <v>0</v>
      </c>
      <c r="M30" s="127">
        <f>+'R_2014_01_atkelta(viso)'!M30+R_2014_01_priskirta!M31</f>
        <v>0</v>
      </c>
      <c r="N30" s="127">
        <f>+'R_2014_01_atkelta(viso)'!N30+R_2014_01_priskirta!N31</f>
        <v>949.2</v>
      </c>
      <c r="O30" s="152">
        <f t="shared" si="18"/>
        <v>1584.6</v>
      </c>
      <c r="P30" s="229">
        <f>+'R_2014_01_atkelta(viso)'!P30+R_2014_01_priskirta!P31</f>
        <v>1453.7614678899081</v>
      </c>
      <c r="Q30" s="73">
        <f t="shared" si="20"/>
        <v>130.83853211009182</v>
      </c>
      <c r="R30" s="21">
        <f t="shared" si="19"/>
        <v>29.344444444444441</v>
      </c>
      <c r="S30" s="35"/>
      <c r="T30" s="61">
        <v>216</v>
      </c>
      <c r="U30" s="13">
        <f t="shared" si="23"/>
        <v>6338.4</v>
      </c>
      <c r="X30" s="5">
        <v>2322</v>
      </c>
      <c r="Y30" s="24">
        <v>976.19999999999993</v>
      </c>
      <c r="Z30" s="24">
        <v>1713.6</v>
      </c>
      <c r="AA30" s="24">
        <v>608.40000000000009</v>
      </c>
    </row>
    <row r="31" spans="1:30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+'R_2014_01_atkelta(viso)'!E31+R_2014_01_priskirta!E32</f>
        <v>0</v>
      </c>
      <c r="F31" s="127">
        <f>+'R_2014_01_atkelta(viso)'!F31+R_2014_01_priskirta!F32</f>
        <v>413.33</v>
      </c>
      <c r="G31" s="127">
        <f>+'R_2014_01_atkelta(viso)'!G31+R_2014_01_priskirta!G32</f>
        <v>103.33</v>
      </c>
      <c r="H31" s="127">
        <f>+'R_2014_01_atkelta(viso)'!H31+R_2014_01_priskirta!H32</f>
        <v>206.67</v>
      </c>
      <c r="I31" s="127">
        <f>+'R_2014_01_atkelta(viso)'!I31+R_2014_01_priskirta!I32</f>
        <v>0</v>
      </c>
      <c r="J31" s="127">
        <f>+'R_2014_01_atkelta(viso)'!J31+R_2014_01_priskirta!J32</f>
        <v>0</v>
      </c>
      <c r="K31" s="127">
        <f>+'R_2014_01_atkelta(viso)'!K31+R_2014_01_priskirta!K32</f>
        <v>0</v>
      </c>
      <c r="L31" s="127">
        <f>+'R_2014_01_atkelta(viso)'!L31+R_2014_01_priskirta!L32</f>
        <v>0</v>
      </c>
      <c r="M31" s="127">
        <f>+'R_2014_01_atkelta(viso)'!M31+R_2014_01_priskirta!M32</f>
        <v>0</v>
      </c>
      <c r="N31" s="127">
        <f>+'R_2014_01_atkelta(viso)'!N31+R_2014_01_priskirta!N32</f>
        <v>206.67</v>
      </c>
      <c r="O31" s="152">
        <f t="shared" si="18"/>
        <v>929.99999999999989</v>
      </c>
      <c r="P31" s="229">
        <f>+'R_2014_01_atkelta(viso)'!P31+R_2014_01_priskirta!P32</f>
        <v>853.21100917431181</v>
      </c>
      <c r="Q31" s="73">
        <f t="shared" si="20"/>
        <v>76.788990825688074</v>
      </c>
      <c r="R31" s="21">
        <f t="shared" si="19"/>
        <v>1.5499999999999998</v>
      </c>
      <c r="S31" s="35"/>
      <c r="T31" s="61"/>
      <c r="U31" s="13"/>
      <c r="X31" s="5">
        <v>0</v>
      </c>
      <c r="Y31" s="24">
        <v>929.99999999999989</v>
      </c>
      <c r="Z31" s="24">
        <v>0</v>
      </c>
      <c r="AA31" s="24">
        <v>0</v>
      </c>
    </row>
    <row r="32" spans="1:30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+'R_2014_01_atkelta(viso)'!E32+R_2014_01_priskirta!E33</f>
        <v>0</v>
      </c>
      <c r="F32" s="127">
        <f>+'R_2014_01_atkelta(viso)'!F32+R_2014_01_priskirta!F33</f>
        <v>511.67</v>
      </c>
      <c r="G32" s="127">
        <f>+'R_2014_01_atkelta(viso)'!G32+R_2014_01_priskirta!G33</f>
        <v>71.67</v>
      </c>
      <c r="H32" s="127">
        <f>+'R_2014_01_atkelta(viso)'!H32+R_2014_01_priskirta!H33</f>
        <v>155.01</v>
      </c>
      <c r="I32" s="127">
        <f>+'R_2014_01_atkelta(viso)'!I32+R_2014_01_priskirta!I33</f>
        <v>0</v>
      </c>
      <c r="J32" s="127">
        <f>+'R_2014_01_atkelta(viso)'!J32+R_2014_01_priskirta!J33</f>
        <v>0</v>
      </c>
      <c r="K32" s="127">
        <f>+'R_2014_01_atkelta(viso)'!K32+R_2014_01_priskirta!K33</f>
        <v>0</v>
      </c>
      <c r="L32" s="127">
        <f>+'R_2014_01_atkelta(viso)'!L32+R_2014_01_priskirta!L33</f>
        <v>0</v>
      </c>
      <c r="M32" s="127">
        <f>+'R_2014_01_atkelta(viso)'!M32+R_2014_01_priskirta!M33</f>
        <v>0</v>
      </c>
      <c r="N32" s="127">
        <f>+'R_2014_01_atkelta(viso)'!N32+R_2014_01_priskirta!N33</f>
        <v>230</v>
      </c>
      <c r="O32" s="152">
        <f t="shared" si="18"/>
        <v>968.35</v>
      </c>
      <c r="P32" s="229">
        <f>+'R_2014_01_atkelta(viso)'!P32+R_2014_01_priskirta!P33</f>
        <v>888.39449541284398</v>
      </c>
      <c r="Q32" s="73">
        <f t="shared" si="20"/>
        <v>79.955504587156042</v>
      </c>
      <c r="R32" s="21">
        <f t="shared" si="19"/>
        <v>3.2278333333333333</v>
      </c>
      <c r="S32" s="35"/>
      <c r="T32" s="61">
        <v>300</v>
      </c>
      <c r="U32" s="13">
        <f t="shared" si="23"/>
        <v>968.35</v>
      </c>
      <c r="X32" s="5">
        <v>900</v>
      </c>
      <c r="Y32" s="24">
        <v>896.68000000000006</v>
      </c>
      <c r="Z32" s="24">
        <v>828.33</v>
      </c>
      <c r="AA32" s="24">
        <v>71.67</v>
      </c>
    </row>
    <row r="33" spans="1:28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+'R_2014_01_atkelta(viso)'!E33+R_2014_01_priskirta!E34</f>
        <v>6.67</v>
      </c>
      <c r="F33" s="127">
        <f>+'R_2014_01_atkelta(viso)'!F33+R_2014_01_priskirta!F34</f>
        <v>1928.6599999999999</v>
      </c>
      <c r="G33" s="127">
        <f>+'R_2014_01_atkelta(viso)'!G33+R_2014_01_priskirta!G34</f>
        <v>220</v>
      </c>
      <c r="H33" s="127">
        <f>+'R_2014_01_atkelta(viso)'!H33+R_2014_01_priskirta!H34</f>
        <v>144.67000000000002</v>
      </c>
      <c r="I33" s="127">
        <f>+'R_2014_01_atkelta(viso)'!I33+R_2014_01_priskirta!I34</f>
        <v>0</v>
      </c>
      <c r="J33" s="127">
        <f>+'R_2014_01_atkelta(viso)'!J33+R_2014_01_priskirta!J34</f>
        <v>0</v>
      </c>
      <c r="K33" s="127">
        <f>+'R_2014_01_atkelta(viso)'!K33+R_2014_01_priskirta!K34</f>
        <v>0</v>
      </c>
      <c r="L33" s="127">
        <f>+'R_2014_01_atkelta(viso)'!L33+R_2014_01_priskirta!L34</f>
        <v>0</v>
      </c>
      <c r="M33" s="127">
        <f>+'R_2014_01_atkelta(viso)'!M33+R_2014_01_priskirta!M34</f>
        <v>0</v>
      </c>
      <c r="N33" s="127">
        <f>+'R_2014_01_atkelta(viso)'!N33+R_2014_01_priskirta!N34</f>
        <v>1842.6599999999999</v>
      </c>
      <c r="O33" s="152">
        <f t="shared" si="18"/>
        <v>4142.66</v>
      </c>
      <c r="P33" s="229">
        <f>+'R_2014_01_atkelta(viso)'!P33+R_2014_01_priskirta!P34</f>
        <v>3800.6055045871553</v>
      </c>
      <c r="Q33" s="73">
        <f t="shared" si="20"/>
        <v>342.05449541284452</v>
      </c>
      <c r="R33" s="21">
        <f t="shared" si="19"/>
        <v>34.522166666666664</v>
      </c>
      <c r="S33" s="35"/>
      <c r="T33" s="61">
        <v>480</v>
      </c>
      <c r="U33" s="13">
        <f t="shared" si="23"/>
        <v>16570.64</v>
      </c>
      <c r="X33" s="5">
        <v>5280</v>
      </c>
      <c r="Y33" s="24">
        <v>3549.99</v>
      </c>
      <c r="Z33" s="24">
        <v>4687.33</v>
      </c>
      <c r="AA33" s="24">
        <v>592.67000000000007</v>
      </c>
    </row>
    <row r="34" spans="1:28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+'R_2014_01_atkelta(viso)'!E34+R_2014_01_priskirta!E35</f>
        <v>0</v>
      </c>
      <c r="F34" s="127">
        <f>+'R_2014_01_atkelta(viso)'!F34+R_2014_01_priskirta!F35</f>
        <v>0</v>
      </c>
      <c r="G34" s="127">
        <f>+'R_2014_01_atkelta(viso)'!G34+R_2014_01_priskirta!G35</f>
        <v>0</v>
      </c>
      <c r="H34" s="127">
        <f>+'R_2014_01_atkelta(viso)'!H34+R_2014_01_priskirta!H35</f>
        <v>0</v>
      </c>
      <c r="I34" s="127">
        <f>+'R_2014_01_atkelta(viso)'!I34+R_2014_01_priskirta!I35</f>
        <v>0</v>
      </c>
      <c r="J34" s="127">
        <f>+'R_2014_01_atkelta(viso)'!J34+R_2014_01_priskirta!J35</f>
        <v>0</v>
      </c>
      <c r="K34" s="127">
        <f>+'R_2014_01_atkelta(viso)'!K34+R_2014_01_priskirta!K35</f>
        <v>0</v>
      </c>
      <c r="L34" s="127">
        <f>+'R_2014_01_atkelta(viso)'!L34+R_2014_01_priskirta!L35</f>
        <v>0</v>
      </c>
      <c r="M34" s="127">
        <f>+'R_2014_01_atkelta(viso)'!M34+R_2014_01_priskirta!M35</f>
        <v>0</v>
      </c>
      <c r="N34" s="127">
        <f>+'R_2014_01_atkelta(viso)'!N34+R_2014_01_priskirta!N35</f>
        <v>555</v>
      </c>
      <c r="O34" s="152">
        <f t="shared" si="18"/>
        <v>555</v>
      </c>
      <c r="P34" s="229">
        <f>+'R_2014_01_atkelta(viso)'!P34+R_2014_01_priskirta!P35</f>
        <v>509.17431192660547</v>
      </c>
      <c r="Q34" s="73">
        <f t="shared" si="20"/>
        <v>45.825688073394531</v>
      </c>
      <c r="R34" s="21">
        <f t="shared" si="19"/>
        <v>1.0277777777777777</v>
      </c>
      <c r="S34" s="35"/>
      <c r="T34" s="61"/>
      <c r="U34" s="13"/>
      <c r="X34" s="5">
        <v>4860</v>
      </c>
      <c r="Y34" s="24">
        <v>279</v>
      </c>
      <c r="Z34" s="24">
        <v>4584</v>
      </c>
      <c r="AA34" s="24">
        <v>276</v>
      </c>
    </row>
    <row r="35" spans="1:28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+'R_2014_01_atkelta(viso)'!E35+R_2014_01_priskirta!E36</f>
        <v>0</v>
      </c>
      <c r="F35" s="127">
        <f>+'R_2014_01_atkelta(viso)'!F35+R_2014_01_priskirta!F36</f>
        <v>0</v>
      </c>
      <c r="G35" s="127">
        <f>+'R_2014_01_atkelta(viso)'!G35+R_2014_01_priskirta!G36</f>
        <v>0</v>
      </c>
      <c r="H35" s="127">
        <f>+'R_2014_01_atkelta(viso)'!H35+R_2014_01_priskirta!H36</f>
        <v>0</v>
      </c>
      <c r="I35" s="127">
        <f>+'R_2014_01_atkelta(viso)'!I35+R_2014_01_priskirta!I36</f>
        <v>0</v>
      </c>
      <c r="J35" s="127">
        <f>+'R_2014_01_atkelta(viso)'!J35+R_2014_01_priskirta!J36</f>
        <v>0</v>
      </c>
      <c r="K35" s="127">
        <f>+'R_2014_01_atkelta(viso)'!K35+R_2014_01_priskirta!K36</f>
        <v>0</v>
      </c>
      <c r="L35" s="127">
        <f>+'R_2014_01_atkelta(viso)'!L35+R_2014_01_priskirta!L36</f>
        <v>0</v>
      </c>
      <c r="M35" s="127">
        <f>+'R_2014_01_atkelta(viso)'!M35+R_2014_01_priskirta!M36</f>
        <v>0</v>
      </c>
      <c r="N35" s="127">
        <f>+'R_2014_01_atkelta(viso)'!N35+R_2014_01_priskirta!N36</f>
        <v>0</v>
      </c>
      <c r="O35" s="152">
        <f t="shared" si="18"/>
        <v>0</v>
      </c>
      <c r="P35" s="229">
        <f>+'R_2014_01_atkelta(viso)'!P35+R_2014_01_priskirta!P36</f>
        <v>0</v>
      </c>
      <c r="Q35" s="73">
        <f t="shared" si="20"/>
        <v>0</v>
      </c>
      <c r="R35" s="21">
        <f t="shared" si="19"/>
        <v>0</v>
      </c>
      <c r="S35" s="35"/>
      <c r="T35" s="61">
        <v>270</v>
      </c>
      <c r="U35" s="13">
        <f t="shared" si="23"/>
        <v>0</v>
      </c>
      <c r="X35" s="5">
        <v>0</v>
      </c>
      <c r="Y35" s="24">
        <v>0</v>
      </c>
      <c r="Z35" s="24">
        <v>0</v>
      </c>
      <c r="AA35" s="24">
        <v>0</v>
      </c>
    </row>
    <row r="36" spans="1:28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+'R_2014_01_atkelta(viso)'!E36+R_2014_01_priskirta!E37</f>
        <v>37.200000000000003</v>
      </c>
      <c r="F36" s="127">
        <f>+'R_2014_01_atkelta(viso)'!F36+R_2014_01_priskirta!F37</f>
        <v>123.60000000000001</v>
      </c>
      <c r="G36" s="127">
        <f>+'R_2014_01_atkelta(viso)'!G36+R_2014_01_priskirta!G37</f>
        <v>37.200000000000003</v>
      </c>
      <c r="H36" s="127">
        <f>+'R_2014_01_atkelta(viso)'!H36+R_2014_01_priskirta!H37</f>
        <v>0</v>
      </c>
      <c r="I36" s="127">
        <f>+'R_2014_01_atkelta(viso)'!I36+R_2014_01_priskirta!I37</f>
        <v>0</v>
      </c>
      <c r="J36" s="127">
        <f>+'R_2014_01_atkelta(viso)'!J36+R_2014_01_priskirta!J37</f>
        <v>0</v>
      </c>
      <c r="K36" s="127">
        <f>+'R_2014_01_atkelta(viso)'!K36+R_2014_01_priskirta!K37</f>
        <v>0</v>
      </c>
      <c r="L36" s="127">
        <f>+'R_2014_01_atkelta(viso)'!L36+R_2014_01_priskirta!L37</f>
        <v>0</v>
      </c>
      <c r="M36" s="127">
        <f>+'R_2014_01_atkelta(viso)'!M36+R_2014_01_priskirta!M37</f>
        <v>0</v>
      </c>
      <c r="N36" s="127">
        <f>+'R_2014_01_atkelta(viso)'!N36+R_2014_01_priskirta!N37</f>
        <v>252</v>
      </c>
      <c r="O36" s="152">
        <f t="shared" si="18"/>
        <v>450</v>
      </c>
      <c r="P36" s="229">
        <f>+'R_2014_01_atkelta(viso)'!P36+R_2014_01_priskirta!P37</f>
        <v>412.8440366972477</v>
      </c>
      <c r="Q36" s="73">
        <f t="shared" si="20"/>
        <v>37.155963302752298</v>
      </c>
      <c r="R36" s="21">
        <f t="shared" si="19"/>
        <v>4.166666666666667</v>
      </c>
      <c r="S36" s="35"/>
      <c r="T36" s="61">
        <v>432</v>
      </c>
      <c r="U36" s="13">
        <f t="shared" si="23"/>
        <v>1800.0000000000002</v>
      </c>
      <c r="X36" s="5">
        <v>432</v>
      </c>
      <c r="Y36" s="24">
        <v>388.20000000000005</v>
      </c>
      <c r="Z36" s="24">
        <v>370.20000000000005</v>
      </c>
      <c r="AA36" s="24">
        <v>61.8</v>
      </c>
    </row>
    <row r="37" spans="1:28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+'R_2014_01_atkelta(viso)'!E37+R_2014_01_priskirta!E38</f>
        <v>310</v>
      </c>
      <c r="F37" s="127">
        <f>+'R_2014_01_atkelta(viso)'!F37+R_2014_01_priskirta!F38</f>
        <v>103.33</v>
      </c>
      <c r="G37" s="127">
        <f>+'R_2014_01_atkelta(viso)'!G37+R_2014_01_priskirta!G38</f>
        <v>0</v>
      </c>
      <c r="H37" s="127">
        <f>+'R_2014_01_atkelta(viso)'!H37+R_2014_01_priskirta!H38</f>
        <v>103.33</v>
      </c>
      <c r="I37" s="127">
        <f>+'R_2014_01_atkelta(viso)'!I37+R_2014_01_priskirta!I38</f>
        <v>0</v>
      </c>
      <c r="J37" s="127">
        <f>+'R_2014_01_atkelta(viso)'!J37+R_2014_01_priskirta!J38</f>
        <v>0</v>
      </c>
      <c r="K37" s="127">
        <f>+'R_2014_01_atkelta(viso)'!K37+R_2014_01_priskirta!K38</f>
        <v>0</v>
      </c>
      <c r="L37" s="127">
        <f>+'R_2014_01_atkelta(viso)'!L37+R_2014_01_priskirta!L38</f>
        <v>0</v>
      </c>
      <c r="M37" s="127">
        <f>+'R_2014_01_atkelta(viso)'!M37+R_2014_01_priskirta!M38</f>
        <v>0</v>
      </c>
      <c r="N37" s="127">
        <f>+'R_2014_01_atkelta(viso)'!N37+R_2014_01_priskirta!N38</f>
        <v>103.33</v>
      </c>
      <c r="O37" s="152">
        <f t="shared" si="18"/>
        <v>619.99</v>
      </c>
      <c r="P37" s="229">
        <f>+'R_2014_01_atkelta(viso)'!P37+R_2014_01_priskirta!P38</f>
        <v>568.79816513761466</v>
      </c>
      <c r="Q37" s="73">
        <f t="shared" si="20"/>
        <v>51.191834862385349</v>
      </c>
      <c r="R37" s="21">
        <f t="shared" si="19"/>
        <v>0.68887777777777781</v>
      </c>
      <c r="S37" s="35"/>
      <c r="T37" s="61"/>
      <c r="U37" s="13"/>
      <c r="X37" s="5">
        <v>2700</v>
      </c>
      <c r="Y37" s="24">
        <v>309.99</v>
      </c>
      <c r="Z37" s="24">
        <v>2390</v>
      </c>
      <c r="AA37" s="24">
        <v>310</v>
      </c>
    </row>
    <row r="38" spans="1:28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+'R_2014_01_atkelta(viso)'!E38+R_2014_01_priskirta!E39</f>
        <v>51.67</v>
      </c>
      <c r="F38" s="127">
        <f>+'R_2014_01_atkelta(viso)'!F38+R_2014_01_priskirta!F39</f>
        <v>103.33</v>
      </c>
      <c r="G38" s="127">
        <f>+'R_2014_01_atkelta(viso)'!G38+R_2014_01_priskirta!G39</f>
        <v>51.67</v>
      </c>
      <c r="H38" s="127">
        <f>+'R_2014_01_atkelta(viso)'!H38+R_2014_01_priskirta!H39</f>
        <v>103.33</v>
      </c>
      <c r="I38" s="127">
        <f>+'R_2014_01_atkelta(viso)'!I38+R_2014_01_priskirta!I39</f>
        <v>0</v>
      </c>
      <c r="J38" s="127">
        <f>+'R_2014_01_atkelta(viso)'!J38+R_2014_01_priskirta!J39</f>
        <v>0</v>
      </c>
      <c r="K38" s="127">
        <f>+'R_2014_01_atkelta(viso)'!K38+R_2014_01_priskirta!K39</f>
        <v>0</v>
      </c>
      <c r="L38" s="127">
        <f>+'R_2014_01_atkelta(viso)'!L38+R_2014_01_priskirta!L39</f>
        <v>0</v>
      </c>
      <c r="M38" s="127">
        <f>+'R_2014_01_atkelta(viso)'!M38+R_2014_01_priskirta!M39</f>
        <v>0</v>
      </c>
      <c r="N38" s="127">
        <f>+'R_2014_01_atkelta(viso)'!N38+R_2014_01_priskirta!N39</f>
        <v>0</v>
      </c>
      <c r="O38" s="152">
        <f t="shared" si="18"/>
        <v>310</v>
      </c>
      <c r="P38" s="229">
        <f>+'R_2014_01_atkelta(viso)'!P38+R_2014_01_priskirta!P39</f>
        <v>284.40366972477062</v>
      </c>
      <c r="Q38" s="73">
        <f t="shared" si="20"/>
        <v>25.596330275229377</v>
      </c>
      <c r="R38" s="21">
        <f t="shared" si="19"/>
        <v>0.68888888888888888</v>
      </c>
      <c r="S38" s="35"/>
      <c r="T38" s="61">
        <v>450</v>
      </c>
      <c r="U38" s="13">
        <f t="shared" si="23"/>
        <v>310</v>
      </c>
      <c r="X38" s="5">
        <v>450</v>
      </c>
      <c r="Y38" s="24">
        <v>258.33</v>
      </c>
      <c r="Z38" s="24">
        <v>398.33</v>
      </c>
      <c r="AA38" s="24">
        <v>51.67</v>
      </c>
    </row>
    <row r="39" spans="1:28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+'R_2014_01_atkelta(viso)'!E39+R_2014_01_priskirta!E40</f>
        <v>103.34</v>
      </c>
      <c r="F39" s="127">
        <f>+'R_2014_01_atkelta(viso)'!F39+R_2014_01_priskirta!F40</f>
        <v>2390.67</v>
      </c>
      <c r="G39" s="127">
        <f>+'R_2014_01_atkelta(viso)'!G39+R_2014_01_priskirta!G40</f>
        <v>103.33</v>
      </c>
      <c r="H39" s="127">
        <f>+'R_2014_01_atkelta(viso)'!H39+R_2014_01_priskirta!H40</f>
        <v>226.01</v>
      </c>
      <c r="I39" s="127">
        <f>+'R_2014_01_atkelta(viso)'!I39+R_2014_01_priskirta!I40</f>
        <v>0</v>
      </c>
      <c r="J39" s="127">
        <f>+'R_2014_01_atkelta(viso)'!J39+R_2014_01_priskirta!J40</f>
        <v>0</v>
      </c>
      <c r="K39" s="127">
        <f>+'R_2014_01_atkelta(viso)'!K39+R_2014_01_priskirta!K40</f>
        <v>0</v>
      </c>
      <c r="L39" s="127">
        <f>+'R_2014_01_atkelta(viso)'!L39+R_2014_01_priskirta!L40</f>
        <v>0</v>
      </c>
      <c r="M39" s="127">
        <f>+'R_2014_01_atkelta(viso)'!M39+R_2014_01_priskirta!M40</f>
        <v>0</v>
      </c>
      <c r="N39" s="127">
        <f>+'R_2014_01_atkelta(viso)'!N39+R_2014_01_priskirta!N40</f>
        <v>1264.67</v>
      </c>
      <c r="O39" s="152">
        <f t="shared" si="18"/>
        <v>4088.0200000000004</v>
      </c>
      <c r="P39" s="229">
        <f>+'R_2014_01_atkelta(viso)'!P39+R_2014_01_priskirta!P40</f>
        <v>3750.4770642201834</v>
      </c>
      <c r="Q39" s="73">
        <f t="shared" si="20"/>
        <v>337.54293577981707</v>
      </c>
      <c r="R39" s="21">
        <f t="shared" si="19"/>
        <v>22.711222222222226</v>
      </c>
      <c r="S39" s="35"/>
      <c r="T39" s="61">
        <v>720</v>
      </c>
      <c r="U39" s="13">
        <f t="shared" si="23"/>
        <v>16352.080000000002</v>
      </c>
      <c r="X39" s="5">
        <v>540</v>
      </c>
      <c r="Y39" s="24">
        <v>4049.3500000000004</v>
      </c>
      <c r="Z39" s="24">
        <v>501.33000000000004</v>
      </c>
      <c r="AA39" s="24">
        <v>38.67</v>
      </c>
    </row>
    <row r="40" spans="1:28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+'R_2014_01_atkelta(viso)'!E40+R_2014_01_priskirta!E41</f>
        <v>0</v>
      </c>
      <c r="F40" s="127">
        <f>+'R_2014_01_atkelta(viso)'!F40+R_2014_01_priskirta!F41</f>
        <v>0</v>
      </c>
      <c r="G40" s="127">
        <f>+'R_2014_01_atkelta(viso)'!G40+R_2014_01_priskirta!G41</f>
        <v>0</v>
      </c>
      <c r="H40" s="127">
        <f>+'R_2014_01_atkelta(viso)'!H40+R_2014_01_priskirta!H41</f>
        <v>0</v>
      </c>
      <c r="I40" s="127">
        <f>+'R_2014_01_atkelta(viso)'!I40+R_2014_01_priskirta!I41</f>
        <v>0</v>
      </c>
      <c r="J40" s="127">
        <f>+'R_2014_01_atkelta(viso)'!J40+R_2014_01_priskirta!J41</f>
        <v>0</v>
      </c>
      <c r="K40" s="127">
        <f>+'R_2014_01_atkelta(viso)'!K40+R_2014_01_priskirta!K41</f>
        <v>0</v>
      </c>
      <c r="L40" s="127">
        <f>+'R_2014_01_atkelta(viso)'!L40+R_2014_01_priskirta!L41</f>
        <v>0</v>
      </c>
      <c r="M40" s="127">
        <f>+'R_2014_01_atkelta(viso)'!M40+R_2014_01_priskirta!M41</f>
        <v>0</v>
      </c>
      <c r="N40" s="127">
        <f>+'R_2014_01_atkelta(viso)'!N40+R_2014_01_priskirta!N41</f>
        <v>54</v>
      </c>
      <c r="O40" s="152">
        <f t="shared" si="18"/>
        <v>54</v>
      </c>
      <c r="P40" s="229">
        <f>+'R_2014_01_atkelta(viso)'!P40+R_2014_01_priskirta!P41</f>
        <v>49.541284403669721</v>
      </c>
      <c r="Q40" s="73">
        <f t="shared" si="20"/>
        <v>4.4587155963302791</v>
      </c>
      <c r="R40" s="21">
        <f t="shared" si="19"/>
        <v>6.6666666666666666E-2</v>
      </c>
      <c r="S40" s="71"/>
      <c r="T40" s="61"/>
      <c r="U40" s="13"/>
      <c r="X40" s="5">
        <v>1620</v>
      </c>
      <c r="Y40" s="24">
        <v>0</v>
      </c>
      <c r="Z40" s="24">
        <v>1566</v>
      </c>
      <c r="AA40" s="24">
        <v>54</v>
      </c>
    </row>
    <row r="41" spans="1:28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+'R_2014_01_atkelta(viso)'!E41+R_2014_01_priskirta!E42</f>
        <v>0</v>
      </c>
      <c r="F41" s="127">
        <f>+'R_2014_01_atkelta(viso)'!F41+R_2014_01_priskirta!F42</f>
        <v>0</v>
      </c>
      <c r="G41" s="127">
        <f>+'R_2014_01_atkelta(viso)'!G41+R_2014_01_priskirta!G42</f>
        <v>0</v>
      </c>
      <c r="H41" s="127">
        <f>+'R_2014_01_atkelta(viso)'!H41+R_2014_01_priskirta!H42</f>
        <v>0</v>
      </c>
      <c r="I41" s="127">
        <f>+'R_2014_01_atkelta(viso)'!I41+R_2014_01_priskirta!I42</f>
        <v>0</v>
      </c>
      <c r="J41" s="127">
        <f>+'R_2014_01_atkelta(viso)'!J41+R_2014_01_priskirta!J42</f>
        <v>0</v>
      </c>
      <c r="K41" s="127">
        <f>+'R_2014_01_atkelta(viso)'!K41+R_2014_01_priskirta!K42</f>
        <v>0</v>
      </c>
      <c r="L41" s="127">
        <f>+'R_2014_01_atkelta(viso)'!L41+R_2014_01_priskirta!L42</f>
        <v>0</v>
      </c>
      <c r="M41" s="127">
        <f>+'R_2014_01_atkelta(viso)'!M41+R_2014_01_priskirta!M42</f>
        <v>0</v>
      </c>
      <c r="N41" s="127">
        <f>+'R_2014_01_atkelta(viso)'!N41+R_2014_01_priskirta!N42</f>
        <v>0</v>
      </c>
      <c r="O41" s="152">
        <f t="shared" si="18"/>
        <v>0</v>
      </c>
      <c r="P41" s="229">
        <f>+'R_2014_01_atkelta(viso)'!P41+R_2014_01_priskirta!P42</f>
        <v>0</v>
      </c>
      <c r="Q41" s="73">
        <f t="shared" si="20"/>
        <v>0</v>
      </c>
      <c r="R41" s="21">
        <f t="shared" si="19"/>
        <v>0</v>
      </c>
      <c r="S41" s="71"/>
      <c r="T41" s="61">
        <v>405</v>
      </c>
      <c r="U41" s="13">
        <f t="shared" si="23"/>
        <v>0</v>
      </c>
      <c r="X41" s="5">
        <v>0</v>
      </c>
      <c r="Y41" s="24">
        <v>0</v>
      </c>
      <c r="Z41" s="24">
        <v>0</v>
      </c>
      <c r="AA41" s="24">
        <v>0</v>
      </c>
    </row>
    <row r="42" spans="1:28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21">
        <f>+'R_2014_01_atkelta(viso)'!E42+R_2014_01_priskirta!E43</f>
        <v>18.600000000000001</v>
      </c>
      <c r="F42" s="221">
        <f>+'R_2014_01_atkelta(viso)'!F42+R_2014_01_priskirta!F43</f>
        <v>204.6</v>
      </c>
      <c r="G42" s="221">
        <f>+'R_2014_01_atkelta(viso)'!G42+R_2014_01_priskirta!G43</f>
        <v>18.600000000000001</v>
      </c>
      <c r="H42" s="221">
        <f>+'R_2014_01_atkelta(viso)'!H42+R_2014_01_priskirta!H43</f>
        <v>0</v>
      </c>
      <c r="I42" s="221">
        <f>+'R_2014_01_atkelta(viso)'!I42+R_2014_01_priskirta!I43</f>
        <v>0</v>
      </c>
      <c r="J42" s="221">
        <f>+'R_2014_01_atkelta(viso)'!J42+R_2014_01_priskirta!J43</f>
        <v>0</v>
      </c>
      <c r="K42" s="221">
        <f>+'R_2014_01_atkelta(viso)'!K42+R_2014_01_priskirta!K43</f>
        <v>0</v>
      </c>
      <c r="L42" s="221">
        <f>+'R_2014_01_atkelta(viso)'!L42+R_2014_01_priskirta!L43</f>
        <v>0</v>
      </c>
      <c r="M42" s="221">
        <f>+'R_2014_01_atkelta(viso)'!M42+R_2014_01_priskirta!M43</f>
        <v>0</v>
      </c>
      <c r="N42" s="221">
        <f>+'R_2014_01_atkelta(viso)'!N42+R_2014_01_priskirta!N43</f>
        <v>223.2</v>
      </c>
      <c r="O42" s="206">
        <f t="shared" si="18"/>
        <v>465</v>
      </c>
      <c r="P42" s="247">
        <f>+'R_2014_01_atkelta(viso)'!P42+R_2014_01_priskirta!P43</f>
        <v>426.60550458715591</v>
      </c>
      <c r="Q42" s="207">
        <f t="shared" si="20"/>
        <v>38.394495412844094</v>
      </c>
      <c r="R42" s="39">
        <f t="shared" si="19"/>
        <v>2.8703703703703702</v>
      </c>
      <c r="S42" s="71"/>
      <c r="T42" s="61">
        <v>648</v>
      </c>
      <c r="U42" s="13">
        <f t="shared" si="23"/>
        <v>1860</v>
      </c>
      <c r="X42" s="5">
        <v>0</v>
      </c>
      <c r="Y42" s="24">
        <v>465</v>
      </c>
      <c r="Z42" s="24">
        <v>0</v>
      </c>
      <c r="AA42" s="24">
        <v>0</v>
      </c>
    </row>
    <row r="43" spans="1:28" ht="13.2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f>+'R_2014_01_atkelta(viso)'!E43+R_2014_01_priskirta!E44</f>
        <v>77.069999999999993</v>
      </c>
      <c r="F43" s="124">
        <f>+'R_2014_01_atkelta(viso)'!F43+R_2014_01_priskirta!F44</f>
        <v>5972.36</v>
      </c>
      <c r="G43" s="124">
        <f>+'R_2014_01_atkelta(viso)'!G43+R_2014_01_priskirta!G44</f>
        <v>713.15</v>
      </c>
      <c r="H43" s="124">
        <f>+'R_2014_01_atkelta(viso)'!H43+R_2014_01_priskirta!H44</f>
        <v>1133.56</v>
      </c>
      <c r="I43" s="124">
        <f>+'R_2014_01_atkelta(viso)'!I43+R_2014_01_priskirta!I44</f>
        <v>0</v>
      </c>
      <c r="J43" s="124">
        <f>+'R_2014_01_atkelta(viso)'!J43+R_2014_01_priskirta!J44</f>
        <v>0</v>
      </c>
      <c r="K43" s="124">
        <f>+'R_2014_01_atkelta(viso)'!K43+R_2014_01_priskirta!K44</f>
        <v>0</v>
      </c>
      <c r="L43" s="124">
        <f>+'R_2014_01_atkelta(viso)'!L43+R_2014_01_priskirta!L44</f>
        <v>0</v>
      </c>
      <c r="M43" s="124">
        <f>+'R_2014_01_atkelta(viso)'!M43+R_2014_01_priskirta!M44</f>
        <v>0</v>
      </c>
      <c r="N43" s="124">
        <f>+'R_2014_01_atkelta(viso)'!N43+R_2014_01_priskirta!N44</f>
        <v>11.29</v>
      </c>
      <c r="O43" s="248">
        <f t="shared" si="18"/>
        <v>7907.4299999999994</v>
      </c>
      <c r="P43" s="140">
        <f>+'R_2014_01_atkelta(viso)'!P43+R_2014_01_priskirta!P44</f>
        <v>7254.5229357798153</v>
      </c>
      <c r="Q43" s="147">
        <f t="shared" ref="Q43" si="24">+O43-P43</f>
        <v>652.90706422018411</v>
      </c>
      <c r="R43" s="22">
        <f t="shared" si="19"/>
        <v>790.74299999999994</v>
      </c>
      <c r="S43" s="71"/>
      <c r="T43" s="61"/>
      <c r="U43" s="13"/>
      <c r="V43" s="2"/>
      <c r="W43" s="1"/>
      <c r="X43" s="1">
        <v>124630</v>
      </c>
      <c r="Y43" s="1">
        <v>0</v>
      </c>
      <c r="Z43" s="1">
        <v>116722.57</v>
      </c>
      <c r="AA43" s="1">
        <v>7907.4299999999994</v>
      </c>
      <c r="AB43" s="1"/>
    </row>
    <row r="44" spans="1:28" ht="12" customHeight="1" x14ac:dyDescent="0.3">
      <c r="A44" s="70" t="s">
        <v>16</v>
      </c>
      <c r="B44" s="52" t="s">
        <v>34</v>
      </c>
      <c r="C44" s="98" t="s">
        <v>91</v>
      </c>
      <c r="D44" s="78"/>
      <c r="E44" s="118">
        <f>+SUM(E45:E53)</f>
        <v>2680.7199999999993</v>
      </c>
      <c r="F44" s="82">
        <f>+SUM(F45:F53)</f>
        <v>130126.00000000001</v>
      </c>
      <c r="G44" s="82">
        <f t="shared" ref="G44:R44" si="25">+SUM(G45:G53)</f>
        <v>20065.66</v>
      </c>
      <c r="H44" s="82">
        <f>+SUM(H45:H53)</f>
        <v>2196.5500000000002</v>
      </c>
      <c r="I44" s="82">
        <f t="shared" si="25"/>
        <v>0</v>
      </c>
      <c r="J44" s="82">
        <f t="shared" si="25"/>
        <v>0</v>
      </c>
      <c r="K44" s="100">
        <f t="shared" si="25"/>
        <v>0</v>
      </c>
      <c r="L44" s="100">
        <f t="shared" ref="L44" si="26">+SUM(L45:L53)</f>
        <v>0</v>
      </c>
      <c r="M44" s="100">
        <f t="shared" si="25"/>
        <v>0</v>
      </c>
      <c r="N44" s="100">
        <f t="shared" si="25"/>
        <v>13133.09</v>
      </c>
      <c r="O44" s="42">
        <f>+SUM(O45:O53)</f>
        <v>168202.02</v>
      </c>
      <c r="P44" s="82">
        <f t="shared" si="25"/>
        <v>154313.77981651374</v>
      </c>
      <c r="Q44" s="82">
        <f t="shared" si="25"/>
        <v>13888.240183486243</v>
      </c>
      <c r="R44" s="19">
        <f t="shared" si="25"/>
        <v>24128.73333333333</v>
      </c>
      <c r="S44" s="71"/>
      <c r="T44" s="61"/>
      <c r="U44" s="105">
        <f>+SUM(U45:U68)</f>
        <v>251051.37999999995</v>
      </c>
      <c r="X44" s="42">
        <v>169216.59999999998</v>
      </c>
      <c r="Y44" s="42">
        <v>10979.009999999998</v>
      </c>
      <c r="Z44" s="42">
        <v>11993.590000000002</v>
      </c>
      <c r="AA44" s="42">
        <v>157223.00999999998</v>
      </c>
    </row>
    <row r="45" spans="1:28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>
        <f>+'R_2014_01_atkelta(viso)'!E45+R_2014_01_priskirta!E46</f>
        <v>384</v>
      </c>
      <c r="F45" s="127">
        <f>+'R_2014_01_atkelta(viso)'!F45+R_2014_01_priskirta!F46</f>
        <v>12936</v>
      </c>
      <c r="G45" s="127">
        <f>+'R_2014_01_atkelta(viso)'!G45+R_2014_01_priskirta!G46</f>
        <v>2172</v>
      </c>
      <c r="H45" s="127">
        <f>+'R_2014_01_atkelta(viso)'!H45+R_2014_01_priskirta!H46</f>
        <v>180</v>
      </c>
      <c r="I45" s="127">
        <f>+'R_2014_01_atkelta(viso)'!I45+R_2014_01_priskirta!I46</f>
        <v>0</v>
      </c>
      <c r="J45" s="127">
        <f>+'R_2014_01_atkelta(viso)'!J45+R_2014_01_priskirta!J46</f>
        <v>0</v>
      </c>
      <c r="K45" s="127">
        <f>+'R_2014_01_atkelta(viso)'!K45+R_2014_01_priskirta!K46</f>
        <v>0</v>
      </c>
      <c r="L45" s="127">
        <f>+'R_2014_01_atkelta(viso)'!L45+R_2014_01_priskirta!L46</f>
        <v>0</v>
      </c>
      <c r="M45" s="127">
        <f>+'R_2014_01_atkelta(viso)'!M45+R_2014_01_priskirta!M46</f>
        <v>0</v>
      </c>
      <c r="N45" s="127">
        <f>+'R_2014_01_atkelta(viso)'!N45+R_2014_01_priskirta!N46</f>
        <v>1356</v>
      </c>
      <c r="O45" s="5">
        <f t="shared" ref="O45:O53" si="27">+SUM(E45:N45)</f>
        <v>17028</v>
      </c>
      <c r="P45" s="210">
        <f>+'R_2014_01_atkelta(viso)'!P45+R_2014_01_priskirta!P46</f>
        <v>15622.018348623853</v>
      </c>
      <c r="Q45" s="64">
        <f t="shared" ref="Q45:Q53" si="28">+O45-P45</f>
        <v>1405.9816513761471</v>
      </c>
      <c r="R45" s="85">
        <f t="shared" ref="R45:R53" si="29">O45/D45</f>
        <v>1419</v>
      </c>
      <c r="S45" s="71"/>
      <c r="T45" s="61"/>
      <c r="U45" s="13"/>
      <c r="V45"/>
      <c r="X45" s="5">
        <v>17028</v>
      </c>
      <c r="Y45" s="24">
        <v>0</v>
      </c>
      <c r="Z45" s="24">
        <v>0</v>
      </c>
      <c r="AA45" s="24">
        <v>17028</v>
      </c>
    </row>
    <row r="46" spans="1:28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7">
        <f>+'R_2014_01_atkelta(viso)'!E46+R_2014_01_priskirta!E47</f>
        <v>90</v>
      </c>
      <c r="F46" s="127">
        <f>+'R_2014_01_atkelta(viso)'!F46+R_2014_01_priskirta!F47</f>
        <v>1530</v>
      </c>
      <c r="G46" s="127">
        <f>+'R_2014_01_atkelta(viso)'!G46+R_2014_01_priskirta!G47</f>
        <v>426</v>
      </c>
      <c r="H46" s="127">
        <f>+'R_2014_01_atkelta(viso)'!H46+R_2014_01_priskirta!H47</f>
        <v>6</v>
      </c>
      <c r="I46" s="127">
        <f>+'R_2014_01_atkelta(viso)'!I46+R_2014_01_priskirta!I47</f>
        <v>0</v>
      </c>
      <c r="J46" s="127">
        <f>+'R_2014_01_atkelta(viso)'!J46+R_2014_01_priskirta!J47</f>
        <v>0</v>
      </c>
      <c r="K46" s="127">
        <f>+'R_2014_01_atkelta(viso)'!K46+R_2014_01_priskirta!K47</f>
        <v>0</v>
      </c>
      <c r="L46" s="127">
        <f>+'R_2014_01_atkelta(viso)'!L46+R_2014_01_priskirta!L47</f>
        <v>0</v>
      </c>
      <c r="M46" s="127">
        <f>+'R_2014_01_atkelta(viso)'!M46+R_2014_01_priskirta!M47</f>
        <v>0</v>
      </c>
      <c r="N46" s="127">
        <f>+'R_2014_01_atkelta(viso)'!N46+R_2014_01_priskirta!N47</f>
        <v>144</v>
      </c>
      <c r="O46" s="5">
        <f t="shared" si="27"/>
        <v>2196</v>
      </c>
      <c r="P46" s="229">
        <f>+'R_2014_01_atkelta(viso)'!P46+R_2014_01_priskirta!P47</f>
        <v>2014.6788990825687</v>
      </c>
      <c r="Q46" s="5">
        <f t="shared" si="28"/>
        <v>181.32110091743129</v>
      </c>
      <c r="R46" s="31">
        <f t="shared" si="29"/>
        <v>366</v>
      </c>
      <c r="S46" s="71"/>
      <c r="T46" s="61">
        <v>6</v>
      </c>
      <c r="U46" s="13">
        <f t="shared" ref="U46:U47" si="30">+R46*T46</f>
        <v>2196</v>
      </c>
      <c r="X46" s="5">
        <v>2196</v>
      </c>
      <c r="Y46" s="24">
        <v>0</v>
      </c>
      <c r="Z46" s="24">
        <v>0</v>
      </c>
      <c r="AA46" s="24">
        <v>2196</v>
      </c>
    </row>
    <row r="47" spans="1:28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7">
        <f>+'R_2014_01_atkelta(viso)'!E47+R_2014_01_priskirta!E48</f>
        <v>448.8</v>
      </c>
      <c r="F47" s="127">
        <f>+'R_2014_01_atkelta(viso)'!F47+R_2014_01_priskirta!F48</f>
        <v>29030.400000000001</v>
      </c>
      <c r="G47" s="127">
        <f>+'R_2014_01_atkelta(viso)'!G47+R_2014_01_priskirta!G48</f>
        <v>5232</v>
      </c>
      <c r="H47" s="127">
        <f>+'R_2014_01_atkelta(viso)'!H47+R_2014_01_priskirta!H48</f>
        <v>153.6</v>
      </c>
      <c r="I47" s="127">
        <f>+'R_2014_01_atkelta(viso)'!I47+R_2014_01_priskirta!I48</f>
        <v>0</v>
      </c>
      <c r="J47" s="127">
        <f>+'R_2014_01_atkelta(viso)'!J47+R_2014_01_priskirta!J48</f>
        <v>0</v>
      </c>
      <c r="K47" s="127">
        <f>+'R_2014_01_atkelta(viso)'!K47+R_2014_01_priskirta!K48</f>
        <v>0</v>
      </c>
      <c r="L47" s="127">
        <f>+'R_2014_01_atkelta(viso)'!L47+R_2014_01_priskirta!L48</f>
        <v>0</v>
      </c>
      <c r="M47" s="127">
        <f>+'R_2014_01_atkelta(viso)'!M47+R_2014_01_priskirta!M48</f>
        <v>0</v>
      </c>
      <c r="N47" s="127">
        <f>+'R_2014_01_atkelta(viso)'!N47+R_2014_01_priskirta!N48</f>
        <v>2568</v>
      </c>
      <c r="O47" s="5">
        <f t="shared" si="27"/>
        <v>37432.799999999996</v>
      </c>
      <c r="P47" s="229">
        <f>+'R_2014_01_atkelta(viso)'!P47+R_2014_01_priskirta!P48</f>
        <v>34342.018348623846</v>
      </c>
      <c r="Q47" s="5">
        <f t="shared" si="28"/>
        <v>3090.78165137615</v>
      </c>
      <c r="R47" s="31">
        <f t="shared" si="29"/>
        <v>15596.999999999998</v>
      </c>
      <c r="S47" s="71"/>
      <c r="T47" s="61">
        <v>9.6</v>
      </c>
      <c r="U47" s="13">
        <f t="shared" si="30"/>
        <v>149731.19999999998</v>
      </c>
      <c r="X47" s="5">
        <v>37432.799999999996</v>
      </c>
      <c r="Y47" s="24">
        <v>0</v>
      </c>
      <c r="Z47" s="24">
        <v>0</v>
      </c>
      <c r="AA47" s="24">
        <v>37432.799999999996</v>
      </c>
    </row>
    <row r="48" spans="1:28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7">
        <f>+'R_2014_01_atkelta(viso)'!E48+R_2014_01_priskirta!E49</f>
        <v>399</v>
      </c>
      <c r="F48" s="127">
        <f>+'R_2014_01_atkelta(viso)'!F48+R_2014_01_priskirta!F49</f>
        <v>13615</v>
      </c>
      <c r="G48" s="127">
        <f>+'R_2014_01_atkelta(viso)'!G48+R_2014_01_priskirta!G49</f>
        <v>1603</v>
      </c>
      <c r="H48" s="127">
        <f>+'R_2014_01_atkelta(viso)'!H48+R_2014_01_priskirta!H49</f>
        <v>399</v>
      </c>
      <c r="I48" s="127">
        <f>+'R_2014_01_atkelta(viso)'!I48+R_2014_01_priskirta!I49</f>
        <v>0</v>
      </c>
      <c r="J48" s="127">
        <f>+'R_2014_01_atkelta(viso)'!J48+R_2014_01_priskirta!J49</f>
        <v>0</v>
      </c>
      <c r="K48" s="127">
        <f>+'R_2014_01_atkelta(viso)'!K48+R_2014_01_priskirta!K49</f>
        <v>0</v>
      </c>
      <c r="L48" s="127">
        <f>+'R_2014_01_atkelta(viso)'!L48+R_2014_01_priskirta!L49</f>
        <v>0</v>
      </c>
      <c r="M48" s="127">
        <f>+'R_2014_01_atkelta(viso)'!M48+R_2014_01_priskirta!M49</f>
        <v>0</v>
      </c>
      <c r="N48" s="127">
        <f>+'R_2014_01_atkelta(viso)'!N48+R_2014_01_priskirta!N49</f>
        <v>917</v>
      </c>
      <c r="O48" s="5">
        <f t="shared" si="27"/>
        <v>16933</v>
      </c>
      <c r="P48" s="229">
        <f>+'R_2014_01_atkelta(viso)'!P48+R_2014_01_priskirta!P49</f>
        <v>15534.862385321099</v>
      </c>
      <c r="Q48" s="5">
        <f t="shared" si="28"/>
        <v>1398.1376146789007</v>
      </c>
      <c r="R48" s="31">
        <f t="shared" si="29"/>
        <v>806.33333333333337</v>
      </c>
      <c r="S48" s="71"/>
      <c r="T48" s="61"/>
      <c r="U48" s="13"/>
      <c r="X48" s="5">
        <v>16737</v>
      </c>
      <c r="Y48" s="24">
        <v>693</v>
      </c>
      <c r="Z48" s="24">
        <v>497</v>
      </c>
      <c r="AA48" s="24">
        <v>16240</v>
      </c>
    </row>
    <row r="49" spans="1:27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7">
        <f>+'R_2014_01_atkelta(viso)'!E49+R_2014_01_priskirta!E50</f>
        <v>31.5</v>
      </c>
      <c r="F49" s="127">
        <f>+'R_2014_01_atkelta(viso)'!F49+R_2014_01_priskirta!F50</f>
        <v>1176</v>
      </c>
      <c r="G49" s="127">
        <f>+'R_2014_01_atkelta(viso)'!G49+R_2014_01_priskirta!G50</f>
        <v>185.5</v>
      </c>
      <c r="H49" s="127">
        <f>+'R_2014_01_atkelta(viso)'!H49+R_2014_01_priskirta!H50</f>
        <v>24.5</v>
      </c>
      <c r="I49" s="127">
        <f>+'R_2014_01_atkelta(viso)'!I49+R_2014_01_priskirta!I50</f>
        <v>0</v>
      </c>
      <c r="J49" s="127">
        <f>+'R_2014_01_atkelta(viso)'!J49+R_2014_01_priskirta!J50</f>
        <v>0</v>
      </c>
      <c r="K49" s="127">
        <f>+'R_2014_01_atkelta(viso)'!K49+R_2014_01_priskirta!K50</f>
        <v>0</v>
      </c>
      <c r="L49" s="127">
        <f>+'R_2014_01_atkelta(viso)'!L49+R_2014_01_priskirta!L50</f>
        <v>0</v>
      </c>
      <c r="M49" s="127">
        <f>+'R_2014_01_atkelta(viso)'!M49+R_2014_01_priskirta!M50</f>
        <v>0</v>
      </c>
      <c r="N49" s="127">
        <f>+'R_2014_01_atkelta(viso)'!N49+R_2014_01_priskirta!N50</f>
        <v>73.5</v>
      </c>
      <c r="O49" s="5">
        <f t="shared" si="27"/>
        <v>1491</v>
      </c>
      <c r="P49" s="229">
        <f>+'R_2014_01_atkelta(viso)'!P49+R_2014_01_priskirta!P50</f>
        <v>1367.8899082568807</v>
      </c>
      <c r="Q49" s="5">
        <f t="shared" si="28"/>
        <v>123.11009174311926</v>
      </c>
      <c r="R49" s="21">
        <f t="shared" si="29"/>
        <v>142</v>
      </c>
      <c r="S49" s="71"/>
      <c r="T49" s="61">
        <v>10.5</v>
      </c>
      <c r="U49" s="13">
        <f t="shared" ref="U49:U50" si="31">+R49*T49</f>
        <v>1491</v>
      </c>
      <c r="X49" s="5">
        <v>1501.5</v>
      </c>
      <c r="Y49" s="24">
        <v>38.5</v>
      </c>
      <c r="Z49" s="24">
        <v>49</v>
      </c>
      <c r="AA49" s="24">
        <v>1452.5</v>
      </c>
    </row>
    <row r="50" spans="1:27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f>+'R_2014_01_atkelta(viso)'!E50+R_2014_01_priskirta!E51</f>
        <v>96.6</v>
      </c>
      <c r="F50" s="123">
        <f>+'R_2014_01_atkelta(viso)'!F50+R_2014_01_priskirta!F51</f>
        <v>7337.4</v>
      </c>
      <c r="G50" s="123">
        <f>+'R_2014_01_atkelta(viso)'!G50+R_2014_01_priskirta!G51</f>
        <v>887.6</v>
      </c>
      <c r="H50" s="123">
        <f>+'R_2014_01_atkelta(viso)'!H50+R_2014_01_priskirta!H51</f>
        <v>78.399999999999991</v>
      </c>
      <c r="I50" s="123">
        <f>+'R_2014_01_atkelta(viso)'!I50+R_2014_01_priskirta!I51</f>
        <v>0</v>
      </c>
      <c r="J50" s="123">
        <f>+'R_2014_01_atkelta(viso)'!J50+R_2014_01_priskirta!J51</f>
        <v>0</v>
      </c>
      <c r="K50" s="123">
        <f>+'R_2014_01_atkelta(viso)'!K50+R_2014_01_priskirta!K51</f>
        <v>0</v>
      </c>
      <c r="L50" s="123">
        <f>+'R_2014_01_atkelta(viso)'!L50+R_2014_01_priskirta!L51</f>
        <v>0</v>
      </c>
      <c r="M50" s="123">
        <f>+'R_2014_01_atkelta(viso)'!M50+R_2014_01_priskirta!M51</f>
        <v>0</v>
      </c>
      <c r="N50" s="123">
        <f>+'R_2014_01_atkelta(viso)'!N50+R_2014_01_priskirta!N51</f>
        <v>1465.8000000000002</v>
      </c>
      <c r="O50" s="5">
        <f t="shared" si="27"/>
        <v>9865.7999999999993</v>
      </c>
      <c r="P50" s="229">
        <f>+'R_2014_01_atkelta(viso)'!P50+R_2014_01_priskirta!P51</f>
        <v>9051.1926605504577</v>
      </c>
      <c r="Q50" s="5">
        <f t="shared" si="28"/>
        <v>814.60733944954154</v>
      </c>
      <c r="R50" s="21">
        <f t="shared" si="29"/>
        <v>2348.9999999999995</v>
      </c>
      <c r="S50" s="71"/>
      <c r="T50" s="61">
        <v>16.8</v>
      </c>
      <c r="U50" s="13">
        <f t="shared" si="31"/>
        <v>39463.199999999997</v>
      </c>
      <c r="X50" s="5">
        <v>9676.8000000000011</v>
      </c>
      <c r="Y50" s="24">
        <v>509.6</v>
      </c>
      <c r="Z50" s="24">
        <v>320.60000000000002</v>
      </c>
      <c r="AA50" s="24">
        <v>9356.2000000000007</v>
      </c>
    </row>
    <row r="51" spans="1:27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7">
        <f>+'R_2014_01_atkelta(viso)'!E51+R_2014_01_priskirta!E52</f>
        <v>861</v>
      </c>
      <c r="F51" s="127">
        <f>+'R_2014_01_atkelta(viso)'!F51+R_2014_01_priskirta!F52</f>
        <v>51143.4</v>
      </c>
      <c r="G51" s="127">
        <f>+'R_2014_01_atkelta(viso)'!G51+R_2014_01_priskirta!G52</f>
        <v>7712.0999999999995</v>
      </c>
      <c r="H51" s="127">
        <f>+'R_2014_01_atkelta(viso)'!H51+R_2014_01_priskirta!H52</f>
        <v>1094.7</v>
      </c>
      <c r="I51" s="127">
        <f>+'R_2014_01_atkelta(viso)'!I51+R_2014_01_priskirta!I52</f>
        <v>0</v>
      </c>
      <c r="J51" s="127">
        <f>+'R_2014_01_atkelta(viso)'!J51+R_2014_01_priskirta!J52</f>
        <v>0</v>
      </c>
      <c r="K51" s="127">
        <f>+'R_2014_01_atkelta(viso)'!K51+R_2014_01_priskirta!K52</f>
        <v>0</v>
      </c>
      <c r="L51" s="127">
        <f>+'R_2014_01_atkelta(viso)'!L51+R_2014_01_priskirta!L52</f>
        <v>0</v>
      </c>
      <c r="M51" s="127">
        <f>+'R_2014_01_atkelta(viso)'!M51+R_2014_01_priskirta!M52</f>
        <v>0</v>
      </c>
      <c r="N51" s="127">
        <f>+'R_2014_01_atkelta(viso)'!N51+R_2014_01_priskirta!N52</f>
        <v>4141</v>
      </c>
      <c r="O51" s="5">
        <f t="shared" si="27"/>
        <v>64952.2</v>
      </c>
      <c r="P51" s="229">
        <f>+'R_2014_01_atkelta(viso)'!P51+R_2014_01_priskirta!P52</f>
        <v>59589.174311926603</v>
      </c>
      <c r="Q51" s="5">
        <f t="shared" si="28"/>
        <v>5363.0256880733941</v>
      </c>
      <c r="R51" s="21">
        <f t="shared" si="29"/>
        <v>1584.1999999999998</v>
      </c>
      <c r="S51" s="71"/>
      <c r="T51" s="61"/>
      <c r="U51" s="13"/>
      <c r="X51" s="5">
        <v>66953</v>
      </c>
      <c r="Y51" s="24">
        <v>7740.7999999999993</v>
      </c>
      <c r="Z51" s="24">
        <v>9741.6</v>
      </c>
      <c r="AA51" s="24">
        <v>57211.4</v>
      </c>
    </row>
    <row r="52" spans="1:27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7">
        <f>+'R_2014_01_atkelta(viso)'!E52+R_2014_01_priskirta!E53</f>
        <v>192.7</v>
      </c>
      <c r="F52" s="127">
        <f>+'R_2014_01_atkelta(viso)'!F52+R_2014_01_priskirta!F53</f>
        <v>4018</v>
      </c>
      <c r="G52" s="127">
        <f>+'R_2014_01_atkelta(viso)'!G52+R_2014_01_priskirta!G53</f>
        <v>516.6</v>
      </c>
      <c r="H52" s="127">
        <f>+'R_2014_01_atkelta(viso)'!H52+R_2014_01_priskirta!H53</f>
        <v>84.05</v>
      </c>
      <c r="I52" s="127">
        <f>+'R_2014_01_atkelta(viso)'!I52+R_2014_01_priskirta!I53</f>
        <v>0</v>
      </c>
      <c r="J52" s="127">
        <f>+'R_2014_01_atkelta(viso)'!J52+R_2014_01_priskirta!J53</f>
        <v>0</v>
      </c>
      <c r="K52" s="127">
        <f>+'R_2014_01_atkelta(viso)'!K52+R_2014_01_priskirta!K53</f>
        <v>0</v>
      </c>
      <c r="L52" s="127">
        <f>+'R_2014_01_atkelta(viso)'!L52+R_2014_01_priskirta!L53</f>
        <v>0</v>
      </c>
      <c r="M52" s="127">
        <f>+'R_2014_01_atkelta(viso)'!M52+R_2014_01_priskirta!M53</f>
        <v>0</v>
      </c>
      <c r="N52" s="127">
        <f>+'R_2014_01_atkelta(viso)'!N52+R_2014_01_priskirta!N53</f>
        <v>202.95</v>
      </c>
      <c r="O52" s="5">
        <f t="shared" si="27"/>
        <v>5014.3</v>
      </c>
      <c r="P52" s="229">
        <f>+'R_2014_01_atkelta(viso)'!P52+R_2014_01_priskirta!P53</f>
        <v>4600.2752293577978</v>
      </c>
      <c r="Q52" s="5">
        <f t="shared" si="28"/>
        <v>414.02477064220238</v>
      </c>
      <c r="R52" s="21">
        <f t="shared" si="29"/>
        <v>244.60000000000002</v>
      </c>
      <c r="S52" s="71"/>
      <c r="T52" s="61">
        <v>20.5</v>
      </c>
      <c r="U52" s="13">
        <f t="shared" ref="U52:U53" si="32">+R52*T52</f>
        <v>5014.3</v>
      </c>
      <c r="X52" s="5">
        <v>4817.5</v>
      </c>
      <c r="Y52" s="24">
        <v>662.15</v>
      </c>
      <c r="Z52" s="24">
        <v>465.35</v>
      </c>
      <c r="AA52" s="24">
        <v>4352.1499999999996</v>
      </c>
    </row>
    <row r="53" spans="1:27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+'R_2014_01_atkelta(viso)'!E53+R_2014_01_priskirta!E54</f>
        <v>177.12</v>
      </c>
      <c r="F53" s="199">
        <f>+'R_2014_01_atkelta(viso)'!F53+R_2014_01_priskirta!F54</f>
        <v>9339.8000000000011</v>
      </c>
      <c r="G53" s="199">
        <f>+'R_2014_01_atkelta(viso)'!G53+R_2014_01_priskirta!G54</f>
        <v>1330.8600000000001</v>
      </c>
      <c r="H53" s="199">
        <f>+'R_2014_01_atkelta(viso)'!H53+R_2014_01_priskirta!H54</f>
        <v>176.3</v>
      </c>
      <c r="I53" s="199">
        <f>+'R_2014_01_atkelta(viso)'!I53+R_2014_01_priskirta!I54</f>
        <v>0</v>
      </c>
      <c r="J53" s="199">
        <f>+'R_2014_01_atkelta(viso)'!J53+R_2014_01_priskirta!J54</f>
        <v>0</v>
      </c>
      <c r="K53" s="199">
        <f>+'R_2014_01_atkelta(viso)'!K53+R_2014_01_priskirta!K54</f>
        <v>0</v>
      </c>
      <c r="L53" s="199">
        <f>+'R_2014_01_atkelta(viso)'!L53+R_2014_01_priskirta!L54</f>
        <v>0</v>
      </c>
      <c r="M53" s="199">
        <f>+'R_2014_01_atkelta(viso)'!M53+R_2014_01_priskirta!M54</f>
        <v>0</v>
      </c>
      <c r="N53" s="199">
        <f>+'R_2014_01_atkelta(viso)'!N53+R_2014_01_priskirta!N54</f>
        <v>2264.84</v>
      </c>
      <c r="O53" s="6">
        <f t="shared" si="27"/>
        <v>13288.920000000002</v>
      </c>
      <c r="P53" s="140">
        <f>+'R_2014_01_atkelta(viso)'!P53+R_2014_01_priskirta!P54</f>
        <v>12191.669724770643</v>
      </c>
      <c r="Q53" s="6">
        <f t="shared" si="28"/>
        <v>1097.2502752293585</v>
      </c>
      <c r="R53" s="22">
        <f t="shared" si="29"/>
        <v>1620.6000000000004</v>
      </c>
      <c r="S53" s="35"/>
      <c r="T53" s="61">
        <v>32.799999999999997</v>
      </c>
      <c r="U53" s="13">
        <f t="shared" si="32"/>
        <v>53155.680000000008</v>
      </c>
      <c r="X53" s="6">
        <v>12874</v>
      </c>
      <c r="Y53" s="6">
        <v>1334.96</v>
      </c>
      <c r="Z53" s="6">
        <v>920.04000000000008</v>
      </c>
      <c r="AA53" s="6">
        <v>11953.960000000003</v>
      </c>
    </row>
    <row r="54" spans="1:27" x14ac:dyDescent="0.3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27" x14ac:dyDescent="0.3">
      <c r="E55" s="2"/>
      <c r="F55" s="2"/>
      <c r="G55" s="2"/>
      <c r="H55" s="2"/>
      <c r="I55" s="2"/>
      <c r="J55" s="2"/>
      <c r="M55" s="2"/>
      <c r="O55" s="2"/>
      <c r="P55" s="2"/>
      <c r="Q55" s="2"/>
    </row>
    <row r="57" spans="1:27" x14ac:dyDescent="0.3">
      <c r="N57" s="137"/>
    </row>
    <row r="73" spans="2:2" x14ac:dyDescent="0.3">
      <c r="B73" s="1"/>
    </row>
  </sheetData>
  <mergeCells count="22">
    <mergeCell ref="K3:L3"/>
    <mergeCell ref="M3:M4"/>
    <mergeCell ref="N3:N4"/>
    <mergeCell ref="O3:O4"/>
    <mergeCell ref="P3:P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Q3:Q4"/>
    <mergeCell ref="X3:X4"/>
    <mergeCell ref="Y3:Y4"/>
    <mergeCell ref="Z3:Z4"/>
    <mergeCell ref="AA3:AA4"/>
    <mergeCell ref="U3:U4"/>
    <mergeCell ref="R3:R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X73"/>
  <sheetViews>
    <sheetView zoomScaleNormal="100" workbookViewId="0">
      <pane xSplit="4" ySplit="4" topLeftCell="E51" activePane="bottomRight" state="frozen"/>
      <selection pane="topRight" activeCell="E1" sqref="E1"/>
      <selection pane="bottomLeft" activeCell="A5" sqref="A5"/>
      <selection pane="bottomRight" activeCell="N57" sqref="D57:N57"/>
    </sheetView>
  </sheetViews>
  <sheetFormatPr defaultColWidth="8.88671875" defaultRowHeight="13.2" outlineLevelCol="1" x14ac:dyDescent="0.25"/>
  <cols>
    <col min="1" max="1" width="10.109375" style="1" customWidth="1"/>
    <col min="2" max="2" width="5.88671875" style="3" customWidth="1"/>
    <col min="3" max="3" width="52" style="1" customWidth="1"/>
    <col min="4" max="4" width="7.664062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1.5546875" style="1" customWidth="1" outlineLevel="1"/>
    <col min="9" max="9" width="15.33203125" style="1" customWidth="1" outlineLevel="1"/>
    <col min="10" max="10" width="15.109375" style="1" customWidth="1" outlineLevel="1"/>
    <col min="11" max="11" width="11.44140625" style="1" customWidth="1" outlineLevel="1"/>
    <col min="12" max="12" width="11.88671875" style="1" customWidth="1" outlineLevel="1"/>
    <col min="13" max="14" width="13" style="1" customWidth="1" outlineLevel="1"/>
    <col min="15" max="15" width="15.10937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44140625" style="2" customWidth="1"/>
    <col min="22" max="22" width="11.33203125" style="1" bestFit="1" customWidth="1"/>
    <col min="23" max="23" width="11" style="141" customWidth="1"/>
    <col min="24" max="16384" width="8.88671875" style="1"/>
  </cols>
  <sheetData>
    <row r="1" spans="1:24" ht="22.2" customHeight="1" x14ac:dyDescent="0.3">
      <c r="A1" s="40" t="s">
        <v>196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2"/>
      <c r="Q1" s="2"/>
      <c r="R1" s="2"/>
    </row>
    <row r="2" spans="1:24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39"/>
      <c r="Q2" s="139"/>
      <c r="R2" s="3"/>
    </row>
    <row r="3" spans="1:24" ht="37.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4" ht="37.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L5" si="0">+E6+E18+E44</f>
        <v>155192.58000000002</v>
      </c>
      <c r="F5" s="187">
        <f t="shared" si="0"/>
        <v>6727262.8599999994</v>
      </c>
      <c r="G5" s="82">
        <f t="shared" si="0"/>
        <v>1003202.7200000001</v>
      </c>
      <c r="H5" s="82">
        <f t="shared" si="0"/>
        <v>168637.1</v>
      </c>
      <c r="I5" s="187">
        <f t="shared" si="0"/>
        <v>651414.4</v>
      </c>
      <c r="J5" s="187">
        <f t="shared" si="0"/>
        <v>1021317.15</v>
      </c>
      <c r="K5" s="187">
        <f t="shared" si="0"/>
        <v>961641.78</v>
      </c>
      <c r="L5" s="187">
        <f t="shared" si="0"/>
        <v>781.19999999989341</v>
      </c>
      <c r="M5" s="187">
        <f t="shared" ref="M5:R5" si="1">+M6+M18+M44</f>
        <v>142</v>
      </c>
      <c r="N5" s="19">
        <f t="shared" si="1"/>
        <v>652799.64</v>
      </c>
      <c r="O5" s="42">
        <f t="shared" si="1"/>
        <v>11342391.43</v>
      </c>
      <c r="P5" s="42">
        <f t="shared" si="1"/>
        <v>10405863.697247706</v>
      </c>
      <c r="Q5" s="42">
        <f t="shared" si="1"/>
        <v>936527.7327522944</v>
      </c>
      <c r="R5" s="42">
        <f t="shared" si="1"/>
        <v>2283436.9999999995</v>
      </c>
      <c r="S5" s="71"/>
      <c r="T5" s="87"/>
      <c r="U5" s="135">
        <f>+U7+U18+U44</f>
        <v>6953006.4700000007</v>
      </c>
      <c r="V5" s="2"/>
      <c r="W5" s="138"/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L6" si="2">+E7+E11</f>
        <v>30879.38</v>
      </c>
      <c r="F6" s="187">
        <f t="shared" si="2"/>
        <v>1497930.26</v>
      </c>
      <c r="G6" s="82">
        <f t="shared" si="2"/>
        <v>217534.92</v>
      </c>
      <c r="H6" s="82">
        <f t="shared" si="2"/>
        <v>31393.399999999998</v>
      </c>
      <c r="I6" s="187">
        <f t="shared" si="2"/>
        <v>651414.4</v>
      </c>
      <c r="J6" s="187">
        <f t="shared" si="2"/>
        <v>1021317.15</v>
      </c>
      <c r="K6" s="187">
        <f t="shared" si="2"/>
        <v>961641.78</v>
      </c>
      <c r="L6" s="187">
        <f t="shared" si="2"/>
        <v>781.19999999989341</v>
      </c>
      <c r="M6" s="187">
        <f t="shared" ref="M6:R6" si="3">+M7+M11</f>
        <v>22</v>
      </c>
      <c r="N6" s="19">
        <f t="shared" si="3"/>
        <v>163510.34</v>
      </c>
      <c r="O6" s="42">
        <f t="shared" si="3"/>
        <v>4576424.83</v>
      </c>
      <c r="P6" s="42">
        <f t="shared" si="3"/>
        <v>4198554.889908256</v>
      </c>
      <c r="Q6" s="42">
        <f t="shared" si="3"/>
        <v>377869.94009174348</v>
      </c>
      <c r="R6" s="44">
        <f t="shared" si="3"/>
        <v>2125220.9999999995</v>
      </c>
      <c r="T6" s="61"/>
      <c r="U6" s="13"/>
      <c r="V6" s="2"/>
      <c r="W6" s="138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4">+SUM(E8:E10)</f>
        <v>0</v>
      </c>
      <c r="F7" s="219">
        <f t="shared" si="4"/>
        <v>0</v>
      </c>
      <c r="G7" s="79">
        <f t="shared" si="4"/>
        <v>0</v>
      </c>
      <c r="H7" s="79">
        <f t="shared" si="4"/>
        <v>0</v>
      </c>
      <c r="I7" s="79">
        <f t="shared" si="4"/>
        <v>651414.4</v>
      </c>
      <c r="J7" s="79">
        <f t="shared" si="4"/>
        <v>1021317.15</v>
      </c>
      <c r="K7" s="79">
        <f t="shared" si="4"/>
        <v>0</v>
      </c>
      <c r="L7" s="79">
        <f t="shared" si="4"/>
        <v>0</v>
      </c>
      <c r="M7" s="79">
        <f t="shared" ref="M7:R7" si="5">+SUM(M8:M10)</f>
        <v>0</v>
      </c>
      <c r="N7" s="79">
        <f t="shared" si="5"/>
        <v>0</v>
      </c>
      <c r="O7" s="43">
        <f t="shared" si="5"/>
        <v>1672731.55</v>
      </c>
      <c r="P7" s="43">
        <f t="shared" si="5"/>
        <v>1534616.1009174311</v>
      </c>
      <c r="Q7" s="43">
        <f t="shared" si="5"/>
        <v>138115.44908256896</v>
      </c>
      <c r="R7" s="45">
        <f t="shared" si="5"/>
        <v>603759</v>
      </c>
      <c r="S7" s="71"/>
      <c r="T7" s="134"/>
      <c r="U7" s="105">
        <f>+SUM(U8:U17)</f>
        <v>942507.06999999983</v>
      </c>
      <c r="W7" s="138"/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3">
        <v>480847.5</v>
      </c>
      <c r="J8" s="33">
        <f>739543+24230.5</f>
        <v>763773.5</v>
      </c>
      <c r="K8" s="36"/>
      <c r="L8" s="36"/>
      <c r="M8" s="36"/>
      <c r="N8" s="36"/>
      <c r="O8" s="5">
        <f>+SUM(E8:N8)</f>
        <v>1244621</v>
      </c>
      <c r="P8" s="5">
        <f t="shared" ref="P8:P10" si="6">+O8/1.09</f>
        <v>1141854.1284403668</v>
      </c>
      <c r="Q8" s="5">
        <f t="shared" ref="Q8:Q10" si="7">+O8-P8</f>
        <v>102766.87155963317</v>
      </c>
      <c r="R8" s="21">
        <f>O8/D8</f>
        <v>355606</v>
      </c>
      <c r="S8" s="71"/>
      <c r="T8" s="61"/>
      <c r="U8" s="13"/>
      <c r="V8" s="2"/>
      <c r="W8" s="138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8">+D8*0.5</f>
        <v>1.75</v>
      </c>
      <c r="E9" s="122"/>
      <c r="F9" s="17"/>
      <c r="G9" s="13"/>
      <c r="H9" s="13"/>
      <c r="I9" s="13">
        <v>167625.5</v>
      </c>
      <c r="J9" s="33">
        <f>245390.25+10990</f>
        <v>256380.25</v>
      </c>
      <c r="K9" s="143"/>
      <c r="L9" s="143"/>
      <c r="M9" s="143"/>
      <c r="N9" s="143"/>
      <c r="O9" s="26">
        <f>+SUM(E9:N9)</f>
        <v>424005.75</v>
      </c>
      <c r="P9" s="26">
        <f t="shared" si="6"/>
        <v>388996.10091743118</v>
      </c>
      <c r="Q9" s="26">
        <f t="shared" si="7"/>
        <v>35009.649082568823</v>
      </c>
      <c r="R9" s="39">
        <f>O9/D9</f>
        <v>242289</v>
      </c>
      <c r="S9" s="71"/>
      <c r="T9" s="61">
        <v>1.75</v>
      </c>
      <c r="U9" s="13">
        <f>+R9*T9</f>
        <v>424005.75</v>
      </c>
      <c r="V9" s="2"/>
      <c r="W9" s="138"/>
      <c r="X9" s="2"/>
    </row>
    <row r="10" spans="1:24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14">
        <v>2941.4</v>
      </c>
      <c r="J10" s="2">
        <f>1033.2+130.2</f>
        <v>1163.4000000000001</v>
      </c>
      <c r="K10" s="144"/>
      <c r="L10" s="144"/>
      <c r="M10" s="144"/>
      <c r="N10" s="144"/>
      <c r="O10" s="26">
        <f>+SUM(E10:N10)</f>
        <v>4104.8</v>
      </c>
      <c r="P10" s="26">
        <f t="shared" si="6"/>
        <v>3765.8715596330276</v>
      </c>
      <c r="Q10" s="26">
        <f t="shared" si="7"/>
        <v>338.92844036697261</v>
      </c>
      <c r="R10" s="39">
        <f>O10/D10</f>
        <v>5864.0000000000009</v>
      </c>
      <c r="S10" s="71"/>
      <c r="T10" s="107">
        <v>2.8</v>
      </c>
      <c r="U10" s="13">
        <f>+R10*T10</f>
        <v>16419.2</v>
      </c>
      <c r="V10" s="2"/>
      <c r="W10" s="138"/>
      <c r="X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L11" si="9">+SUM(E12:E17)</f>
        <v>30879.38</v>
      </c>
      <c r="F11" s="16">
        <f t="shared" si="9"/>
        <v>1497930.26</v>
      </c>
      <c r="G11" s="84">
        <f t="shared" si="9"/>
        <v>217534.92</v>
      </c>
      <c r="H11" s="84">
        <f t="shared" si="9"/>
        <v>31393.399999999998</v>
      </c>
      <c r="I11" s="84">
        <f t="shared" si="9"/>
        <v>0</v>
      </c>
      <c r="J11" s="74">
        <f t="shared" si="9"/>
        <v>0</v>
      </c>
      <c r="K11" s="101">
        <f t="shared" si="9"/>
        <v>961641.78</v>
      </c>
      <c r="L11" s="101">
        <f t="shared" si="9"/>
        <v>781.19999999989341</v>
      </c>
      <c r="M11" s="101">
        <f t="shared" ref="M11:R11" si="10">+SUM(M12:M17)</f>
        <v>22</v>
      </c>
      <c r="N11" s="101">
        <f t="shared" si="10"/>
        <v>163510.34</v>
      </c>
      <c r="O11" s="43">
        <f t="shared" si="10"/>
        <v>2903693.28</v>
      </c>
      <c r="P11" s="43">
        <f t="shared" si="10"/>
        <v>2663938.7889908254</v>
      </c>
      <c r="Q11" s="43">
        <f t="shared" si="10"/>
        <v>239754.4910091745</v>
      </c>
      <c r="R11" s="45">
        <f t="shared" si="10"/>
        <v>1521461.9999999995</v>
      </c>
      <c r="S11" s="71"/>
      <c r="T11" s="61"/>
      <c r="U11" s="13"/>
      <c r="V11" s="2"/>
      <c r="W11" s="138"/>
      <c r="X11" s="2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24791.8</v>
      </c>
      <c r="F12" s="13">
        <v>1158502.3999999999</v>
      </c>
      <c r="G12" s="13">
        <v>161953</v>
      </c>
      <c r="H12" s="13">
        <v>23821.599999999999</v>
      </c>
      <c r="I12" s="13"/>
      <c r="J12" s="33"/>
      <c r="K12" s="33">
        <v>755629.6</v>
      </c>
      <c r="L12" s="33">
        <v>629.19999999995343</v>
      </c>
      <c r="M12" s="33">
        <v>22</v>
      </c>
      <c r="N12" s="127">
        <v>145228.6</v>
      </c>
      <c r="O12" s="5">
        <f t="shared" ref="O12:O17" si="11">+SUM(E12:N12)</f>
        <v>2270578.1999999997</v>
      </c>
      <c r="P12" s="5">
        <f t="shared" ref="P12:P17" si="12">+O12/1.09</f>
        <v>2083099.2660550454</v>
      </c>
      <c r="Q12" s="5">
        <f t="shared" ref="Q12:Q17" si="13">+O12-P12</f>
        <v>187478.9339449543</v>
      </c>
      <c r="R12" s="21">
        <f t="shared" ref="R12:R17" si="14">O12/D12</f>
        <v>1032080.9999999998</v>
      </c>
      <c r="S12" s="2"/>
      <c r="T12" s="61"/>
      <c r="U12" s="13"/>
      <c r="V12" s="112">
        <f>+(K12+L12)/D12</f>
        <v>343753.99999999994</v>
      </c>
      <c r="W12" s="138">
        <f>+R12-V12</f>
        <v>688326.99999999977</v>
      </c>
      <c r="X12" s="2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5580.3</v>
      </c>
      <c r="F13" s="13">
        <v>312931.3</v>
      </c>
      <c r="G13" s="13">
        <v>50503.199999999997</v>
      </c>
      <c r="H13" s="13">
        <v>7092.8</v>
      </c>
      <c r="I13" s="13"/>
      <c r="J13" s="33"/>
      <c r="K13" s="33">
        <v>74534.899999999994</v>
      </c>
      <c r="L13" s="33">
        <v>52.799999999944703</v>
      </c>
      <c r="M13" s="33"/>
      <c r="N13" s="127">
        <v>8900.1</v>
      </c>
      <c r="O13" s="5">
        <f t="shared" si="11"/>
        <v>459595.39999999991</v>
      </c>
      <c r="P13" s="5">
        <f t="shared" si="12"/>
        <v>421647.15596330265</v>
      </c>
      <c r="Q13" s="5">
        <f t="shared" si="13"/>
        <v>37948.244036697259</v>
      </c>
      <c r="R13" s="21">
        <f t="shared" si="14"/>
        <v>417813.99999999988</v>
      </c>
      <c r="S13" s="71"/>
      <c r="T13" s="107">
        <v>1.1000000000000001</v>
      </c>
      <c r="U13" s="13">
        <f t="shared" ref="U13:U14" si="15">+R13*T13</f>
        <v>459595.39999999991</v>
      </c>
      <c r="V13" s="112">
        <f t="shared" ref="V13:V17" si="16">+(K13+L13)/D13</f>
        <v>67806.999999999942</v>
      </c>
      <c r="W13" s="138">
        <f t="shared" ref="W13:W17" si="17">+R13-V13</f>
        <v>350006.99999999994</v>
      </c>
      <c r="X13" s="2"/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>
        <v>97.68</v>
      </c>
      <c r="F14" s="13">
        <v>3439.92</v>
      </c>
      <c r="G14" s="13">
        <v>457.6</v>
      </c>
      <c r="H14" s="13">
        <v>125.4</v>
      </c>
      <c r="I14" s="13"/>
      <c r="J14" s="33"/>
      <c r="K14" s="33">
        <v>1466.08</v>
      </c>
      <c r="L14" s="33">
        <v>0</v>
      </c>
      <c r="M14" s="33"/>
      <c r="N14" s="127">
        <v>136.84</v>
      </c>
      <c r="O14" s="5">
        <f t="shared" si="11"/>
        <v>5723.5199999999995</v>
      </c>
      <c r="P14" s="5">
        <f t="shared" si="12"/>
        <v>5250.9357798165129</v>
      </c>
      <c r="Q14" s="5">
        <f t="shared" si="13"/>
        <v>472.58422018348665</v>
      </c>
      <c r="R14" s="5">
        <f t="shared" si="14"/>
        <v>13007.999999999998</v>
      </c>
      <c r="S14" s="71"/>
      <c r="T14" s="61">
        <v>1.76</v>
      </c>
      <c r="U14" s="13">
        <f t="shared" si="15"/>
        <v>22894.079999999998</v>
      </c>
      <c r="V14" s="112">
        <f t="shared" si="16"/>
        <v>3332</v>
      </c>
      <c r="W14" s="138">
        <f t="shared" si="17"/>
        <v>9675.9999999999982</v>
      </c>
      <c r="X14" s="2"/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>
        <v>294.39999999999998</v>
      </c>
      <c r="F15" s="13">
        <v>18761.599999999999</v>
      </c>
      <c r="G15" s="13">
        <v>3833.6</v>
      </c>
      <c r="H15" s="13">
        <v>240</v>
      </c>
      <c r="I15" s="13"/>
      <c r="J15" s="33"/>
      <c r="K15" s="33">
        <v>117510.39999999999</v>
      </c>
      <c r="L15" s="33">
        <v>86.399999999994179</v>
      </c>
      <c r="M15" s="33"/>
      <c r="N15" s="127">
        <v>8521.6</v>
      </c>
      <c r="O15" s="5">
        <f t="shared" si="11"/>
        <v>149248</v>
      </c>
      <c r="P15" s="5">
        <f t="shared" si="12"/>
        <v>136924.77064220182</v>
      </c>
      <c r="Q15" s="5">
        <f t="shared" si="13"/>
        <v>12323.229357798176</v>
      </c>
      <c r="R15" s="21">
        <f t="shared" si="14"/>
        <v>46640</v>
      </c>
      <c r="S15" s="71"/>
      <c r="T15" s="61"/>
      <c r="U15" s="13"/>
      <c r="V15" s="112">
        <f t="shared" si="16"/>
        <v>36748.999999999993</v>
      </c>
      <c r="W15" s="138">
        <f t="shared" si="17"/>
        <v>9891.0000000000073</v>
      </c>
      <c r="X15" s="2"/>
    </row>
    <row r="16" spans="1:24" ht="12.75" x14ac:dyDescent="0.2">
      <c r="A16" s="58" t="s">
        <v>59</v>
      </c>
      <c r="B16" s="53" t="s">
        <v>193</v>
      </c>
      <c r="C16" s="59" t="s">
        <v>94</v>
      </c>
      <c r="D16" s="62">
        <v>1.6</v>
      </c>
      <c r="E16" s="130">
        <v>112</v>
      </c>
      <c r="F16" s="13">
        <v>4220.8</v>
      </c>
      <c r="G16" s="13">
        <v>776</v>
      </c>
      <c r="H16" s="13">
        <v>113.6</v>
      </c>
      <c r="I16" s="13"/>
      <c r="J16" s="33"/>
      <c r="K16" s="33">
        <v>12248</v>
      </c>
      <c r="L16" s="33">
        <v>12.800000000001091</v>
      </c>
      <c r="M16" s="33"/>
      <c r="N16" s="127">
        <v>716.8</v>
      </c>
      <c r="O16" s="5">
        <f t="shared" si="11"/>
        <v>18200.000000000004</v>
      </c>
      <c r="P16" s="5">
        <f t="shared" si="12"/>
        <v>16697.247706422022</v>
      </c>
      <c r="Q16" s="5">
        <f t="shared" si="13"/>
        <v>1502.7522935779816</v>
      </c>
      <c r="R16" s="21">
        <f t="shared" si="14"/>
        <v>11375.000000000002</v>
      </c>
      <c r="S16" s="71"/>
      <c r="T16" s="61">
        <v>1.6</v>
      </c>
      <c r="U16" s="13">
        <f t="shared" ref="U16:U17" si="18">+R16*T16</f>
        <v>18200.000000000004</v>
      </c>
      <c r="V16" s="112">
        <f t="shared" si="16"/>
        <v>7663</v>
      </c>
      <c r="W16" s="138">
        <f t="shared" si="17"/>
        <v>3712.0000000000018</v>
      </c>
      <c r="X16" s="2"/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>
        <v>3.2</v>
      </c>
      <c r="F17" s="13">
        <v>74.239999999999995</v>
      </c>
      <c r="G17" s="13">
        <v>11.52</v>
      </c>
      <c r="H17" s="14">
        <v>0</v>
      </c>
      <c r="I17" s="14"/>
      <c r="J17" s="76"/>
      <c r="K17" s="76">
        <v>252.8</v>
      </c>
      <c r="L17" s="76">
        <v>0</v>
      </c>
      <c r="M17" s="76"/>
      <c r="N17" s="127">
        <v>6.4</v>
      </c>
      <c r="O17" s="5">
        <f t="shared" si="11"/>
        <v>348.15999999999997</v>
      </c>
      <c r="P17" s="5">
        <f t="shared" si="12"/>
        <v>319.41284403669721</v>
      </c>
      <c r="Q17" s="5">
        <f t="shared" si="13"/>
        <v>28.74715596330276</v>
      </c>
      <c r="R17" s="22">
        <f t="shared" si="14"/>
        <v>543.99999999999989</v>
      </c>
      <c r="S17" s="71"/>
      <c r="T17" s="61">
        <v>2.56</v>
      </c>
      <c r="U17" s="13">
        <f t="shared" si="18"/>
        <v>1392.6399999999996</v>
      </c>
      <c r="V17" s="112">
        <f t="shared" si="16"/>
        <v>395</v>
      </c>
      <c r="W17" s="138">
        <f t="shared" si="17"/>
        <v>148.99999999999989</v>
      </c>
      <c r="X17" s="2"/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121568</v>
      </c>
      <c r="F18" s="118">
        <f t="shared" ref="F18:R18" si="19">+SUM(F19:F43)</f>
        <v>5098245</v>
      </c>
      <c r="G18" s="118">
        <f t="shared" si="19"/>
        <v>765756</v>
      </c>
      <c r="H18" s="118">
        <f t="shared" si="19"/>
        <v>134916</v>
      </c>
      <c r="I18" s="118">
        <f t="shared" si="19"/>
        <v>0</v>
      </c>
      <c r="J18" s="118">
        <f t="shared" si="19"/>
        <v>0</v>
      </c>
      <c r="K18" s="118">
        <f t="shared" si="19"/>
        <v>0</v>
      </c>
      <c r="L18" s="118">
        <f t="shared" si="19"/>
        <v>0</v>
      </c>
      <c r="M18" s="118">
        <f t="shared" si="19"/>
        <v>120</v>
      </c>
      <c r="N18" s="118">
        <f t="shared" si="19"/>
        <v>476145</v>
      </c>
      <c r="O18" s="118">
        <f t="shared" si="19"/>
        <v>6596750</v>
      </c>
      <c r="P18" s="118">
        <f t="shared" si="19"/>
        <v>6052064.2201834861</v>
      </c>
      <c r="Q18" s="118">
        <f t="shared" si="19"/>
        <v>544685.77981651423</v>
      </c>
      <c r="R18" s="253">
        <f t="shared" si="19"/>
        <v>134152</v>
      </c>
      <c r="S18" s="71"/>
      <c r="T18" s="61"/>
      <c r="U18" s="105">
        <f>+SUM(U19:U43)</f>
        <v>5762050</v>
      </c>
      <c r="V18" s="2"/>
      <c r="W18" s="138"/>
      <c r="X18" s="2"/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69400</v>
      </c>
      <c r="F19" s="92">
        <v>2876100</v>
      </c>
      <c r="G19" s="92">
        <v>419700</v>
      </c>
      <c r="H19" s="92">
        <v>67700</v>
      </c>
      <c r="I19" s="23"/>
      <c r="J19" s="34"/>
      <c r="K19" s="34"/>
      <c r="L19" s="34"/>
      <c r="M19" s="34">
        <v>100</v>
      </c>
      <c r="N19" s="34">
        <v>249200</v>
      </c>
      <c r="O19" s="5">
        <f t="shared" ref="O19:O43" si="20">+SUM(E19:N19)</f>
        <v>3682200</v>
      </c>
      <c r="P19" s="99">
        <f t="shared" ref="P19:P42" si="21">+O19/1.09</f>
        <v>3378165.1376146786</v>
      </c>
      <c r="Q19" s="24">
        <f>+O19-P19</f>
        <v>304034.86238532141</v>
      </c>
      <c r="R19" s="94">
        <f t="shared" ref="R19:R42" si="22">O19/D19</f>
        <v>36822</v>
      </c>
      <c r="S19" s="41"/>
      <c r="T19" s="61"/>
      <c r="U19" s="106"/>
      <c r="V19" s="2"/>
      <c r="W19" s="138"/>
      <c r="X19" s="2"/>
    </row>
    <row r="20" spans="1:24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10700</v>
      </c>
      <c r="F20" s="48">
        <v>738050</v>
      </c>
      <c r="G20" s="48">
        <v>102000</v>
      </c>
      <c r="H20" s="48">
        <v>21300</v>
      </c>
      <c r="I20" s="13"/>
      <c r="J20" s="33"/>
      <c r="K20" s="33"/>
      <c r="L20" s="33"/>
      <c r="M20" s="33"/>
      <c r="N20" s="36">
        <f>14350-50</f>
        <v>14300</v>
      </c>
      <c r="O20" s="5">
        <f t="shared" si="20"/>
        <v>886350</v>
      </c>
      <c r="P20" s="5">
        <f t="shared" si="21"/>
        <v>813165.13761467882</v>
      </c>
      <c r="Q20" s="5">
        <f t="shared" ref="Q20:Q42" si="23">+O20-P20</f>
        <v>73184.862385321176</v>
      </c>
      <c r="R20" s="21">
        <f t="shared" si="22"/>
        <v>17727</v>
      </c>
      <c r="S20" s="41"/>
      <c r="T20" s="61">
        <v>50</v>
      </c>
      <c r="U20" s="13">
        <f t="shared" ref="U20:U21" si="24">+R20*T20</f>
        <v>886350</v>
      </c>
      <c r="V20" s="2"/>
      <c r="W20" s="138"/>
      <c r="X20" s="2"/>
    </row>
    <row r="21" spans="1:24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21880</v>
      </c>
      <c r="F21" s="95">
        <v>871200</v>
      </c>
      <c r="G21" s="95">
        <v>146140</v>
      </c>
      <c r="H21" s="95">
        <v>10340</v>
      </c>
      <c r="I21" s="13"/>
      <c r="J21" s="33"/>
      <c r="K21" s="33"/>
      <c r="L21" s="33"/>
      <c r="M21" s="33">
        <v>20</v>
      </c>
      <c r="N21" s="36">
        <f>1200+88980-20</f>
        <v>90160</v>
      </c>
      <c r="O21" s="5">
        <f t="shared" si="20"/>
        <v>1139740</v>
      </c>
      <c r="P21" s="5">
        <f t="shared" si="21"/>
        <v>1045633.0275229356</v>
      </c>
      <c r="Q21" s="5">
        <f t="shared" si="23"/>
        <v>94106.972477064352</v>
      </c>
      <c r="R21" s="21">
        <f t="shared" si="22"/>
        <v>56987</v>
      </c>
      <c r="S21" s="41"/>
      <c r="T21" s="61">
        <v>80</v>
      </c>
      <c r="U21" s="13">
        <f t="shared" si="24"/>
        <v>4558960</v>
      </c>
      <c r="V21" s="2"/>
      <c r="W21" s="138"/>
      <c r="X21" s="2"/>
    </row>
    <row r="22" spans="1:24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12330</v>
      </c>
      <c r="F22" s="95">
        <v>449190</v>
      </c>
      <c r="G22" s="95">
        <v>76320</v>
      </c>
      <c r="H22" s="95">
        <v>14760</v>
      </c>
      <c r="I22" s="13"/>
      <c r="J22" s="33"/>
      <c r="K22" s="33"/>
      <c r="L22" s="33"/>
      <c r="M22" s="33"/>
      <c r="N22" s="36">
        <f>80640-90</f>
        <v>80550</v>
      </c>
      <c r="O22" s="5">
        <f t="shared" si="20"/>
        <v>633150</v>
      </c>
      <c r="P22" s="5">
        <f t="shared" si="21"/>
        <v>580871.55963302753</v>
      </c>
      <c r="Q22" s="5">
        <f t="shared" si="23"/>
        <v>52278.440366972471</v>
      </c>
      <c r="R22" s="21">
        <f t="shared" si="22"/>
        <v>7035</v>
      </c>
      <c r="S22" s="41"/>
      <c r="T22" s="61"/>
      <c r="U22" s="13"/>
      <c r="V22" s="2"/>
      <c r="W22" s="138"/>
      <c r="X22" s="2"/>
    </row>
    <row r="23" spans="1:24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720</v>
      </c>
      <c r="F23" s="95">
        <v>23085</v>
      </c>
      <c r="G23" s="95">
        <v>3600</v>
      </c>
      <c r="H23" s="95">
        <v>990</v>
      </c>
      <c r="I23" s="13"/>
      <c r="J23" s="33"/>
      <c r="K23" s="33"/>
      <c r="L23" s="33"/>
      <c r="M23" s="33"/>
      <c r="N23" s="36">
        <v>2610</v>
      </c>
      <c r="O23" s="5">
        <f t="shared" si="20"/>
        <v>31005</v>
      </c>
      <c r="P23" s="5">
        <f t="shared" si="21"/>
        <v>28444.954128440364</v>
      </c>
      <c r="Q23" s="5">
        <f t="shared" si="23"/>
        <v>2560.045871559636</v>
      </c>
      <c r="R23" s="21">
        <f t="shared" si="22"/>
        <v>689</v>
      </c>
      <c r="S23" s="35"/>
      <c r="T23" s="61">
        <v>45</v>
      </c>
      <c r="U23" s="13">
        <f t="shared" ref="U23:U24" si="25">+R23*T23</f>
        <v>31005</v>
      </c>
      <c r="V23" s="2"/>
      <c r="W23" s="138"/>
      <c r="X23" s="2"/>
    </row>
    <row r="24" spans="1:24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1170</v>
      </c>
      <c r="F24" s="95">
        <v>19746</v>
      </c>
      <c r="G24" s="95">
        <v>3132</v>
      </c>
      <c r="H24" s="95">
        <v>324</v>
      </c>
      <c r="I24" s="13"/>
      <c r="J24" s="33"/>
      <c r="K24" s="33"/>
      <c r="L24" s="33"/>
      <c r="M24" s="33"/>
      <c r="N24" s="36">
        <f>198+6606</f>
        <v>6804</v>
      </c>
      <c r="O24" s="5">
        <f t="shared" si="20"/>
        <v>31176</v>
      </c>
      <c r="P24" s="5">
        <f t="shared" si="21"/>
        <v>28601.83486238532</v>
      </c>
      <c r="Q24" s="5">
        <f t="shared" si="23"/>
        <v>2574.1651376146801</v>
      </c>
      <c r="R24" s="21">
        <f t="shared" si="22"/>
        <v>1732</v>
      </c>
      <c r="S24" s="35"/>
      <c r="T24" s="61">
        <v>72</v>
      </c>
      <c r="U24" s="13">
        <f t="shared" si="25"/>
        <v>124704</v>
      </c>
      <c r="V24" s="2"/>
      <c r="W24" s="138"/>
      <c r="X24" s="2"/>
    </row>
    <row r="25" spans="1:2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4500</v>
      </c>
      <c r="G25" s="95"/>
      <c r="H25" s="95"/>
      <c r="I25" s="13"/>
      <c r="J25" s="33"/>
      <c r="K25" s="33"/>
      <c r="L25" s="33"/>
      <c r="M25" s="33"/>
      <c r="N25" s="36">
        <v>4200</v>
      </c>
      <c r="O25" s="5">
        <f t="shared" si="20"/>
        <v>8700</v>
      </c>
      <c r="P25" s="5">
        <f t="shared" si="21"/>
        <v>7981.6513761467886</v>
      </c>
      <c r="Q25" s="5">
        <f t="shared" si="23"/>
        <v>718.34862385321139</v>
      </c>
      <c r="R25" s="21">
        <f t="shared" si="22"/>
        <v>29</v>
      </c>
      <c r="S25" s="35"/>
      <c r="T25" s="61"/>
      <c r="U25" s="13"/>
      <c r="V25" s="2"/>
      <c r="W25" s="138"/>
      <c r="X25" s="2"/>
    </row>
    <row r="26" spans="1:2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3150</v>
      </c>
      <c r="G26" s="95"/>
      <c r="H26" s="95">
        <v>450</v>
      </c>
      <c r="I26" s="13"/>
      <c r="J26" s="33"/>
      <c r="K26" s="33"/>
      <c r="L26" s="33"/>
      <c r="M26" s="33"/>
      <c r="N26" s="33">
        <v>450</v>
      </c>
      <c r="O26" s="5">
        <f t="shared" si="20"/>
        <v>4050</v>
      </c>
      <c r="P26" s="5">
        <f t="shared" si="21"/>
        <v>3715.5963302752289</v>
      </c>
      <c r="Q26" s="5">
        <f t="shared" si="23"/>
        <v>334.40366972477113</v>
      </c>
      <c r="R26" s="21">
        <f t="shared" si="22"/>
        <v>27</v>
      </c>
      <c r="S26" s="35"/>
      <c r="T26" s="61">
        <v>150</v>
      </c>
      <c r="U26" s="13">
        <f t="shared" ref="U26:U42" si="26">+R26*T26</f>
        <v>4050</v>
      </c>
      <c r="V26" s="2"/>
      <c r="W26" s="138"/>
      <c r="X26" s="2"/>
    </row>
    <row r="27" spans="1:2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480</v>
      </c>
      <c r="F27" s="95">
        <v>13500</v>
      </c>
      <c r="G27" s="95">
        <v>2460</v>
      </c>
      <c r="H27" s="95">
        <v>960</v>
      </c>
      <c r="I27" s="13"/>
      <c r="J27" s="33"/>
      <c r="K27" s="33"/>
      <c r="L27" s="33"/>
      <c r="M27" s="33"/>
      <c r="N27" s="33">
        <f>180+12720</f>
        <v>12900</v>
      </c>
      <c r="O27" s="5">
        <f t="shared" si="20"/>
        <v>30300</v>
      </c>
      <c r="P27" s="5">
        <f t="shared" si="21"/>
        <v>27798.165137614676</v>
      </c>
      <c r="Q27" s="5">
        <f t="shared" si="23"/>
        <v>2501.8348623853235</v>
      </c>
      <c r="R27" s="21">
        <f t="shared" si="22"/>
        <v>505</v>
      </c>
      <c r="S27" s="35"/>
      <c r="T27" s="61">
        <v>240</v>
      </c>
      <c r="U27" s="13">
        <f t="shared" si="26"/>
        <v>121200</v>
      </c>
      <c r="V27" s="2"/>
      <c r="W27" s="138"/>
      <c r="X27" s="2"/>
    </row>
    <row r="28" spans="1:24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>
        <v>540</v>
      </c>
      <c r="G28" s="95"/>
      <c r="H28" s="95">
        <v>1080</v>
      </c>
      <c r="I28" s="13"/>
      <c r="J28" s="33"/>
      <c r="K28" s="33"/>
      <c r="L28" s="33"/>
      <c r="M28" s="33"/>
      <c r="N28" s="33">
        <v>4590</v>
      </c>
      <c r="O28" s="5">
        <f t="shared" si="20"/>
        <v>6210</v>
      </c>
      <c r="P28" s="5">
        <f t="shared" si="21"/>
        <v>5697.2477064220184</v>
      </c>
      <c r="Q28" s="5">
        <f t="shared" si="23"/>
        <v>512.75229357798162</v>
      </c>
      <c r="R28" s="21">
        <f t="shared" si="22"/>
        <v>23</v>
      </c>
      <c r="S28" s="35"/>
      <c r="T28" s="61"/>
      <c r="U28" s="13"/>
      <c r="V28" s="2"/>
      <c r="W28" s="138"/>
      <c r="X28" s="2"/>
    </row>
    <row r="29" spans="1:24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/>
      <c r="G29" s="95"/>
      <c r="H29" s="95"/>
      <c r="I29" s="13"/>
      <c r="J29" s="33"/>
      <c r="K29" s="33"/>
      <c r="L29" s="33"/>
      <c r="M29" s="33"/>
      <c r="N29" s="33">
        <v>135</v>
      </c>
      <c r="O29" s="5">
        <f t="shared" si="20"/>
        <v>135</v>
      </c>
      <c r="P29" s="5">
        <f t="shared" si="21"/>
        <v>123.8532110091743</v>
      </c>
      <c r="Q29" s="5">
        <f t="shared" si="23"/>
        <v>11.146788990825698</v>
      </c>
      <c r="R29" s="21">
        <f t="shared" si="22"/>
        <v>1</v>
      </c>
      <c r="S29" s="35"/>
      <c r="T29" s="61">
        <v>135</v>
      </c>
      <c r="U29" s="13">
        <f t="shared" si="26"/>
        <v>135</v>
      </c>
      <c r="V29" s="2"/>
      <c r="W29" s="138"/>
      <c r="X29" s="2"/>
    </row>
    <row r="30" spans="1:24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0">
        <v>108</v>
      </c>
      <c r="F30" s="95">
        <v>486</v>
      </c>
      <c r="G30" s="95">
        <v>54</v>
      </c>
      <c r="H30" s="95">
        <v>162</v>
      </c>
      <c r="I30" s="13"/>
      <c r="J30" s="33"/>
      <c r="K30" s="33"/>
      <c r="L30" s="33"/>
      <c r="M30" s="33"/>
      <c r="N30" s="33">
        <f>162+1350</f>
        <v>1512</v>
      </c>
      <c r="O30" s="5">
        <f t="shared" si="20"/>
        <v>2322</v>
      </c>
      <c r="P30" s="5">
        <f t="shared" si="21"/>
        <v>2130.2752293577978</v>
      </c>
      <c r="Q30" s="5">
        <f t="shared" si="23"/>
        <v>191.7247706422022</v>
      </c>
      <c r="R30" s="21">
        <f t="shared" si="22"/>
        <v>43</v>
      </c>
      <c r="S30" s="35"/>
      <c r="T30" s="61">
        <v>216</v>
      </c>
      <c r="U30" s="13">
        <f t="shared" si="26"/>
        <v>9288</v>
      </c>
      <c r="V30" s="2"/>
      <c r="W30" s="138"/>
      <c r="X30" s="2"/>
    </row>
    <row r="31" spans="1:2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/>
      <c r="G31" s="95"/>
      <c r="H31" s="95"/>
      <c r="I31" s="13"/>
      <c r="J31" s="33"/>
      <c r="K31" s="33"/>
      <c r="L31" s="33"/>
      <c r="M31" s="33"/>
      <c r="N31" s="33"/>
      <c r="O31" s="5">
        <f t="shared" si="20"/>
        <v>0</v>
      </c>
      <c r="P31" s="5">
        <f t="shared" si="21"/>
        <v>0</v>
      </c>
      <c r="Q31" s="5">
        <f t="shared" si="23"/>
        <v>0</v>
      </c>
      <c r="R31" s="21">
        <f t="shared" si="22"/>
        <v>0</v>
      </c>
      <c r="S31" s="35"/>
      <c r="T31" s="61"/>
      <c r="U31" s="13"/>
      <c r="V31" s="2"/>
      <c r="W31" s="138"/>
      <c r="X31" s="2"/>
    </row>
    <row r="32" spans="1:2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600</v>
      </c>
      <c r="G32" s="95">
        <v>300</v>
      </c>
      <c r="H32" s="95"/>
      <c r="I32" s="13"/>
      <c r="J32" s="33"/>
      <c r="K32" s="33"/>
      <c r="L32" s="33"/>
      <c r="M32" s="33"/>
      <c r="N32" s="33"/>
      <c r="O32" s="5">
        <f t="shared" si="20"/>
        <v>900</v>
      </c>
      <c r="P32" s="5">
        <f t="shared" si="21"/>
        <v>825.6880733944954</v>
      </c>
      <c r="Q32" s="5">
        <f t="shared" si="23"/>
        <v>74.311926605504595</v>
      </c>
      <c r="R32" s="21">
        <f t="shared" si="22"/>
        <v>3</v>
      </c>
      <c r="S32" s="35"/>
      <c r="T32" s="61">
        <v>300</v>
      </c>
      <c r="U32" s="13">
        <f t="shared" si="26"/>
        <v>900</v>
      </c>
      <c r="V32" s="2"/>
      <c r="W32" s="138"/>
      <c r="X32" s="2"/>
    </row>
    <row r="33" spans="1:2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240</v>
      </c>
      <c r="F33" s="95">
        <v>3120</v>
      </c>
      <c r="G33" s="95">
        <v>360</v>
      </c>
      <c r="H33" s="95"/>
      <c r="I33" s="13"/>
      <c r="J33" s="33"/>
      <c r="K33" s="33"/>
      <c r="L33" s="33"/>
      <c r="M33" s="33"/>
      <c r="N33" s="33">
        <f>120+1440</f>
        <v>1560</v>
      </c>
      <c r="O33" s="5">
        <f t="shared" si="20"/>
        <v>5280</v>
      </c>
      <c r="P33" s="5">
        <f t="shared" si="21"/>
        <v>4844.0366972477059</v>
      </c>
      <c r="Q33" s="5">
        <f t="shared" si="23"/>
        <v>435.96330275229411</v>
      </c>
      <c r="R33" s="21">
        <f t="shared" si="22"/>
        <v>44</v>
      </c>
      <c r="S33" s="35"/>
      <c r="T33" s="61">
        <v>480</v>
      </c>
      <c r="U33" s="13">
        <f t="shared" si="26"/>
        <v>21120</v>
      </c>
      <c r="V33" s="2"/>
      <c r="W33" s="138"/>
      <c r="X33" s="2"/>
    </row>
    <row r="34" spans="1:2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>
        <v>4860</v>
      </c>
      <c r="O34" s="5">
        <f t="shared" si="20"/>
        <v>4860</v>
      </c>
      <c r="P34" s="5">
        <f t="shared" si="21"/>
        <v>4458.7155963302748</v>
      </c>
      <c r="Q34" s="5">
        <f t="shared" si="23"/>
        <v>401.28440366972518</v>
      </c>
      <c r="R34" s="21">
        <f t="shared" si="22"/>
        <v>9</v>
      </c>
      <c r="S34" s="35"/>
      <c r="T34" s="61"/>
      <c r="U34" s="13"/>
      <c r="V34" s="2"/>
      <c r="W34" s="138"/>
      <c r="X34" s="2"/>
    </row>
    <row r="35" spans="1:2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20"/>
        <v>0</v>
      </c>
      <c r="P35" s="5">
        <f t="shared" si="21"/>
        <v>0</v>
      </c>
      <c r="Q35" s="5">
        <f t="shared" si="23"/>
        <v>0</v>
      </c>
      <c r="R35" s="21">
        <f t="shared" si="22"/>
        <v>0</v>
      </c>
      <c r="S35" s="35"/>
      <c r="T35" s="61">
        <v>270</v>
      </c>
      <c r="U35" s="13">
        <f t="shared" si="26"/>
        <v>0</v>
      </c>
      <c r="V35" s="2"/>
      <c r="W35" s="138"/>
      <c r="X35" s="2"/>
    </row>
    <row r="36" spans="1:2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>
        <v>108</v>
      </c>
      <c r="G36" s="95"/>
      <c r="H36" s="95"/>
      <c r="I36" s="13"/>
      <c r="J36" s="33"/>
      <c r="K36" s="33"/>
      <c r="L36" s="33"/>
      <c r="M36" s="33"/>
      <c r="N36" s="33">
        <v>324</v>
      </c>
      <c r="O36" s="5">
        <f t="shared" si="20"/>
        <v>432</v>
      </c>
      <c r="P36" s="5">
        <f t="shared" si="21"/>
        <v>396.33027522935777</v>
      </c>
      <c r="Q36" s="5">
        <f t="shared" si="23"/>
        <v>35.669724770642233</v>
      </c>
      <c r="R36" s="21">
        <f t="shared" si="22"/>
        <v>4</v>
      </c>
      <c r="S36" s="35"/>
      <c r="T36" s="61">
        <v>432</v>
      </c>
      <c r="U36" s="13">
        <f t="shared" si="26"/>
        <v>1728</v>
      </c>
      <c r="V36" s="2"/>
      <c r="W36" s="138"/>
      <c r="X36" s="2"/>
    </row>
    <row r="37" spans="1:2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>
        <v>2700</v>
      </c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20"/>
        <v>2700</v>
      </c>
      <c r="P37" s="5">
        <f t="shared" si="21"/>
        <v>2477.0642201834862</v>
      </c>
      <c r="Q37" s="5">
        <f t="shared" si="23"/>
        <v>222.93577981651379</v>
      </c>
      <c r="R37" s="21">
        <f t="shared" si="22"/>
        <v>3</v>
      </c>
      <c r="S37" s="35"/>
      <c r="T37" s="61"/>
      <c r="U37" s="13"/>
      <c r="V37" s="2"/>
      <c r="W37" s="138"/>
      <c r="X37" s="2"/>
    </row>
    <row r="38" spans="1:2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>
        <v>450</v>
      </c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20"/>
        <v>450</v>
      </c>
      <c r="P38" s="5">
        <f t="shared" si="21"/>
        <v>412.8440366972477</v>
      </c>
      <c r="Q38" s="5">
        <f t="shared" si="23"/>
        <v>37.155963302752298</v>
      </c>
      <c r="R38" s="21">
        <f t="shared" si="22"/>
        <v>1</v>
      </c>
      <c r="S38" s="35"/>
      <c r="T38" s="61">
        <v>450</v>
      </c>
      <c r="U38" s="13">
        <f t="shared" si="26"/>
        <v>450</v>
      </c>
      <c r="V38" s="2"/>
      <c r="W38" s="138"/>
      <c r="X38" s="2"/>
    </row>
    <row r="39" spans="1:2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>
        <v>180</v>
      </c>
      <c r="F39" s="95">
        <v>180</v>
      </c>
      <c r="G39" s="95"/>
      <c r="H39" s="95"/>
      <c r="I39" s="13"/>
      <c r="J39" s="33"/>
      <c r="K39" s="33"/>
      <c r="L39" s="33"/>
      <c r="M39" s="33"/>
      <c r="N39" s="33">
        <v>180</v>
      </c>
      <c r="O39" s="5">
        <f t="shared" si="20"/>
        <v>540</v>
      </c>
      <c r="P39" s="5">
        <f t="shared" si="21"/>
        <v>495.41284403669721</v>
      </c>
      <c r="Q39" s="5">
        <f t="shared" si="23"/>
        <v>44.587155963302791</v>
      </c>
      <c r="R39" s="21">
        <f t="shared" si="22"/>
        <v>3</v>
      </c>
      <c r="S39" s="35"/>
      <c r="T39" s="61">
        <v>720</v>
      </c>
      <c r="U39" s="13">
        <f t="shared" si="26"/>
        <v>2160</v>
      </c>
      <c r="V39" s="2"/>
      <c r="W39" s="138"/>
      <c r="X39" s="2"/>
    </row>
    <row r="40" spans="1:2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>
        <v>1620</v>
      </c>
      <c r="O40" s="5">
        <f t="shared" si="20"/>
        <v>1620</v>
      </c>
      <c r="P40" s="5">
        <f t="shared" si="21"/>
        <v>1486.2385321100917</v>
      </c>
      <c r="Q40" s="5">
        <f t="shared" si="23"/>
        <v>133.76146788990832</v>
      </c>
      <c r="R40" s="21">
        <f t="shared" si="22"/>
        <v>2</v>
      </c>
      <c r="S40" s="71"/>
      <c r="T40" s="61"/>
      <c r="U40" s="13"/>
      <c r="V40" s="2"/>
      <c r="W40" s="138"/>
      <c r="X40" s="2"/>
    </row>
    <row r="41" spans="1:2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20"/>
        <v>0</v>
      </c>
      <c r="P41" s="5">
        <f t="shared" si="21"/>
        <v>0</v>
      </c>
      <c r="Q41" s="5">
        <f t="shared" si="23"/>
        <v>0</v>
      </c>
      <c r="R41" s="21">
        <f t="shared" si="22"/>
        <v>0</v>
      </c>
      <c r="S41" s="71"/>
      <c r="T41" s="61">
        <v>405</v>
      </c>
      <c r="U41" s="13">
        <f t="shared" si="26"/>
        <v>0</v>
      </c>
      <c r="V41" s="2"/>
      <c r="W41" s="138"/>
      <c r="X41" s="2"/>
    </row>
    <row r="42" spans="1:2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/>
      <c r="O42" s="26">
        <f t="shared" si="20"/>
        <v>0</v>
      </c>
      <c r="P42" s="26">
        <f t="shared" si="21"/>
        <v>0</v>
      </c>
      <c r="Q42" s="26">
        <f t="shared" si="23"/>
        <v>0</v>
      </c>
      <c r="R42" s="39">
        <f t="shared" si="22"/>
        <v>0</v>
      </c>
      <c r="S42" s="71"/>
      <c r="T42" s="61">
        <v>648</v>
      </c>
      <c r="U42" s="13">
        <f t="shared" si="26"/>
        <v>0</v>
      </c>
      <c r="V42" s="2"/>
      <c r="W42" s="138"/>
      <c r="X42" s="2"/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1210</v>
      </c>
      <c r="F43" s="124">
        <v>94690</v>
      </c>
      <c r="G43" s="124">
        <v>11690</v>
      </c>
      <c r="H43" s="124">
        <v>16850</v>
      </c>
      <c r="I43" s="124"/>
      <c r="J43" s="124"/>
      <c r="K43" s="124"/>
      <c r="L43" s="124"/>
      <c r="M43" s="124"/>
      <c r="N43" s="124">
        <v>190</v>
      </c>
      <c r="O43" s="248">
        <f t="shared" si="20"/>
        <v>124630</v>
      </c>
      <c r="P43" s="26">
        <f t="shared" ref="P43" si="27">+O43/1.09</f>
        <v>114339.4495412844</v>
      </c>
      <c r="Q43" s="26">
        <f t="shared" ref="Q43" si="28">+O43-P43</f>
        <v>10290.550458715603</v>
      </c>
      <c r="R43" s="39">
        <f t="shared" ref="R43" si="29">O43/D43</f>
        <v>12463</v>
      </c>
      <c r="S43" s="71"/>
      <c r="T43" s="61"/>
      <c r="U43" s="13"/>
      <c r="V43" s="2"/>
      <c r="W43" s="138"/>
      <c r="X43" s="2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2745.2000000000003</v>
      </c>
      <c r="F44" s="82">
        <f>+SUM(F45:F53)</f>
        <v>131087.6</v>
      </c>
      <c r="G44" s="82">
        <f t="shared" ref="G44:R44" si="30">+SUM(G45:G53)</f>
        <v>19911.8</v>
      </c>
      <c r="H44" s="82">
        <f>+SUM(H45:H53)</f>
        <v>2327.7000000000003</v>
      </c>
      <c r="I44" s="82">
        <f t="shared" si="30"/>
        <v>0</v>
      </c>
      <c r="J44" s="82">
        <f t="shared" si="30"/>
        <v>0</v>
      </c>
      <c r="K44" s="100">
        <f t="shared" si="30"/>
        <v>0</v>
      </c>
      <c r="L44" s="100">
        <f t="shared" si="30"/>
        <v>0</v>
      </c>
      <c r="M44" s="100">
        <f t="shared" si="30"/>
        <v>0</v>
      </c>
      <c r="N44" s="100">
        <f t="shared" si="30"/>
        <v>13144.300000000001</v>
      </c>
      <c r="O44" s="42">
        <f>+SUM(O45:O53)</f>
        <v>169216.59999999998</v>
      </c>
      <c r="P44" s="82">
        <f t="shared" si="30"/>
        <v>155244.58715596329</v>
      </c>
      <c r="Q44" s="82">
        <f t="shared" si="30"/>
        <v>13972.012844036704</v>
      </c>
      <c r="R44" s="19">
        <f t="shared" si="30"/>
        <v>24064</v>
      </c>
      <c r="S44" s="71"/>
      <c r="T44" s="61"/>
      <c r="U44" s="105">
        <f>+SUM(U45:U68)</f>
        <v>248449.4</v>
      </c>
      <c r="V44" s="2"/>
      <c r="W44" s="138"/>
      <c r="X44" s="2"/>
    </row>
    <row r="45" spans="1:24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384</v>
      </c>
      <c r="F45" s="23">
        <v>12936</v>
      </c>
      <c r="G45" s="28">
        <v>2172</v>
      </c>
      <c r="H45" s="23">
        <v>180</v>
      </c>
      <c r="I45" s="83"/>
      <c r="J45" s="75"/>
      <c r="K45" s="75"/>
      <c r="L45" s="75"/>
      <c r="M45" s="75"/>
      <c r="N45" s="75">
        <v>1356</v>
      </c>
      <c r="O45" s="5">
        <f t="shared" ref="O45:O55" si="31">+SUM(E45:N45)</f>
        <v>17028</v>
      </c>
      <c r="P45" s="99">
        <f t="shared" ref="P45:P53" si="32">+O45/1.09</f>
        <v>15622.018348623853</v>
      </c>
      <c r="Q45" s="64">
        <f t="shared" ref="Q45:R55" si="33">+O45-P45</f>
        <v>1405.9816513761471</v>
      </c>
      <c r="R45" s="116">
        <f t="shared" ref="R45:R54" si="34">O45/D45</f>
        <v>1419</v>
      </c>
      <c r="S45" s="71"/>
      <c r="T45" s="61"/>
      <c r="U45" s="13"/>
      <c r="V45" s="2"/>
      <c r="W45" s="138"/>
      <c r="X45" s="2"/>
    </row>
    <row r="46" spans="1:2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90</v>
      </c>
      <c r="F46" s="13">
        <v>1530</v>
      </c>
      <c r="G46" s="17">
        <v>426</v>
      </c>
      <c r="H46" s="23">
        <v>6</v>
      </c>
      <c r="I46" s="13"/>
      <c r="J46" s="33"/>
      <c r="K46" s="33"/>
      <c r="L46" s="33"/>
      <c r="M46" s="33"/>
      <c r="N46" s="33">
        <v>144</v>
      </c>
      <c r="O46" s="5">
        <f t="shared" si="31"/>
        <v>2196</v>
      </c>
      <c r="P46" s="5">
        <f t="shared" si="32"/>
        <v>2014.6788990825687</v>
      </c>
      <c r="Q46" s="5">
        <f t="shared" si="33"/>
        <v>181.32110091743129</v>
      </c>
      <c r="R46" s="31">
        <f t="shared" si="34"/>
        <v>366</v>
      </c>
      <c r="S46" s="71"/>
      <c r="T46" s="61">
        <v>6</v>
      </c>
      <c r="U46" s="13">
        <f t="shared" ref="U46:U47" si="35">+R46*T46</f>
        <v>2196</v>
      </c>
      <c r="V46" s="2"/>
      <c r="W46" s="138"/>
      <c r="X46" s="2"/>
    </row>
    <row r="47" spans="1:2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448.8</v>
      </c>
      <c r="F47" s="13">
        <v>29030.400000000001</v>
      </c>
      <c r="G47" s="17">
        <v>5232</v>
      </c>
      <c r="H47" s="23">
        <v>153.6</v>
      </c>
      <c r="I47" s="13"/>
      <c r="J47" s="33"/>
      <c r="K47" s="33"/>
      <c r="L47" s="33"/>
      <c r="M47" s="33"/>
      <c r="N47" s="33">
        <f>43.2+2524.8</f>
        <v>2568</v>
      </c>
      <c r="O47" s="5">
        <f t="shared" si="31"/>
        <v>37432.799999999996</v>
      </c>
      <c r="P47" s="5">
        <f t="shared" si="32"/>
        <v>34342.018348623846</v>
      </c>
      <c r="Q47" s="5">
        <f t="shared" si="33"/>
        <v>3090.78165137615</v>
      </c>
      <c r="R47" s="31">
        <f t="shared" si="34"/>
        <v>15596.999999999998</v>
      </c>
      <c r="S47" s="71"/>
      <c r="T47" s="61">
        <v>9.6</v>
      </c>
      <c r="U47" s="13">
        <f t="shared" si="35"/>
        <v>149731.19999999998</v>
      </c>
      <c r="V47" s="2"/>
      <c r="W47" s="138"/>
      <c r="X47" s="2"/>
    </row>
    <row r="48" spans="1:2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399</v>
      </c>
      <c r="F48" s="13">
        <v>13440</v>
      </c>
      <c r="G48" s="17">
        <v>1554</v>
      </c>
      <c r="H48" s="13">
        <v>399</v>
      </c>
      <c r="I48" s="13"/>
      <c r="J48" s="33"/>
      <c r="K48" s="33"/>
      <c r="L48" s="33"/>
      <c r="M48" s="33"/>
      <c r="N48" s="33">
        <v>945</v>
      </c>
      <c r="O48" s="5">
        <f t="shared" si="31"/>
        <v>16737</v>
      </c>
      <c r="P48" s="5">
        <f t="shared" si="32"/>
        <v>15355.045871559632</v>
      </c>
      <c r="Q48" s="5">
        <f t="shared" si="33"/>
        <v>1381.9541284403676</v>
      </c>
      <c r="R48" s="31">
        <f t="shared" si="34"/>
        <v>797</v>
      </c>
      <c r="S48" s="71"/>
      <c r="T48" s="61"/>
      <c r="U48" s="13"/>
      <c r="V48" s="2"/>
      <c r="W48" s="138"/>
      <c r="X48" s="2"/>
    </row>
    <row r="49" spans="1:24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31.5</v>
      </c>
      <c r="F49" s="13">
        <v>1176</v>
      </c>
      <c r="G49" s="17">
        <v>199.5</v>
      </c>
      <c r="H49" s="13">
        <v>21</v>
      </c>
      <c r="I49" s="13"/>
      <c r="J49" s="33"/>
      <c r="K49" s="33"/>
      <c r="L49" s="33"/>
      <c r="M49" s="33"/>
      <c r="N49" s="33">
        <v>73.5</v>
      </c>
      <c r="O49" s="5">
        <f t="shared" si="31"/>
        <v>1501.5</v>
      </c>
      <c r="P49" s="5">
        <f t="shared" si="32"/>
        <v>1377.5229357798164</v>
      </c>
      <c r="Q49" s="5">
        <f t="shared" si="33"/>
        <v>123.97706422018359</v>
      </c>
      <c r="R49" s="21">
        <f t="shared" si="34"/>
        <v>143</v>
      </c>
      <c r="S49" s="71"/>
      <c r="T49" s="61">
        <v>10.5</v>
      </c>
      <c r="U49" s="13">
        <f t="shared" ref="U49:U50" si="36">+R49*T49</f>
        <v>1501.5</v>
      </c>
      <c r="V49" s="2"/>
      <c r="W49" s="138"/>
      <c r="X49" s="2"/>
    </row>
    <row r="50" spans="1:24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84</v>
      </c>
      <c r="F50" s="13">
        <v>7203</v>
      </c>
      <c r="G50" s="17">
        <v>877.8</v>
      </c>
      <c r="H50" s="13">
        <v>79.8</v>
      </c>
      <c r="I50" s="13"/>
      <c r="J50" s="33"/>
      <c r="K50" s="33"/>
      <c r="L50" s="33"/>
      <c r="M50" s="33"/>
      <c r="N50" s="33">
        <f>8.4+1423.8</f>
        <v>1432.2</v>
      </c>
      <c r="O50" s="5">
        <f t="shared" si="31"/>
        <v>9676.8000000000011</v>
      </c>
      <c r="P50" s="5">
        <f t="shared" si="32"/>
        <v>8877.7981651376158</v>
      </c>
      <c r="Q50" s="5">
        <f t="shared" si="33"/>
        <v>799.00183486238529</v>
      </c>
      <c r="R50" s="21">
        <f t="shared" si="34"/>
        <v>2304</v>
      </c>
      <c r="S50" s="71"/>
      <c r="T50" s="61">
        <v>16.8</v>
      </c>
      <c r="U50" s="13">
        <f t="shared" si="36"/>
        <v>38707.200000000004</v>
      </c>
      <c r="V50" s="2"/>
      <c r="W50" s="138"/>
      <c r="X50" s="2"/>
    </row>
    <row r="51" spans="1:24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902</v>
      </c>
      <c r="F51" s="13">
        <v>52726</v>
      </c>
      <c r="G51" s="17">
        <v>7790</v>
      </c>
      <c r="H51" s="13">
        <v>1271</v>
      </c>
      <c r="I51" s="13"/>
      <c r="J51" s="33"/>
      <c r="K51" s="33"/>
      <c r="L51" s="33"/>
      <c r="M51" s="33"/>
      <c r="N51" s="33">
        <v>4264</v>
      </c>
      <c r="O51" s="5">
        <f t="shared" si="31"/>
        <v>66953</v>
      </c>
      <c r="P51" s="5">
        <f t="shared" si="32"/>
        <v>61424.770642201831</v>
      </c>
      <c r="Q51" s="5">
        <f t="shared" si="33"/>
        <v>5528.2293577981691</v>
      </c>
      <c r="R51" s="21">
        <f t="shared" si="34"/>
        <v>1633</v>
      </c>
      <c r="S51" s="71"/>
      <c r="T51" s="61"/>
      <c r="U51" s="13"/>
      <c r="V51" s="2"/>
      <c r="W51" s="138"/>
      <c r="X51" s="2"/>
    </row>
    <row r="52" spans="1:24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225.5</v>
      </c>
      <c r="F52" s="13">
        <v>3936</v>
      </c>
      <c r="G52" s="17">
        <v>430.5</v>
      </c>
      <c r="H52" s="13">
        <v>61.5</v>
      </c>
      <c r="I52" s="13"/>
      <c r="J52" s="33"/>
      <c r="K52" s="33"/>
      <c r="L52" s="33"/>
      <c r="M52" s="33"/>
      <c r="N52" s="33">
        <v>164</v>
      </c>
      <c r="O52" s="5">
        <f t="shared" si="31"/>
        <v>4817.5</v>
      </c>
      <c r="P52" s="5">
        <f t="shared" si="32"/>
        <v>4419.7247706422013</v>
      </c>
      <c r="Q52" s="5">
        <f t="shared" si="33"/>
        <v>397.77522935779871</v>
      </c>
      <c r="R52" s="21">
        <f t="shared" si="34"/>
        <v>235</v>
      </c>
      <c r="S52" s="71"/>
      <c r="T52" s="61">
        <v>20.5</v>
      </c>
      <c r="U52" s="13">
        <f t="shared" ref="U52:U53" si="37">+R52*T52</f>
        <v>4817.5</v>
      </c>
      <c r="V52" s="2"/>
      <c r="W52" s="138"/>
      <c r="X52" s="2"/>
    </row>
    <row r="53" spans="1:24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180.4</v>
      </c>
      <c r="F53" s="14">
        <v>9110.2000000000007</v>
      </c>
      <c r="G53" s="51">
        <v>1230</v>
      </c>
      <c r="H53" s="14">
        <v>155.80000000000001</v>
      </c>
      <c r="I53" s="14"/>
      <c r="J53" s="76"/>
      <c r="K53" s="76"/>
      <c r="L53" s="76"/>
      <c r="M53" s="76"/>
      <c r="N53" s="76">
        <f>32.8+2164.8</f>
        <v>2197.6000000000004</v>
      </c>
      <c r="O53" s="26">
        <f t="shared" si="31"/>
        <v>12874</v>
      </c>
      <c r="P53" s="6">
        <f t="shared" si="32"/>
        <v>11811.009174311926</v>
      </c>
      <c r="Q53" s="6">
        <f t="shared" si="33"/>
        <v>1062.9908256880735</v>
      </c>
      <c r="R53" s="22">
        <f t="shared" si="34"/>
        <v>1570.0000000000002</v>
      </c>
      <c r="S53" s="35"/>
      <c r="T53" s="61">
        <v>32.799999999999997</v>
      </c>
      <c r="U53" s="13">
        <f t="shared" si="37"/>
        <v>51496</v>
      </c>
      <c r="V53" s="2"/>
      <c r="W53" s="138"/>
      <c r="X53" s="2"/>
    </row>
    <row r="54" spans="1:24" x14ac:dyDescent="0.25">
      <c r="C54" s="1" t="s">
        <v>150</v>
      </c>
      <c r="D54" s="4">
        <v>4</v>
      </c>
      <c r="E54" s="125">
        <f>250*4</f>
        <v>1000</v>
      </c>
      <c r="F54" s="112">
        <v>60644</v>
      </c>
      <c r="G54" s="112">
        <v>8328</v>
      </c>
      <c r="H54" s="112">
        <v>4608</v>
      </c>
      <c r="I54" s="112"/>
      <c r="J54" s="112"/>
      <c r="K54" s="112"/>
      <c r="L54" s="112"/>
      <c r="O54" s="230">
        <f>+SUM(E54:N54)+N59</f>
        <v>78124</v>
      </c>
      <c r="P54" s="6">
        <f>+O54/1.21</f>
        <v>64565.289256198346</v>
      </c>
      <c r="Q54" s="6">
        <f t="shared" si="33"/>
        <v>13558.710743801654</v>
      </c>
      <c r="R54" s="22">
        <f t="shared" si="34"/>
        <v>19531</v>
      </c>
      <c r="V54" s="2"/>
      <c r="W54" s="138"/>
    </row>
    <row r="55" spans="1:24" x14ac:dyDescent="0.25">
      <c r="C55" s="1" t="s">
        <v>143</v>
      </c>
      <c r="E55" s="2">
        <v>27100.86</v>
      </c>
      <c r="F55" s="2">
        <v>831446.48</v>
      </c>
      <c r="G55" s="2">
        <v>125678.2</v>
      </c>
      <c r="H55" s="2">
        <v>19223.099999999999</v>
      </c>
      <c r="I55" s="2"/>
      <c r="J55" s="2"/>
      <c r="K55" s="2"/>
      <c r="L55" s="2"/>
      <c r="M55" s="1">
        <v>12</v>
      </c>
      <c r="O55" s="6">
        <f t="shared" si="31"/>
        <v>1003460.6399999999</v>
      </c>
      <c r="P55" s="6">
        <f>+O55</f>
        <v>1003460.6399999999</v>
      </c>
      <c r="Q55" s="6">
        <f t="shared" si="33"/>
        <v>0</v>
      </c>
      <c r="R55" s="6">
        <f t="shared" si="33"/>
        <v>1003460.6399999999</v>
      </c>
      <c r="V55" s="2"/>
      <c r="W55" s="138"/>
    </row>
    <row r="57" spans="1:24" x14ac:dyDescent="0.25">
      <c r="D57" s="4" t="s">
        <v>151</v>
      </c>
      <c r="E57" s="136">
        <f>+E5+E54+E55</f>
        <v>183293.44</v>
      </c>
      <c r="F57" s="136">
        <f t="shared" ref="F57:N57" si="38">+F5+F54+F55</f>
        <v>7619353.3399999999</v>
      </c>
      <c r="G57" s="136">
        <f t="shared" si="38"/>
        <v>1137208.9200000002</v>
      </c>
      <c r="H57" s="136">
        <f t="shared" si="38"/>
        <v>192468.2</v>
      </c>
      <c r="I57" s="136">
        <f t="shared" si="38"/>
        <v>651414.4</v>
      </c>
      <c r="J57" s="136">
        <f t="shared" si="38"/>
        <v>1021317.15</v>
      </c>
      <c r="K57" s="136">
        <f t="shared" si="38"/>
        <v>961641.78</v>
      </c>
      <c r="L57" s="136">
        <f t="shared" si="38"/>
        <v>781.19999999989341</v>
      </c>
      <c r="M57" s="136">
        <f t="shared" si="38"/>
        <v>154</v>
      </c>
      <c r="N57" s="136">
        <f t="shared" si="38"/>
        <v>652799.64</v>
      </c>
      <c r="O57" s="103">
        <f>+SUM(E57:M57)</f>
        <v>11767632.43</v>
      </c>
      <c r="P57" s="150">
        <f>+P54+P55+P5-((K5+L5)/1.09)</f>
        <v>10590932.764118584</v>
      </c>
      <c r="Q57" s="150"/>
    </row>
    <row r="59" spans="1:24" x14ac:dyDescent="0.25">
      <c r="M59" s="561" t="s">
        <v>609</v>
      </c>
      <c r="N59" s="560">
        <f>886*4</f>
        <v>3544</v>
      </c>
    </row>
    <row r="60" spans="1:24" x14ac:dyDescent="0.25">
      <c r="E60" s="136"/>
    </row>
    <row r="73" spans="2:2" x14ac:dyDescent="0.25">
      <c r="B73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0"/>
  <sheetViews>
    <sheetView workbookViewId="0">
      <selection activeCell="B21" sqref="B21"/>
    </sheetView>
  </sheetViews>
  <sheetFormatPr defaultRowHeight="14.4" x14ac:dyDescent="0.3"/>
  <cols>
    <col min="1" max="1" width="50.6640625" bestFit="1" customWidth="1"/>
    <col min="3" max="3" width="13.6640625" customWidth="1"/>
    <col min="4" max="4" width="13.5546875" customWidth="1"/>
    <col min="5" max="5" width="11.5546875" customWidth="1"/>
  </cols>
  <sheetData>
    <row r="1" spans="1:5" x14ac:dyDescent="0.3">
      <c r="A1" t="s">
        <v>240</v>
      </c>
    </row>
    <row r="3" spans="1:5" x14ac:dyDescent="0.3">
      <c r="A3" s="266" t="s">
        <v>46</v>
      </c>
      <c r="B3" s="268" t="s">
        <v>208</v>
      </c>
      <c r="C3" s="267" t="s">
        <v>239</v>
      </c>
      <c r="D3" s="267" t="s">
        <v>205</v>
      </c>
      <c r="E3" s="267" t="s">
        <v>206</v>
      </c>
    </row>
    <row r="4" spans="1:5" x14ac:dyDescent="0.3">
      <c r="A4" s="263" t="s">
        <v>54</v>
      </c>
      <c r="B4" s="91">
        <v>2.2000000000000002</v>
      </c>
      <c r="C4" s="264">
        <v>755629.6</v>
      </c>
      <c r="D4" s="264">
        <v>757660.20000000007</v>
      </c>
      <c r="E4" s="265">
        <f>+D4-C4</f>
        <v>2030.6000000000931</v>
      </c>
    </row>
    <row r="5" spans="1:5" x14ac:dyDescent="0.3">
      <c r="A5" s="255" t="s">
        <v>92</v>
      </c>
      <c r="B5" s="60">
        <v>1.1000000000000001</v>
      </c>
      <c r="C5" s="106">
        <v>74534.899999999994</v>
      </c>
      <c r="D5" s="106">
        <v>74737.3</v>
      </c>
      <c r="E5" s="257">
        <f t="shared" ref="E5:E9" si="0">+D5-C5</f>
        <v>202.40000000000873</v>
      </c>
    </row>
    <row r="6" spans="1:5" x14ac:dyDescent="0.3">
      <c r="A6" s="255" t="s">
        <v>93</v>
      </c>
      <c r="B6" s="62">
        <v>0.44</v>
      </c>
      <c r="C6" s="106">
        <v>1466.08</v>
      </c>
      <c r="D6" s="106">
        <v>1468.72</v>
      </c>
      <c r="E6" s="257">
        <f t="shared" si="0"/>
        <v>2.6400000000001</v>
      </c>
    </row>
    <row r="7" spans="1:5" x14ac:dyDescent="0.3">
      <c r="A7" s="255" t="s">
        <v>58</v>
      </c>
      <c r="B7" s="62">
        <v>3.2</v>
      </c>
      <c r="C7" s="106">
        <v>117510.39999999999</v>
      </c>
      <c r="D7" s="106">
        <v>117836.8</v>
      </c>
      <c r="E7" s="257">
        <f t="shared" si="0"/>
        <v>326.40000000000873</v>
      </c>
    </row>
    <row r="8" spans="1:5" x14ac:dyDescent="0.3">
      <c r="A8" s="255" t="s">
        <v>94</v>
      </c>
      <c r="B8" s="62">
        <v>1.6</v>
      </c>
      <c r="C8" s="106">
        <v>12248</v>
      </c>
      <c r="D8" s="106">
        <v>12294.400000000001</v>
      </c>
      <c r="E8" s="257">
        <f t="shared" si="0"/>
        <v>46.400000000001455</v>
      </c>
    </row>
    <row r="9" spans="1:5" x14ac:dyDescent="0.3">
      <c r="A9" s="256" t="s">
        <v>95</v>
      </c>
      <c r="B9" s="63">
        <v>0.64</v>
      </c>
      <c r="C9" s="258">
        <v>252.8</v>
      </c>
      <c r="D9" s="258">
        <v>254.08</v>
      </c>
      <c r="E9" s="259">
        <f t="shared" si="0"/>
        <v>1.2800000000000011</v>
      </c>
    </row>
    <row r="10" spans="1:5" ht="15" x14ac:dyDescent="0.25">
      <c r="A10" s="260" t="s">
        <v>151</v>
      </c>
      <c r="B10" s="261"/>
      <c r="C10" s="262">
        <f>+SUM(C4:C9)</f>
        <v>961641.78</v>
      </c>
      <c r="D10" s="262">
        <f t="shared" ref="D10:E10" si="1">+SUM(D4:D9)</f>
        <v>964251.50000000012</v>
      </c>
      <c r="E10" s="262">
        <f t="shared" si="1"/>
        <v>2609.7200000001126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X66"/>
  <sheetViews>
    <sheetView zoomScaleNormal="100"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O19" sqref="O19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50.6640625" style="1" bestFit="1" customWidth="1"/>
    <col min="4" max="4" width="9.88671875" style="4" customWidth="1"/>
    <col min="5" max="5" width="14.33203125" style="4" customWidth="1" outlineLevel="1"/>
    <col min="6" max="6" width="12.441406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2" width="12.109375" style="1" customWidth="1" outlineLevel="1"/>
    <col min="13" max="14" width="13" style="1" customWidth="1" outlineLevel="1"/>
    <col min="15" max="15" width="12.33203125" style="1" bestFit="1" customWidth="1"/>
    <col min="16" max="17" width="12.33203125" style="1" customWidth="1"/>
    <col min="18" max="18" width="11.33203125" style="1" customWidth="1" outlineLevel="1"/>
    <col min="19" max="19" width="3.109375" style="1" customWidth="1"/>
    <col min="20" max="20" width="5.109375" style="1" customWidth="1"/>
    <col min="21" max="21" width="13.33203125" style="2" customWidth="1"/>
    <col min="22" max="22" width="11.33203125" style="2" bestFit="1" customWidth="1"/>
    <col min="23" max="23" width="11.6640625" style="1" customWidth="1"/>
    <col min="24" max="16384" width="8.88671875" style="1"/>
  </cols>
  <sheetData>
    <row r="1" spans="1:24" ht="15.6" customHeight="1" x14ac:dyDescent="0.3">
      <c r="A1" s="40" t="s">
        <v>242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"/>
    </row>
    <row r="2" spans="1:24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139"/>
      <c r="P2" s="2"/>
      <c r="Q2" s="2"/>
    </row>
    <row r="3" spans="1:24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4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45433.939999999995</v>
      </c>
      <c r="F5" s="187">
        <f t="shared" si="0"/>
        <v>2023023.6600000001</v>
      </c>
      <c r="G5" s="82">
        <f t="shared" si="0"/>
        <v>287962.88</v>
      </c>
      <c r="H5" s="82">
        <f t="shared" si="0"/>
        <v>59359.94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108</v>
      </c>
      <c r="N5" s="19">
        <f>+N6+N18+N44</f>
        <v>202648.80999999997</v>
      </c>
      <c r="O5" s="113">
        <f>+SUM(E5:N5)</f>
        <v>2618537.23</v>
      </c>
      <c r="P5" s="114">
        <f>+P6+P18+P44</f>
        <v>2402327.7339449539</v>
      </c>
      <c r="Q5" s="115">
        <f>+Q6+Q18+Q44</f>
        <v>216209.49605504615</v>
      </c>
      <c r="R5" s="197">
        <f>+R6+R18+R44</f>
        <v>47060.601955555547</v>
      </c>
      <c r="S5" s="71"/>
      <c r="T5" s="87"/>
      <c r="U5" s="135">
        <f>+U7+U18+U44</f>
        <v>2069575.4</v>
      </c>
      <c r="W5" s="2"/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1">+E7+E11</f>
        <v>0</v>
      </c>
      <c r="F6" s="187">
        <f t="shared" si="1"/>
        <v>0</v>
      </c>
      <c r="G6" s="82">
        <f t="shared" si="1"/>
        <v>0</v>
      </c>
      <c r="H6" s="82">
        <f t="shared" si="1"/>
        <v>0</v>
      </c>
      <c r="I6" s="82">
        <f t="shared" si="1"/>
        <v>0</v>
      </c>
      <c r="J6" s="82">
        <f t="shared" si="1"/>
        <v>0</v>
      </c>
      <c r="K6" s="100">
        <f t="shared" si="1"/>
        <v>0</v>
      </c>
      <c r="L6" s="100">
        <f t="shared" si="1"/>
        <v>0</v>
      </c>
      <c r="M6" s="192">
        <f>+M7+M11</f>
        <v>0</v>
      </c>
      <c r="N6" s="19">
        <f>+N7+N11</f>
        <v>0</v>
      </c>
      <c r="O6" s="42">
        <f>+SUM(E6:N6)</f>
        <v>0</v>
      </c>
      <c r="P6" s="77">
        <f>+P7+P11</f>
        <v>0</v>
      </c>
      <c r="Q6" s="42">
        <f>+Q7+Q11</f>
        <v>0</v>
      </c>
      <c r="R6" s="44">
        <f>+R7+R11</f>
        <v>0</v>
      </c>
      <c r="T6" s="61"/>
      <c r="U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7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0</v>
      </c>
      <c r="J7" s="126">
        <f t="shared" si="2"/>
        <v>0</v>
      </c>
      <c r="K7" s="126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225">
        <f t="shared" si="3"/>
        <v>0</v>
      </c>
      <c r="P7" s="79">
        <f t="shared" si="3"/>
        <v>0</v>
      </c>
      <c r="Q7" s="79">
        <f t="shared" si="3"/>
        <v>0</v>
      </c>
      <c r="R7" s="240">
        <f t="shared" si="3"/>
        <v>0</v>
      </c>
      <c r="S7" s="71"/>
      <c r="T7" s="134"/>
      <c r="U7" s="105">
        <f>+SUM(U8:U17)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24">
        <f>+SUM(E8:N8)</f>
        <v>0</v>
      </c>
      <c r="P8" s="127">
        <f t="shared" ref="P8:P53" si="4">+O8/1.09</f>
        <v>0</v>
      </c>
      <c r="Q8" s="5">
        <f t="shared" ref="Q8:Q17" si="5">+O8-P8</f>
        <v>0</v>
      </c>
      <c r="R8" s="94">
        <f>+O8/D8</f>
        <v>0</v>
      </c>
      <c r="S8" s="71"/>
      <c r="T8" s="61"/>
      <c r="U8" s="13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6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24">
        <f>+SUM(E9:N9)</f>
        <v>0</v>
      </c>
      <c r="P9" s="127">
        <f t="shared" si="4"/>
        <v>0</v>
      </c>
      <c r="Q9" s="26">
        <f t="shared" si="5"/>
        <v>0</v>
      </c>
      <c r="R9" s="94">
        <f>+O9/D9</f>
        <v>0</v>
      </c>
      <c r="S9" s="71"/>
      <c r="T9" s="61">
        <v>1.75</v>
      </c>
      <c r="U9" s="13">
        <f>+R9*T9</f>
        <v>0</v>
      </c>
    </row>
    <row r="10" spans="1:24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26">
        <f>+SUM(E10:N10)</f>
        <v>0</v>
      </c>
      <c r="P10" s="26">
        <f t="shared" si="4"/>
        <v>0</v>
      </c>
      <c r="Q10" s="26">
        <f t="shared" si="5"/>
        <v>0</v>
      </c>
      <c r="R10" s="39">
        <f>O10/D10</f>
        <v>0</v>
      </c>
      <c r="S10" s="71"/>
      <c r="T10" s="107">
        <v>2.8</v>
      </c>
      <c r="U10" s="13">
        <f>+R10*T10</f>
        <v>0</v>
      </c>
      <c r="W10" s="138"/>
      <c r="X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R11" si="7">+SUM(E12:E17)</f>
        <v>0</v>
      </c>
      <c r="F11" s="84">
        <f t="shared" si="7"/>
        <v>0</v>
      </c>
      <c r="G11" s="84">
        <f t="shared" si="7"/>
        <v>0</v>
      </c>
      <c r="H11" s="84">
        <f t="shared" si="7"/>
        <v>0</v>
      </c>
      <c r="I11" s="84">
        <f t="shared" si="7"/>
        <v>0</v>
      </c>
      <c r="J11" s="74">
        <f t="shared" si="7"/>
        <v>0</v>
      </c>
      <c r="K11" s="101">
        <f t="shared" si="7"/>
        <v>0</v>
      </c>
      <c r="L11" s="101">
        <f t="shared" si="7"/>
        <v>0</v>
      </c>
      <c r="M11" s="101">
        <f t="shared" si="7"/>
        <v>0</v>
      </c>
      <c r="N11" s="101">
        <f t="shared" si="7"/>
        <v>0</v>
      </c>
      <c r="O11" s="43">
        <f t="shared" si="7"/>
        <v>0</v>
      </c>
      <c r="P11" s="72">
        <f t="shared" si="7"/>
        <v>0</v>
      </c>
      <c r="Q11" s="43">
        <f t="shared" si="7"/>
        <v>0</v>
      </c>
      <c r="R11" s="45">
        <f t="shared" si="7"/>
        <v>0</v>
      </c>
      <c r="S11" s="71"/>
      <c r="T11" s="61"/>
      <c r="U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24">
        <f t="shared" ref="O12:O17" si="8">+SUM(E12:N12)</f>
        <v>0</v>
      </c>
      <c r="P12" s="127">
        <f t="shared" si="4"/>
        <v>0</v>
      </c>
      <c r="Q12" s="5">
        <f t="shared" si="5"/>
        <v>0</v>
      </c>
      <c r="R12" s="94">
        <f t="shared" ref="R12:R17" si="9">+O12/D12</f>
        <v>0</v>
      </c>
      <c r="S12" s="71"/>
      <c r="T12" s="61"/>
      <c r="U12" s="13"/>
      <c r="X12" s="104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24">
        <f t="shared" si="8"/>
        <v>0</v>
      </c>
      <c r="P13" s="127">
        <f t="shared" si="4"/>
        <v>0</v>
      </c>
      <c r="Q13" s="5">
        <f t="shared" si="5"/>
        <v>0</v>
      </c>
      <c r="R13" s="94">
        <f t="shared" si="9"/>
        <v>0</v>
      </c>
      <c r="S13" s="71"/>
      <c r="T13" s="107">
        <v>1.1000000000000001</v>
      </c>
      <c r="U13" s="13">
        <f t="shared" ref="U13:U14" si="10">+R13*T13</f>
        <v>0</v>
      </c>
      <c r="X13" s="104"/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24">
        <f t="shared" si="8"/>
        <v>0</v>
      </c>
      <c r="P14" s="127">
        <f t="shared" si="4"/>
        <v>0</v>
      </c>
      <c r="Q14" s="5">
        <f t="shared" si="5"/>
        <v>0</v>
      </c>
      <c r="R14" s="94">
        <f t="shared" si="9"/>
        <v>0</v>
      </c>
      <c r="S14" s="71"/>
      <c r="T14" s="61">
        <v>1.76</v>
      </c>
      <c r="U14" s="13">
        <f t="shared" si="10"/>
        <v>0</v>
      </c>
      <c r="X14" s="104"/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4">
        <f t="shared" si="8"/>
        <v>0</v>
      </c>
      <c r="P15" s="127">
        <f t="shared" si="4"/>
        <v>0</v>
      </c>
      <c r="Q15" s="5">
        <f t="shared" si="5"/>
        <v>0</v>
      </c>
      <c r="R15" s="94">
        <f t="shared" si="9"/>
        <v>0</v>
      </c>
      <c r="S15" s="71"/>
      <c r="T15" s="61"/>
      <c r="U15" s="13"/>
      <c r="X15" s="104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24">
        <f t="shared" si="8"/>
        <v>0</v>
      </c>
      <c r="P16" s="127">
        <f t="shared" si="4"/>
        <v>0</v>
      </c>
      <c r="Q16" s="5">
        <f t="shared" si="5"/>
        <v>0</v>
      </c>
      <c r="R16" s="94">
        <f t="shared" si="9"/>
        <v>0</v>
      </c>
      <c r="S16" s="71"/>
      <c r="T16" s="61">
        <v>1.6</v>
      </c>
      <c r="U16" s="13">
        <f t="shared" ref="U16:U17" si="11">+R16*T16</f>
        <v>0</v>
      </c>
      <c r="X16" s="104"/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24">
        <f t="shared" si="8"/>
        <v>0</v>
      </c>
      <c r="P17" s="127">
        <f t="shared" si="4"/>
        <v>0</v>
      </c>
      <c r="Q17" s="5">
        <f t="shared" si="5"/>
        <v>0</v>
      </c>
      <c r="R17" s="94">
        <f t="shared" si="9"/>
        <v>0</v>
      </c>
      <c r="S17" s="71"/>
      <c r="T17" s="61">
        <v>2.56</v>
      </c>
      <c r="U17" s="13">
        <f t="shared" si="11"/>
        <v>0</v>
      </c>
      <c r="X17" s="104"/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45246.159999999996</v>
      </c>
      <c r="F18" s="231">
        <f t="shared" ref="F18:N18" si="12">+SUM(F19:F43)</f>
        <v>2013412.2200000002</v>
      </c>
      <c r="G18" s="231">
        <f t="shared" si="12"/>
        <v>286829.22000000003</v>
      </c>
      <c r="H18" s="231">
        <f t="shared" si="12"/>
        <v>59021.53</v>
      </c>
      <c r="I18" s="231">
        <f t="shared" si="12"/>
        <v>0</v>
      </c>
      <c r="J18" s="231">
        <f t="shared" si="12"/>
        <v>0</v>
      </c>
      <c r="K18" s="231">
        <f t="shared" si="12"/>
        <v>0</v>
      </c>
      <c r="L18" s="231">
        <f t="shared" si="12"/>
        <v>0</v>
      </c>
      <c r="M18" s="231">
        <f t="shared" si="12"/>
        <v>108</v>
      </c>
      <c r="N18" s="238">
        <f t="shared" si="12"/>
        <v>201926.50999999998</v>
      </c>
      <c r="O18" s="42">
        <f>+SUM(O19:O43)</f>
        <v>2606543.64</v>
      </c>
      <c r="P18" s="42">
        <f t="shared" ref="P18:R18" si="13">+SUM(P19:P43)</f>
        <v>2391324.4403669722</v>
      </c>
      <c r="Q18" s="42">
        <f t="shared" si="13"/>
        <v>215219.19963302781</v>
      </c>
      <c r="R18" s="42">
        <f t="shared" si="13"/>
        <v>46583.435288888882</v>
      </c>
      <c r="S18" s="71"/>
      <c r="T18" s="61"/>
      <c r="U18" s="105">
        <f>+SUM(U19:U42)</f>
        <v>2064098.49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28283.33</v>
      </c>
      <c r="F19" s="127">
        <v>1189423.33</v>
      </c>
      <c r="G19" s="127">
        <v>165046.67000000001</v>
      </c>
      <c r="H19" s="127">
        <v>32536.67</v>
      </c>
      <c r="I19" s="127"/>
      <c r="J19" s="127"/>
      <c r="K19" s="127"/>
      <c r="L19" s="127"/>
      <c r="M19" s="127">
        <v>90</v>
      </c>
      <c r="N19" s="127">
        <v>106503.34</v>
      </c>
      <c r="O19" s="24">
        <f t="shared" ref="O19:O43" si="14">+SUM(E19:N19)</f>
        <v>1521883.34</v>
      </c>
      <c r="P19" s="127">
        <f t="shared" si="4"/>
        <v>1396223.2477064219</v>
      </c>
      <c r="Q19" s="24">
        <f>+O19-P19</f>
        <v>125660.0922935782</v>
      </c>
      <c r="R19" s="94">
        <f t="shared" ref="R19:R43" si="15">+O19/D19</f>
        <v>15218.833400000001</v>
      </c>
      <c r="S19" s="71"/>
      <c r="T19" s="61"/>
      <c r="U19" s="106"/>
      <c r="W19" s="102"/>
      <c r="X19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v>4196.67</v>
      </c>
      <c r="F20" s="127">
        <v>327423.33</v>
      </c>
      <c r="G20" s="127">
        <v>43833.33</v>
      </c>
      <c r="H20" s="127">
        <v>10603.33</v>
      </c>
      <c r="I20" s="127"/>
      <c r="J20" s="127"/>
      <c r="K20" s="127"/>
      <c r="L20" s="127"/>
      <c r="M20" s="127"/>
      <c r="N20" s="127">
        <v>6556.67</v>
      </c>
      <c r="O20" s="24">
        <f t="shared" si="14"/>
        <v>392613.33</v>
      </c>
      <c r="P20" s="127">
        <f t="shared" si="4"/>
        <v>360195.71559633024</v>
      </c>
      <c r="Q20" s="5">
        <f t="shared" ref="Q20:Q43" si="16">+O20-P20</f>
        <v>32417.614403669781</v>
      </c>
      <c r="R20" s="94">
        <f t="shared" si="15"/>
        <v>7852.2665999999999</v>
      </c>
      <c r="S20" s="71"/>
      <c r="T20" s="61">
        <v>50</v>
      </c>
      <c r="U20" s="13">
        <f t="shared" ref="U20:U21" si="17">+R20*T20</f>
        <v>392613.33</v>
      </c>
      <c r="W20" s="102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726+6436.67</f>
        <v>7162.67</v>
      </c>
      <c r="F21" s="127">
        <f>3977.33+282048</f>
        <v>286025.33</v>
      </c>
      <c r="G21" s="127">
        <f>565.33+46750</f>
        <v>47315.33</v>
      </c>
      <c r="H21" s="127">
        <v>4228</v>
      </c>
      <c r="I21" s="2"/>
      <c r="J21" s="127"/>
      <c r="K21" s="127"/>
      <c r="L21" s="127"/>
      <c r="M21" s="127">
        <v>18</v>
      </c>
      <c r="N21" s="127">
        <f>354.67+29227.33</f>
        <v>29582</v>
      </c>
      <c r="O21" s="24">
        <f t="shared" si="14"/>
        <v>374331.33</v>
      </c>
      <c r="P21" s="127">
        <f t="shared" si="4"/>
        <v>343423.23853211006</v>
      </c>
      <c r="Q21" s="5">
        <f t="shared" si="16"/>
        <v>30908.091467889957</v>
      </c>
      <c r="R21" s="94">
        <f t="shared" si="15"/>
        <v>18716.566500000001</v>
      </c>
      <c r="S21" s="71"/>
      <c r="T21" s="61">
        <v>80</v>
      </c>
      <c r="U21" s="13">
        <f t="shared" si="17"/>
        <v>1497325.32</v>
      </c>
      <c r="W21" s="102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v>4002</v>
      </c>
      <c r="F22" s="127">
        <v>165018</v>
      </c>
      <c r="G22" s="127">
        <v>24798</v>
      </c>
      <c r="H22" s="127">
        <v>7293</v>
      </c>
      <c r="I22" s="127"/>
      <c r="J22" s="127"/>
      <c r="K22" s="127"/>
      <c r="L22" s="127"/>
      <c r="M22" s="127"/>
      <c r="N22" s="127">
        <v>32679</v>
      </c>
      <c r="O22" s="24">
        <f t="shared" si="14"/>
        <v>233790</v>
      </c>
      <c r="P22" s="127">
        <f t="shared" si="4"/>
        <v>214486.23853211009</v>
      </c>
      <c r="Q22" s="5">
        <f t="shared" si="16"/>
        <v>19303.761467889912</v>
      </c>
      <c r="R22" s="94">
        <f t="shared" si="15"/>
        <v>2597.6666666666665</v>
      </c>
      <c r="S22" s="71"/>
      <c r="T22" s="61"/>
      <c r="U22" s="13"/>
      <c r="W22" s="102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v>294</v>
      </c>
      <c r="F23" s="127">
        <v>8623.5</v>
      </c>
      <c r="G23" s="127">
        <v>1332</v>
      </c>
      <c r="H23" s="127">
        <v>505.5</v>
      </c>
      <c r="I23" s="127"/>
      <c r="J23" s="127"/>
      <c r="K23" s="127"/>
      <c r="L23" s="127"/>
      <c r="M23" s="127"/>
      <c r="N23" s="127">
        <v>1269</v>
      </c>
      <c r="O23" s="24">
        <f t="shared" si="14"/>
        <v>12024</v>
      </c>
      <c r="P23" s="127">
        <f t="shared" si="4"/>
        <v>11031.192660550458</v>
      </c>
      <c r="Q23" s="5">
        <f t="shared" si="16"/>
        <v>992.80733944954227</v>
      </c>
      <c r="R23" s="94">
        <f t="shared" si="15"/>
        <v>267.2</v>
      </c>
      <c r="S23" s="71"/>
      <c r="T23" s="61">
        <v>45</v>
      </c>
      <c r="U23" s="13">
        <f t="shared" ref="U23:U24" si="18">+R23*T23</f>
        <v>12024</v>
      </c>
      <c r="W23" s="102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5.4+247.2</f>
        <v>252.6</v>
      </c>
      <c r="F24" s="127">
        <f>50.4+5051.4</f>
        <v>5101.7999999999993</v>
      </c>
      <c r="G24" s="127">
        <f>3+740.4</f>
        <v>743.4</v>
      </c>
      <c r="H24" s="127">
        <v>140.4</v>
      </c>
      <c r="I24" s="127"/>
      <c r="J24" s="127"/>
      <c r="K24" s="127"/>
      <c r="L24" s="127"/>
      <c r="M24" s="127"/>
      <c r="N24" s="127">
        <f>42.6+1710.6</f>
        <v>1753.1999999999998</v>
      </c>
      <c r="O24" s="24">
        <f t="shared" si="14"/>
        <v>7991.3999999999987</v>
      </c>
      <c r="P24" s="127">
        <f t="shared" si="4"/>
        <v>7331.5596330275212</v>
      </c>
      <c r="Q24" s="5">
        <f t="shared" si="16"/>
        <v>659.84036697247757</v>
      </c>
      <c r="R24" s="94">
        <f t="shared" si="15"/>
        <v>443.96666666666658</v>
      </c>
      <c r="S24" s="71"/>
      <c r="T24" s="61">
        <v>72</v>
      </c>
      <c r="U24" s="13">
        <f t="shared" si="18"/>
        <v>31965.599999999995</v>
      </c>
      <c r="W24" s="102"/>
    </row>
    <row r="25" spans="1:2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93.33</v>
      </c>
      <c r="F25" s="127">
        <v>3913.33</v>
      </c>
      <c r="G25" s="127">
        <v>173.33</v>
      </c>
      <c r="H25" s="127">
        <v>93.33</v>
      </c>
      <c r="I25" s="127"/>
      <c r="J25" s="127"/>
      <c r="K25" s="127"/>
      <c r="L25" s="127"/>
      <c r="M25" s="127"/>
      <c r="N25" s="127">
        <v>3880</v>
      </c>
      <c r="O25" s="24">
        <f t="shared" si="14"/>
        <v>8153.32</v>
      </c>
      <c r="P25" s="127">
        <f t="shared" si="4"/>
        <v>7480.1100917431186</v>
      </c>
      <c r="Q25" s="5">
        <f t="shared" si="16"/>
        <v>673.20990825688114</v>
      </c>
      <c r="R25" s="94">
        <f t="shared" si="15"/>
        <v>27.177733333333332</v>
      </c>
      <c r="S25" s="71"/>
      <c r="T25" s="61"/>
      <c r="U25" s="13"/>
    </row>
    <row r="26" spans="1:2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3851.67</v>
      </c>
      <c r="G26" s="127">
        <v>323.33</v>
      </c>
      <c r="H26" s="127">
        <f>140+280+141.67</f>
        <v>561.66999999999996</v>
      </c>
      <c r="I26" s="127"/>
      <c r="J26" s="127"/>
      <c r="K26" s="127"/>
      <c r="L26" s="127"/>
      <c r="M26" s="127"/>
      <c r="N26" s="127">
        <v>545</v>
      </c>
      <c r="O26" s="24">
        <f t="shared" si="14"/>
        <v>5281.67</v>
      </c>
      <c r="P26" s="127">
        <f t="shared" si="4"/>
        <v>4845.5688073394494</v>
      </c>
      <c r="Q26" s="5">
        <f t="shared" si="16"/>
        <v>436.10119266055062</v>
      </c>
      <c r="R26" s="94">
        <f t="shared" si="15"/>
        <v>35.211133333333336</v>
      </c>
      <c r="S26" s="71"/>
      <c r="T26" s="61">
        <v>150</v>
      </c>
      <c r="U26" s="13">
        <f t="shared" ref="U26:U43" si="19">+R26*T26</f>
        <v>5281.67</v>
      </c>
    </row>
    <row r="27" spans="1:2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84.67+219.33</f>
        <v>304</v>
      </c>
      <c r="F27" s="127">
        <f>380.67+10354</f>
        <v>10734.67</v>
      </c>
      <c r="G27" s="127">
        <f>30.67+1711.33</f>
        <v>1742</v>
      </c>
      <c r="H27" s="127">
        <f>298.67+130.67+126</f>
        <v>555.34</v>
      </c>
      <c r="I27" s="127"/>
      <c r="J27" s="127"/>
      <c r="K27" s="127"/>
      <c r="L27" s="127"/>
      <c r="M27" s="127"/>
      <c r="N27" s="127">
        <f>147.33+7760</f>
        <v>7907.33</v>
      </c>
      <c r="O27" s="24">
        <f t="shared" si="14"/>
        <v>21243.34</v>
      </c>
      <c r="P27" s="127">
        <f t="shared" si="4"/>
        <v>19489.302752293577</v>
      </c>
      <c r="Q27" s="5">
        <f t="shared" si="16"/>
        <v>1754.0372477064229</v>
      </c>
      <c r="R27" s="94">
        <f t="shared" si="15"/>
        <v>354.0556666666667</v>
      </c>
      <c r="S27" s="71"/>
      <c r="T27" s="61">
        <v>240</v>
      </c>
      <c r="U27" s="13">
        <f t="shared" si="19"/>
        <v>84973.36</v>
      </c>
    </row>
    <row r="28" spans="1:24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420</v>
      </c>
      <c r="G28" s="127"/>
      <c r="H28" s="127">
        <f>336+48</f>
        <v>384</v>
      </c>
      <c r="I28" s="127"/>
      <c r="J28" s="127"/>
      <c r="K28" s="127"/>
      <c r="L28" s="127"/>
      <c r="M28" s="127"/>
      <c r="N28" s="127">
        <v>5499</v>
      </c>
      <c r="O28" s="24">
        <f t="shared" si="14"/>
        <v>6303</v>
      </c>
      <c r="P28" s="127">
        <f t="shared" si="4"/>
        <v>5782.5688073394494</v>
      </c>
      <c r="Q28" s="5">
        <f t="shared" si="16"/>
        <v>520.43119266055055</v>
      </c>
      <c r="R28" s="94">
        <f t="shared" si="15"/>
        <v>23.344444444444445</v>
      </c>
      <c r="S28" s="71"/>
      <c r="T28" s="61"/>
      <c r="U28" s="13"/>
    </row>
    <row r="29" spans="1:24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85.5</v>
      </c>
      <c r="G29" s="127"/>
      <c r="H29" s="127">
        <v>39</v>
      </c>
      <c r="I29" s="127"/>
      <c r="J29" s="127"/>
      <c r="K29" s="127"/>
      <c r="L29" s="127"/>
      <c r="M29" s="127"/>
      <c r="N29" s="127">
        <v>42</v>
      </c>
      <c r="O29" s="24">
        <f t="shared" si="14"/>
        <v>166.5</v>
      </c>
      <c r="P29" s="127">
        <f t="shared" si="4"/>
        <v>152.75229357798165</v>
      </c>
      <c r="Q29" s="5">
        <f t="shared" si="16"/>
        <v>13.747706422018354</v>
      </c>
      <c r="R29" s="94">
        <f t="shared" si="15"/>
        <v>1.2333333333333334</v>
      </c>
      <c r="S29" s="71"/>
      <c r="T29" s="61">
        <v>135</v>
      </c>
      <c r="U29" s="13">
        <f t="shared" si="19"/>
        <v>166.5</v>
      </c>
    </row>
    <row r="30" spans="1:24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57</v>
      </c>
      <c r="F30" s="127">
        <v>348.6</v>
      </c>
      <c r="G30" s="127">
        <v>36</v>
      </c>
      <c r="H30" s="127">
        <f>50.4+13.2</f>
        <v>63.599999999999994</v>
      </c>
      <c r="I30" s="127"/>
      <c r="J30" s="127"/>
      <c r="K30" s="127"/>
      <c r="L30" s="127"/>
      <c r="M30" s="127"/>
      <c r="N30" s="127">
        <f>50.4+817.2</f>
        <v>867.6</v>
      </c>
      <c r="O30" s="24">
        <f t="shared" si="14"/>
        <v>1372.8000000000002</v>
      </c>
      <c r="P30" s="127">
        <f t="shared" si="4"/>
        <v>1259.4495412844037</v>
      </c>
      <c r="Q30" s="5">
        <f t="shared" si="16"/>
        <v>113.35045871559646</v>
      </c>
      <c r="R30" s="94">
        <f t="shared" si="15"/>
        <v>25.422222222222224</v>
      </c>
      <c r="S30" s="71"/>
      <c r="T30" s="61">
        <v>216</v>
      </c>
      <c r="U30" s="13">
        <f t="shared" si="19"/>
        <v>5491.2000000000007</v>
      </c>
    </row>
    <row r="31" spans="1:2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/>
      <c r="F31" s="127">
        <v>306.67</v>
      </c>
      <c r="G31" s="127">
        <v>93.33</v>
      </c>
      <c r="H31" s="127">
        <v>186.67</v>
      </c>
      <c r="I31" s="127"/>
      <c r="J31" s="127"/>
      <c r="K31" s="127"/>
      <c r="L31" s="127"/>
      <c r="M31" s="127"/>
      <c r="N31" s="127">
        <v>186.67</v>
      </c>
      <c r="O31" s="24">
        <f t="shared" si="14"/>
        <v>773.33999999999992</v>
      </c>
      <c r="P31" s="127">
        <f t="shared" si="4"/>
        <v>709.48623853210995</v>
      </c>
      <c r="Q31" s="5">
        <f t="shared" si="16"/>
        <v>63.853761467889967</v>
      </c>
      <c r="R31" s="94">
        <f t="shared" si="15"/>
        <v>1.2888999999999999</v>
      </c>
      <c r="S31" s="71"/>
      <c r="T31" s="61"/>
      <c r="U31" s="13"/>
    </row>
    <row r="32" spans="1:2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431.67</v>
      </c>
      <c r="G32" s="127">
        <v>86.67</v>
      </c>
      <c r="H32" s="127">
        <f>46.67+46.67+46.67</f>
        <v>140.01</v>
      </c>
      <c r="I32" s="127"/>
      <c r="J32" s="127"/>
      <c r="K32" s="127"/>
      <c r="L32" s="127"/>
      <c r="M32" s="127"/>
      <c r="N32" s="127">
        <v>178.33</v>
      </c>
      <c r="O32" s="24">
        <f t="shared" si="14"/>
        <v>836.68000000000006</v>
      </c>
      <c r="P32" s="127">
        <f t="shared" si="4"/>
        <v>767.59633027522932</v>
      </c>
      <c r="Q32" s="5">
        <f t="shared" si="16"/>
        <v>69.083669724770743</v>
      </c>
      <c r="R32" s="94">
        <f t="shared" si="15"/>
        <v>2.7889333333333335</v>
      </c>
      <c r="S32" s="71"/>
      <c r="T32" s="61">
        <v>300</v>
      </c>
      <c r="U32" s="13">
        <f t="shared" si="19"/>
        <v>836.68000000000006</v>
      </c>
    </row>
    <row r="33" spans="1:2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37.33</v>
      </c>
      <c r="F33" s="127">
        <f>94.67+1718</f>
        <v>1812.67</v>
      </c>
      <c r="G33" s="127">
        <f>15.33+203.33</f>
        <v>218.66000000000003</v>
      </c>
      <c r="H33" s="127">
        <f>37.33+18.67+74.67</f>
        <v>130.67000000000002</v>
      </c>
      <c r="I33" s="127"/>
      <c r="J33" s="127"/>
      <c r="K33" s="127"/>
      <c r="L33" s="127"/>
      <c r="M33" s="127"/>
      <c r="N33" s="127">
        <f>56+1543.33</f>
        <v>1599.33</v>
      </c>
      <c r="O33" s="24">
        <f t="shared" si="14"/>
        <v>3798.66</v>
      </c>
      <c r="P33" s="127">
        <f t="shared" si="4"/>
        <v>3485.009174311926</v>
      </c>
      <c r="Q33" s="5">
        <f t="shared" si="16"/>
        <v>313.65082568807384</v>
      </c>
      <c r="R33" s="94">
        <f t="shared" si="15"/>
        <v>31.6555</v>
      </c>
      <c r="S33" s="71"/>
      <c r="T33" s="61">
        <v>480</v>
      </c>
      <c r="U33" s="13">
        <f t="shared" si="19"/>
        <v>15194.64</v>
      </c>
    </row>
    <row r="34" spans="1:2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1008</v>
      </c>
      <c r="O34" s="24">
        <f t="shared" si="14"/>
        <v>1008</v>
      </c>
      <c r="P34" s="127">
        <f t="shared" si="4"/>
        <v>924.77064220183479</v>
      </c>
      <c r="Q34" s="5">
        <f t="shared" si="16"/>
        <v>83.229357798165211</v>
      </c>
      <c r="R34" s="94">
        <f t="shared" si="15"/>
        <v>1.8666666666666667</v>
      </c>
      <c r="S34" s="71"/>
      <c r="T34" s="61"/>
      <c r="U34" s="13"/>
    </row>
    <row r="35" spans="1:2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24">
        <f t="shared" si="14"/>
        <v>0</v>
      </c>
      <c r="P35" s="127">
        <f t="shared" si="4"/>
        <v>0</v>
      </c>
      <c r="Q35" s="5">
        <f t="shared" si="16"/>
        <v>0</v>
      </c>
      <c r="R35" s="94">
        <f t="shared" si="15"/>
        <v>0</v>
      </c>
      <c r="S35" s="71"/>
      <c r="T35" s="61">
        <v>270</v>
      </c>
      <c r="U35" s="13">
        <f t="shared" si="19"/>
        <v>0</v>
      </c>
    </row>
    <row r="36" spans="1:2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33.6</v>
      </c>
      <c r="F36" s="127">
        <v>100.8</v>
      </c>
      <c r="G36" s="127">
        <v>33.6</v>
      </c>
      <c r="H36" s="127"/>
      <c r="I36" s="127"/>
      <c r="J36" s="127"/>
      <c r="K36" s="127"/>
      <c r="L36" s="127"/>
      <c r="M36" s="127"/>
      <c r="N36" s="127">
        <v>235.2</v>
      </c>
      <c r="O36" s="24">
        <f t="shared" si="14"/>
        <v>403.2</v>
      </c>
      <c r="P36" s="127">
        <f t="shared" si="4"/>
        <v>369.90825688073392</v>
      </c>
      <c r="Q36" s="5">
        <f t="shared" si="16"/>
        <v>33.291743119266073</v>
      </c>
      <c r="R36" s="94">
        <f t="shared" si="15"/>
        <v>3.7333333333333334</v>
      </c>
      <c r="S36" s="71"/>
      <c r="T36" s="61">
        <v>432</v>
      </c>
      <c r="U36" s="13">
        <f t="shared" si="19"/>
        <v>1612.8</v>
      </c>
    </row>
    <row r="37" spans="1:2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280</v>
      </c>
      <c r="F37" s="127">
        <v>93.33</v>
      </c>
      <c r="G37" s="127"/>
      <c r="H37" s="127">
        <v>93.33</v>
      </c>
      <c r="I37" s="127"/>
      <c r="J37" s="127"/>
      <c r="K37" s="127"/>
      <c r="L37" s="127"/>
      <c r="M37" s="127"/>
      <c r="N37" s="127">
        <v>93.33</v>
      </c>
      <c r="O37" s="24">
        <f t="shared" si="14"/>
        <v>559.99</v>
      </c>
      <c r="P37" s="127">
        <f t="shared" si="4"/>
        <v>513.75229357798162</v>
      </c>
      <c r="Q37" s="5">
        <f t="shared" si="16"/>
        <v>46.237706422018391</v>
      </c>
      <c r="R37" s="94">
        <f t="shared" si="15"/>
        <v>0.62221111111111116</v>
      </c>
      <c r="S37" s="71"/>
      <c r="T37" s="61"/>
      <c r="U37" s="13"/>
    </row>
    <row r="38" spans="1:2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46.67</v>
      </c>
      <c r="F38" s="127">
        <v>93.33</v>
      </c>
      <c r="G38" s="127">
        <v>46.67</v>
      </c>
      <c r="H38" s="127"/>
      <c r="I38" s="127"/>
      <c r="J38" s="127"/>
      <c r="K38" s="127"/>
      <c r="L38" s="127"/>
      <c r="M38" s="127"/>
      <c r="N38" s="127"/>
      <c r="O38" s="24">
        <f t="shared" si="14"/>
        <v>186.67000000000002</v>
      </c>
      <c r="P38" s="127">
        <f t="shared" si="4"/>
        <v>171.25688073394497</v>
      </c>
      <c r="Q38" s="5">
        <f t="shared" si="16"/>
        <v>15.413119266055048</v>
      </c>
      <c r="R38" s="94">
        <f t="shared" si="15"/>
        <v>0.41482222222222226</v>
      </c>
      <c r="S38" s="71"/>
      <c r="T38" s="61">
        <v>450</v>
      </c>
      <c r="U38" s="13">
        <f t="shared" si="19"/>
        <v>186.67000000000002</v>
      </c>
    </row>
    <row r="39" spans="1:2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18.67+74.67</f>
        <v>93.34</v>
      </c>
      <c r="F39" s="127">
        <f>66+2090</f>
        <v>2156</v>
      </c>
      <c r="G39" s="127">
        <v>93.33</v>
      </c>
      <c r="H39" s="127">
        <f>18.67+18.67+56+74.67+18.67</f>
        <v>186.68</v>
      </c>
      <c r="I39" s="127"/>
      <c r="J39" s="127"/>
      <c r="K39" s="127"/>
      <c r="L39" s="127"/>
      <c r="M39" s="127"/>
      <c r="N39" s="127">
        <f>56+1101.33</f>
        <v>1157.33</v>
      </c>
      <c r="O39" s="24">
        <f t="shared" si="14"/>
        <v>3686.68</v>
      </c>
      <c r="P39" s="127">
        <f t="shared" si="4"/>
        <v>3382.2752293577978</v>
      </c>
      <c r="Q39" s="5">
        <f t="shared" si="16"/>
        <v>304.40477064220204</v>
      </c>
      <c r="R39" s="94">
        <f t="shared" si="15"/>
        <v>20.481555555555556</v>
      </c>
      <c r="S39" s="71"/>
      <c r="T39" s="61">
        <v>720</v>
      </c>
      <c r="U39" s="13">
        <f t="shared" si="19"/>
        <v>14746.72</v>
      </c>
    </row>
    <row r="40" spans="1:2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168</v>
      </c>
      <c r="O40" s="24">
        <f t="shared" si="14"/>
        <v>168</v>
      </c>
      <c r="P40" s="127">
        <f t="shared" si="4"/>
        <v>154.12844036697246</v>
      </c>
      <c r="Q40" s="5">
        <f t="shared" si="16"/>
        <v>13.871559633027545</v>
      </c>
      <c r="R40" s="94">
        <f t="shared" si="15"/>
        <v>0.2074074074074074</v>
      </c>
      <c r="S40" s="71"/>
      <c r="T40" s="61"/>
      <c r="U40" s="13"/>
    </row>
    <row r="41" spans="1:2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24">
        <f t="shared" si="14"/>
        <v>0</v>
      </c>
      <c r="P41" s="127">
        <f t="shared" si="4"/>
        <v>0</v>
      </c>
      <c r="Q41" s="5">
        <f t="shared" si="16"/>
        <v>0</v>
      </c>
      <c r="R41" s="94">
        <f t="shared" si="15"/>
        <v>0</v>
      </c>
      <c r="S41" s="71"/>
      <c r="T41" s="61">
        <v>405</v>
      </c>
      <c r="U41" s="13">
        <f t="shared" si="19"/>
        <v>0</v>
      </c>
    </row>
    <row r="42" spans="1:2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>
        <v>16.8</v>
      </c>
      <c r="F42" s="221">
        <v>184.8</v>
      </c>
      <c r="G42" s="221">
        <v>16.8</v>
      </c>
      <c r="H42" s="221"/>
      <c r="I42" s="221"/>
      <c r="J42" s="221"/>
      <c r="K42" s="221"/>
      <c r="L42" s="221"/>
      <c r="M42" s="221"/>
      <c r="N42" s="221">
        <f>16.8+184.8</f>
        <v>201.60000000000002</v>
      </c>
      <c r="O42" s="243">
        <f t="shared" si="14"/>
        <v>420.00000000000006</v>
      </c>
      <c r="P42" s="221">
        <f t="shared" si="4"/>
        <v>385.32110091743124</v>
      </c>
      <c r="Q42" s="26">
        <f t="shared" si="16"/>
        <v>34.678899082568819</v>
      </c>
      <c r="R42" s="244">
        <f t="shared" si="15"/>
        <v>2.592592592592593</v>
      </c>
      <c r="S42" s="71"/>
      <c r="T42" s="61">
        <v>648</v>
      </c>
      <c r="U42" s="13">
        <f t="shared" si="19"/>
        <v>1680.0000000000002</v>
      </c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92.82</v>
      </c>
      <c r="F43" s="124">
        <v>7263.89</v>
      </c>
      <c r="G43" s="124">
        <v>896.77</v>
      </c>
      <c r="H43" s="124">
        <v>1280.33</v>
      </c>
      <c r="I43" s="124"/>
      <c r="J43" s="124"/>
      <c r="K43" s="124"/>
      <c r="L43" s="124"/>
      <c r="M43" s="124"/>
      <c r="N43" s="124">
        <v>14.58</v>
      </c>
      <c r="O43" s="6">
        <f t="shared" si="14"/>
        <v>9548.39</v>
      </c>
      <c r="P43" s="124">
        <f t="shared" si="4"/>
        <v>8759.9908256880717</v>
      </c>
      <c r="Q43" s="6">
        <f t="shared" si="16"/>
        <v>788.39917431192771</v>
      </c>
      <c r="R43" s="22">
        <f t="shared" si="15"/>
        <v>954.83899999999994</v>
      </c>
      <c r="S43" s="71"/>
      <c r="T43" s="61">
        <v>649</v>
      </c>
      <c r="U43" s="13">
        <f t="shared" si="19"/>
        <v>619690.51099999994</v>
      </c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187.78</v>
      </c>
      <c r="F44" s="82">
        <f>+SUM(F45:F53)</f>
        <v>9611.4399999999987</v>
      </c>
      <c r="G44" s="82">
        <f t="shared" ref="G44:R44" si="20">+SUM(G45:G53)</f>
        <v>1133.6600000000001</v>
      </c>
      <c r="H44" s="82">
        <f t="shared" si="20"/>
        <v>338.41</v>
      </c>
      <c r="I44" s="82">
        <f t="shared" si="20"/>
        <v>0</v>
      </c>
      <c r="J44" s="82">
        <f t="shared" si="20"/>
        <v>0</v>
      </c>
      <c r="K44" s="82">
        <f t="shared" si="20"/>
        <v>0</v>
      </c>
      <c r="L44" s="82">
        <f t="shared" si="20"/>
        <v>0</v>
      </c>
      <c r="M44" s="100">
        <f t="shared" si="20"/>
        <v>0</v>
      </c>
      <c r="N44" s="100">
        <f t="shared" si="20"/>
        <v>722.3</v>
      </c>
      <c r="O44" s="42">
        <f>+SUM(O45:O53)</f>
        <v>11993.590000000002</v>
      </c>
      <c r="P44" s="82">
        <f t="shared" si="20"/>
        <v>11003.293577981651</v>
      </c>
      <c r="Q44" s="77">
        <f t="shared" si="20"/>
        <v>990.29642201834918</v>
      </c>
      <c r="R44" s="44">
        <f t="shared" si="20"/>
        <v>477.16666666666663</v>
      </c>
      <c r="S44" s="71"/>
      <c r="T44" s="61"/>
      <c r="U44" s="105">
        <f>+SUM(U45:U61)</f>
        <v>5476.91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24">
        <f t="shared" ref="O45:O53" si="21">+SUM(E45:N45)</f>
        <v>0</v>
      </c>
      <c r="P45" s="127">
        <f t="shared" si="4"/>
        <v>0</v>
      </c>
      <c r="Q45" s="24">
        <f t="shared" ref="Q45:Q53" si="22">+O45-P45</f>
        <v>0</v>
      </c>
      <c r="R45" s="94">
        <f t="shared" ref="R45:R53" si="23">+O45/D45</f>
        <v>0</v>
      </c>
      <c r="S45" s="71"/>
      <c r="T45" s="61"/>
      <c r="U45" s="13"/>
      <c r="W45"/>
      <c r="X45"/>
    </row>
    <row r="46" spans="1:2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24">
        <f t="shared" si="21"/>
        <v>0</v>
      </c>
      <c r="P46" s="127">
        <f t="shared" si="4"/>
        <v>0</v>
      </c>
      <c r="Q46" s="5">
        <f t="shared" si="22"/>
        <v>0</v>
      </c>
      <c r="R46" s="94">
        <f t="shared" si="23"/>
        <v>0</v>
      </c>
      <c r="S46" s="71"/>
      <c r="T46" s="61">
        <v>6</v>
      </c>
      <c r="U46" s="13">
        <f t="shared" ref="U46:U47" si="24">+R46*T46</f>
        <v>0</v>
      </c>
    </row>
    <row r="47" spans="1:2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24">
        <f t="shared" si="21"/>
        <v>0</v>
      </c>
      <c r="P47" s="127">
        <f t="shared" si="4"/>
        <v>0</v>
      </c>
      <c r="Q47" s="5">
        <f t="shared" si="22"/>
        <v>0</v>
      </c>
      <c r="R47" s="94">
        <f t="shared" si="23"/>
        <v>0</v>
      </c>
      <c r="S47" s="71"/>
      <c r="T47" s="61">
        <v>9.6</v>
      </c>
      <c r="U47" s="13">
        <f t="shared" si="24"/>
        <v>0</v>
      </c>
    </row>
    <row r="48" spans="1:2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/>
      <c r="F48" s="127">
        <v>406</v>
      </c>
      <c r="G48" s="127">
        <v>28</v>
      </c>
      <c r="H48" s="127">
        <v>14</v>
      </c>
      <c r="I48" s="127"/>
      <c r="J48" s="127"/>
      <c r="K48" s="127"/>
      <c r="L48" s="127"/>
      <c r="M48" s="127"/>
      <c r="N48" s="127">
        <v>49</v>
      </c>
      <c r="O48" s="24">
        <f t="shared" si="21"/>
        <v>497</v>
      </c>
      <c r="P48" s="127">
        <f t="shared" si="4"/>
        <v>455.96330275229354</v>
      </c>
      <c r="Q48" s="5">
        <f t="shared" si="22"/>
        <v>41.036697247706456</v>
      </c>
      <c r="R48" s="94">
        <f t="shared" si="23"/>
        <v>23.666666666666668</v>
      </c>
      <c r="S48" s="71"/>
      <c r="T48" s="61"/>
      <c r="U48" s="13"/>
      <c r="W48" s="2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31.5</v>
      </c>
      <c r="G49" s="127">
        <v>17.5</v>
      </c>
      <c r="H49" s="127"/>
      <c r="I49" s="127"/>
      <c r="J49" s="127"/>
      <c r="K49" s="127"/>
      <c r="L49" s="127"/>
      <c r="M49" s="127"/>
      <c r="N49" s="127"/>
      <c r="O49" s="24">
        <f t="shared" si="21"/>
        <v>49</v>
      </c>
      <c r="P49" s="127">
        <f t="shared" si="4"/>
        <v>44.954128440366972</v>
      </c>
      <c r="Q49" s="5">
        <f t="shared" si="22"/>
        <v>4.0458715596330279</v>
      </c>
      <c r="R49" s="94">
        <f t="shared" si="23"/>
        <v>4.666666666666667</v>
      </c>
      <c r="S49" s="71"/>
      <c r="T49" s="61">
        <v>10.5</v>
      </c>
      <c r="U49" s="13">
        <f t="shared" ref="U49:U50" si="25">+R49*T49</f>
        <v>49</v>
      </c>
      <c r="W49" s="2"/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/>
      <c r="F50" s="127">
        <v>254.8</v>
      </c>
      <c r="G50" s="127">
        <v>23.8</v>
      </c>
      <c r="H50" s="127">
        <v>4.2</v>
      </c>
      <c r="I50" s="127"/>
      <c r="J50" s="127"/>
      <c r="K50" s="127"/>
      <c r="L50" s="127"/>
      <c r="M50" s="127"/>
      <c r="N50" s="127">
        <v>37.799999999999997</v>
      </c>
      <c r="O50" s="24">
        <f t="shared" si="21"/>
        <v>320.60000000000002</v>
      </c>
      <c r="P50" s="127">
        <f t="shared" si="4"/>
        <v>294.12844036697248</v>
      </c>
      <c r="Q50" s="5">
        <f t="shared" si="22"/>
        <v>26.471559633027539</v>
      </c>
      <c r="R50" s="94">
        <f t="shared" si="23"/>
        <v>76.333333333333329</v>
      </c>
      <c r="S50" s="71"/>
      <c r="T50" s="61">
        <v>16.8</v>
      </c>
      <c r="U50" s="13">
        <f t="shared" si="25"/>
        <v>1282.3999999999999</v>
      </c>
      <c r="W50" s="2"/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139.4</v>
      </c>
      <c r="F51" s="127">
        <v>7835.1</v>
      </c>
      <c r="G51" s="127">
        <v>988.1</v>
      </c>
      <c r="H51" s="127">
        <v>291.10000000000002</v>
      </c>
      <c r="I51" s="127"/>
      <c r="J51" s="127"/>
      <c r="K51" s="127"/>
      <c r="L51" s="127"/>
      <c r="M51" s="127"/>
      <c r="N51" s="127">
        <v>487.9</v>
      </c>
      <c r="O51" s="24">
        <f t="shared" si="21"/>
        <v>9741.6</v>
      </c>
      <c r="P51" s="127">
        <f t="shared" si="4"/>
        <v>8937.2477064220184</v>
      </c>
      <c r="Q51" s="5">
        <f t="shared" si="22"/>
        <v>804.35229357798198</v>
      </c>
      <c r="R51" s="94">
        <f t="shared" si="23"/>
        <v>237.60000000000002</v>
      </c>
      <c r="S51" s="71"/>
      <c r="T51" s="61"/>
      <c r="U51" s="13"/>
      <c r="W51" s="2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36.9</v>
      </c>
      <c r="F52" s="123">
        <v>381.3</v>
      </c>
      <c r="G52" s="123">
        <v>32.799999999999997</v>
      </c>
      <c r="H52" s="123">
        <v>10.25</v>
      </c>
      <c r="I52" s="123"/>
      <c r="J52" s="123"/>
      <c r="K52" s="123"/>
      <c r="L52" s="127"/>
      <c r="M52" s="127"/>
      <c r="N52" s="123">
        <v>4.0999999999999996</v>
      </c>
      <c r="O52" s="24">
        <f t="shared" si="21"/>
        <v>465.35</v>
      </c>
      <c r="P52" s="127">
        <f t="shared" si="4"/>
        <v>426.92660550458714</v>
      </c>
      <c r="Q52" s="5">
        <f t="shared" si="22"/>
        <v>38.423394495412879</v>
      </c>
      <c r="R52" s="94">
        <f t="shared" si="23"/>
        <v>22.700000000000003</v>
      </c>
      <c r="S52" s="71"/>
      <c r="T52" s="61">
        <v>20.5</v>
      </c>
      <c r="U52" s="13">
        <f t="shared" ref="U52:U53" si="26">+R52*T52</f>
        <v>465.35000000000008</v>
      </c>
      <c r="W52" s="2"/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11.48</v>
      </c>
      <c r="F53" s="199">
        <f>1.64+701.1</f>
        <v>702.74</v>
      </c>
      <c r="G53" s="199">
        <f>9.02+34.44</f>
        <v>43.459999999999994</v>
      </c>
      <c r="H53" s="199">
        <v>18.86</v>
      </c>
      <c r="I53" s="199"/>
      <c r="J53" s="199"/>
      <c r="K53" s="199"/>
      <c r="L53" s="199"/>
      <c r="M53" s="148"/>
      <c r="N53" s="199">
        <f>5.74+137.76</f>
        <v>143.5</v>
      </c>
      <c r="O53" s="6">
        <f t="shared" si="21"/>
        <v>920.04000000000008</v>
      </c>
      <c r="P53" s="140">
        <f t="shared" si="4"/>
        <v>844.0733944954128</v>
      </c>
      <c r="Q53" s="6">
        <f t="shared" si="22"/>
        <v>75.966605504587278</v>
      </c>
      <c r="R53" s="22">
        <f t="shared" si="23"/>
        <v>112.20000000000002</v>
      </c>
      <c r="S53" s="71"/>
      <c r="T53" s="61">
        <v>32.799999999999997</v>
      </c>
      <c r="U53" s="13">
        <f t="shared" si="26"/>
        <v>3680.1600000000003</v>
      </c>
      <c r="W53" s="2"/>
    </row>
    <row r="54" spans="1:23" x14ac:dyDescent="0.25">
      <c r="F54" s="2"/>
      <c r="G54" s="2"/>
      <c r="H54" s="2"/>
      <c r="I54" s="2"/>
      <c r="J54" s="2"/>
      <c r="K54" s="2"/>
      <c r="L54" s="2"/>
      <c r="O54" s="2"/>
      <c r="P54" s="2"/>
      <c r="Q54" s="2"/>
      <c r="R54" s="2"/>
    </row>
    <row r="66" spans="2:2" x14ac:dyDescent="0.25">
      <c r="B66" s="1"/>
    </row>
  </sheetData>
  <mergeCells count="18">
    <mergeCell ref="F3:F4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X74"/>
  <sheetViews>
    <sheetView zoomScaleNormal="100" workbookViewId="0">
      <pane xSplit="4" ySplit="5" topLeftCell="O6" activePane="bottomRight" state="frozen"/>
      <selection pane="topRight" activeCell="E1" sqref="E1"/>
      <selection pane="bottomLeft" activeCell="A6" sqref="A6"/>
      <selection pane="bottomRight" activeCell="G30" sqref="G30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1093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4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24" s="141" customFormat="1" ht="22.2" customHeight="1" x14ac:dyDescent="0.3">
      <c r="A2" s="40" t="s">
        <v>241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"/>
      <c r="P2" s="1"/>
      <c r="Q2" s="1"/>
      <c r="R2" s="1"/>
      <c r="S2" s="1"/>
      <c r="T2" s="1"/>
      <c r="U2" s="2"/>
      <c r="V2" s="1"/>
      <c r="X2" s="1"/>
    </row>
    <row r="3" spans="1:24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3"/>
      <c r="Q3" s="1"/>
      <c r="R3" s="3"/>
      <c r="S3" s="1"/>
      <c r="T3" s="1"/>
      <c r="U3" s="2"/>
      <c r="V3" s="1"/>
      <c r="X3" s="1"/>
    </row>
    <row r="4" spans="1:24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80" t="s">
        <v>178</v>
      </c>
      <c r="O4" s="590" t="s">
        <v>43</v>
      </c>
      <c r="P4" s="590" t="s">
        <v>44</v>
      </c>
      <c r="Q4" s="590" t="s">
        <v>41</v>
      </c>
      <c r="R4" s="590" t="s">
        <v>149</v>
      </c>
      <c r="S4" s="1"/>
      <c r="T4" s="61"/>
      <c r="U4" s="584" t="s">
        <v>148</v>
      </c>
      <c r="V4" s="1"/>
      <c r="X4" s="1"/>
    </row>
    <row r="5" spans="1:24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207</v>
      </c>
      <c r="M5" s="575"/>
      <c r="N5" s="581"/>
      <c r="O5" s="591"/>
      <c r="P5" s="592"/>
      <c r="Q5" s="592"/>
      <c r="R5" s="592"/>
      <c r="S5" s="1"/>
      <c r="T5" s="87"/>
      <c r="U5" s="585"/>
      <c r="V5" s="1"/>
      <c r="X5" s="1"/>
    </row>
    <row r="6" spans="1:24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R6" si="0">+E7+E19+E45</f>
        <v>96622.51</v>
      </c>
      <c r="F6" s="82">
        <f t="shared" si="0"/>
        <v>4060336.04</v>
      </c>
      <c r="G6" s="82">
        <f t="shared" si="0"/>
        <v>619342.35</v>
      </c>
      <c r="H6" s="82">
        <f t="shared" si="0"/>
        <v>84306.63</v>
      </c>
      <c r="I6" s="82">
        <f t="shared" si="0"/>
        <v>550200</v>
      </c>
      <c r="J6" s="187">
        <f t="shared" si="0"/>
        <v>882339.85</v>
      </c>
      <c r="K6" s="187">
        <f t="shared" si="0"/>
        <v>889301.82000000018</v>
      </c>
      <c r="L6" s="187">
        <f t="shared" si="0"/>
        <v>2609.7200000001126</v>
      </c>
      <c r="M6" s="187">
        <f t="shared" si="0"/>
        <v>2191.98</v>
      </c>
      <c r="N6" s="19">
        <f t="shared" si="0"/>
        <v>402992.66</v>
      </c>
      <c r="O6" s="42">
        <f t="shared" si="0"/>
        <v>7590243.5600000005</v>
      </c>
      <c r="P6" s="42">
        <f t="shared" si="0"/>
        <v>6963526.2018348631</v>
      </c>
      <c r="Q6" s="42">
        <f t="shared" si="0"/>
        <v>626717.35816513817</v>
      </c>
      <c r="R6" s="42">
        <f t="shared" si="0"/>
        <v>2057686.0546444445</v>
      </c>
      <c r="S6" s="71"/>
      <c r="T6" s="87"/>
      <c r="U6" s="135">
        <f>+U8+U19+U45</f>
        <v>4343447.5</v>
      </c>
      <c r="V6" s="1"/>
      <c r="X6" s="1"/>
    </row>
    <row r="7" spans="1:24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R7" si="1">+E8+E12</f>
        <v>29002.48</v>
      </c>
      <c r="F7" s="82">
        <f t="shared" si="1"/>
        <v>1436594.2800000003</v>
      </c>
      <c r="G7" s="82">
        <f t="shared" si="1"/>
        <v>212952.58</v>
      </c>
      <c r="H7" s="82">
        <f t="shared" si="1"/>
        <v>28936.420000000002</v>
      </c>
      <c r="I7" s="82">
        <f t="shared" si="1"/>
        <v>550200</v>
      </c>
      <c r="J7" s="187">
        <f t="shared" si="1"/>
        <v>882339.85</v>
      </c>
      <c r="K7" s="187">
        <f t="shared" si="1"/>
        <v>889301.82000000018</v>
      </c>
      <c r="L7" s="187">
        <f t="shared" si="1"/>
        <v>2609.7200000001126</v>
      </c>
      <c r="M7" s="187">
        <f t="shared" si="1"/>
        <v>1821.38</v>
      </c>
      <c r="N7" s="19">
        <f t="shared" si="1"/>
        <v>144696.18</v>
      </c>
      <c r="O7" s="42">
        <f t="shared" si="1"/>
        <v>4178454.7100000004</v>
      </c>
      <c r="P7" s="42">
        <f t="shared" si="1"/>
        <v>3833444.6880733948</v>
      </c>
      <c r="Q7" s="42">
        <f t="shared" si="1"/>
        <v>345010.02192660572</v>
      </c>
      <c r="R7" s="44">
        <f t="shared" si="1"/>
        <v>1971062</v>
      </c>
      <c r="S7" s="1"/>
      <c r="T7" s="61"/>
      <c r="U7" s="13"/>
      <c r="V7" s="1"/>
      <c r="X7" s="1"/>
    </row>
    <row r="8" spans="1:24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2">+SUM(E9:E11)</f>
        <v>0</v>
      </c>
      <c r="F8" s="219">
        <f t="shared" si="2"/>
        <v>0</v>
      </c>
      <c r="G8" s="79">
        <f t="shared" si="2"/>
        <v>0</v>
      </c>
      <c r="H8" s="79">
        <f t="shared" si="2"/>
        <v>0</v>
      </c>
      <c r="I8" s="126">
        <f t="shared" si="2"/>
        <v>550200</v>
      </c>
      <c r="J8" s="126">
        <f t="shared" si="2"/>
        <v>882339.85</v>
      </c>
      <c r="K8" s="79">
        <f t="shared" si="2"/>
        <v>0</v>
      </c>
      <c r="L8" s="79">
        <f t="shared" si="2"/>
        <v>0</v>
      </c>
      <c r="M8" s="79">
        <f t="shared" ref="M8:R8" si="3">+SUM(M9:M11)</f>
        <v>0</v>
      </c>
      <c r="N8" s="79">
        <f t="shared" si="3"/>
        <v>0</v>
      </c>
      <c r="O8" s="43">
        <f t="shared" si="3"/>
        <v>1432539.85</v>
      </c>
      <c r="P8" s="43">
        <f t="shared" si="3"/>
        <v>1314256.7431192661</v>
      </c>
      <c r="Q8" s="43">
        <f t="shared" si="3"/>
        <v>118283.10688073398</v>
      </c>
      <c r="R8" s="45">
        <f t="shared" si="3"/>
        <v>518903</v>
      </c>
      <c r="S8" s="71"/>
      <c r="T8" s="134"/>
      <c r="U8" s="105">
        <f>+SUM(U9:U18)</f>
        <v>886108.59</v>
      </c>
      <c r="W8" s="138"/>
    </row>
    <row r="9" spans="1:24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400015</v>
      </c>
      <c r="J9" s="127">
        <v>656134.5</v>
      </c>
      <c r="K9" s="36"/>
      <c r="L9" s="36"/>
      <c r="M9" s="36"/>
      <c r="N9" s="36"/>
      <c r="O9" s="5">
        <f>+SUM(E9:N9)</f>
        <v>1056149.5</v>
      </c>
      <c r="P9" s="5">
        <f t="shared" ref="P9:P11" si="4">+O9/1.09</f>
        <v>968944.495412844</v>
      </c>
      <c r="Q9" s="5">
        <f t="shared" ref="Q9:Q11" si="5">+O9-P9</f>
        <v>87205.004587156</v>
      </c>
      <c r="R9" s="21">
        <f>O9/D9</f>
        <v>301757</v>
      </c>
      <c r="S9" s="71"/>
      <c r="T9" s="61"/>
      <c r="U9" s="13"/>
      <c r="V9" s="2"/>
      <c r="X9" s="1"/>
    </row>
    <row r="10" spans="1:24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6">+D9*0.5</f>
        <v>1.75</v>
      </c>
      <c r="E10" s="122"/>
      <c r="F10" s="17"/>
      <c r="G10" s="13"/>
      <c r="H10" s="13"/>
      <c r="I10" s="127">
        <v>148550.5</v>
      </c>
      <c r="J10" s="127">
        <v>225429.75</v>
      </c>
      <c r="K10" s="143"/>
      <c r="L10" s="143"/>
      <c r="M10" s="143"/>
      <c r="N10" s="143"/>
      <c r="O10" s="5">
        <f>+SUM(E10:N10)</f>
        <v>373980.25</v>
      </c>
      <c r="P10" s="6">
        <f t="shared" si="4"/>
        <v>343101.14678899082</v>
      </c>
      <c r="Q10" s="6">
        <f t="shared" si="5"/>
        <v>30879.103211009176</v>
      </c>
      <c r="R10" s="22">
        <f>O10/D10</f>
        <v>213703</v>
      </c>
      <c r="S10" s="71"/>
      <c r="T10" s="61">
        <v>1.75</v>
      </c>
      <c r="U10" s="13">
        <f>+R10*T10</f>
        <v>373980.25</v>
      </c>
      <c r="V10" s="1"/>
      <c r="X10" s="1"/>
    </row>
    <row r="11" spans="1:24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1634.5</v>
      </c>
      <c r="J11" s="144">
        <v>775.6</v>
      </c>
      <c r="K11" s="144"/>
      <c r="L11" s="144"/>
      <c r="M11" s="144"/>
      <c r="N11" s="144"/>
      <c r="O11" s="26">
        <f>+SUM(E11:N11)</f>
        <v>2410.1</v>
      </c>
      <c r="P11" s="26">
        <f t="shared" si="4"/>
        <v>2211.1009174311926</v>
      </c>
      <c r="Q11" s="26">
        <f t="shared" si="5"/>
        <v>198.99908256880735</v>
      </c>
      <c r="R11" s="39">
        <f>O11/D11</f>
        <v>3443</v>
      </c>
      <c r="S11" s="71"/>
      <c r="T11" s="107">
        <v>2.8</v>
      </c>
      <c r="U11" s="13">
        <f>+R11*T11</f>
        <v>9640.4</v>
      </c>
      <c r="V11" s="2"/>
      <c r="W11" s="138"/>
      <c r="X11" s="2"/>
    </row>
    <row r="12" spans="1:24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09">
        <f t="shared" ref="E12:R12" si="7">+SUM(E13:E18)</f>
        <v>29002.48</v>
      </c>
      <c r="F12" s="84">
        <f t="shared" si="7"/>
        <v>1436594.2800000003</v>
      </c>
      <c r="G12" s="84">
        <f t="shared" si="7"/>
        <v>212952.58</v>
      </c>
      <c r="H12" s="84">
        <f t="shared" si="7"/>
        <v>28936.420000000002</v>
      </c>
      <c r="I12" s="84">
        <f t="shared" si="7"/>
        <v>0</v>
      </c>
      <c r="J12" s="74">
        <f t="shared" si="7"/>
        <v>0</v>
      </c>
      <c r="K12" s="101">
        <f t="shared" si="7"/>
        <v>889301.82000000018</v>
      </c>
      <c r="L12" s="101">
        <f t="shared" si="7"/>
        <v>2609.7200000001126</v>
      </c>
      <c r="M12" s="101">
        <f t="shared" si="7"/>
        <v>1821.38</v>
      </c>
      <c r="N12" s="101">
        <f t="shared" si="7"/>
        <v>144696.18</v>
      </c>
      <c r="O12" s="43">
        <f t="shared" si="7"/>
        <v>2745914.8600000003</v>
      </c>
      <c r="P12" s="43">
        <f t="shared" si="7"/>
        <v>2519187.9449541285</v>
      </c>
      <c r="Q12" s="43">
        <f t="shared" si="7"/>
        <v>226726.91504587175</v>
      </c>
      <c r="R12" s="45">
        <f t="shared" si="7"/>
        <v>1452159</v>
      </c>
      <c r="S12" s="71"/>
      <c r="T12" s="61"/>
      <c r="U12" s="13"/>
      <c r="V12" s="1"/>
      <c r="X12" s="1"/>
    </row>
    <row r="13" spans="1:24" x14ac:dyDescent="0.25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23335.4</v>
      </c>
      <c r="F13" s="13">
        <v>1095397.6000000001</v>
      </c>
      <c r="G13" s="13">
        <v>156932.6</v>
      </c>
      <c r="H13" s="13">
        <v>21443.4</v>
      </c>
      <c r="I13" s="13"/>
      <c r="J13" s="33"/>
      <c r="K13" s="33">
        <v>696636.60000000009</v>
      </c>
      <c r="L13" s="33">
        <v>2030.6000000000931</v>
      </c>
      <c r="M13" s="33">
        <v>1223.2</v>
      </c>
      <c r="N13" s="127">
        <v>128350.2</v>
      </c>
      <c r="O13" s="5">
        <f t="shared" ref="O13:O18" si="8">+SUM(E13:N13)</f>
        <v>2125349.6</v>
      </c>
      <c r="P13" s="5">
        <f t="shared" ref="P13:P18" si="9">+O13/1.09</f>
        <v>1949862.0183486238</v>
      </c>
      <c r="Q13" s="5">
        <f t="shared" ref="Q13:Q18" si="10">+O13-P13</f>
        <v>175487.58165137633</v>
      </c>
      <c r="R13" s="21">
        <f t="shared" ref="R13:R18" si="11">O13/D13</f>
        <v>966068</v>
      </c>
      <c r="S13" s="2"/>
      <c r="T13" s="61"/>
      <c r="U13" s="13"/>
    </row>
    <row r="14" spans="1:24" x14ac:dyDescent="0.25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5066.6000000000004</v>
      </c>
      <c r="F14" s="13">
        <v>317554.59999999998</v>
      </c>
      <c r="G14" s="13">
        <v>51742.9</v>
      </c>
      <c r="H14" s="13">
        <v>7228.1</v>
      </c>
      <c r="I14" s="13"/>
      <c r="J14" s="33"/>
      <c r="K14" s="33">
        <v>72081.900000000009</v>
      </c>
      <c r="L14" s="33">
        <v>202.40000000000873</v>
      </c>
      <c r="M14" s="33">
        <v>597.29999999999995</v>
      </c>
      <c r="N14" s="127">
        <v>7494.3</v>
      </c>
      <c r="O14" s="5">
        <f t="shared" si="8"/>
        <v>461968.1</v>
      </c>
      <c r="P14" s="5">
        <f t="shared" si="9"/>
        <v>423823.94495412841</v>
      </c>
      <c r="Q14" s="5">
        <f t="shared" si="10"/>
        <v>38144.155045871565</v>
      </c>
      <c r="R14" s="21">
        <f t="shared" si="11"/>
        <v>419970.99999999994</v>
      </c>
      <c r="S14" s="71"/>
      <c r="T14" s="107">
        <v>1.1000000000000001</v>
      </c>
      <c r="U14" s="13">
        <f t="shared" ref="U14:U15" si="12">+R14*T14</f>
        <v>461968.1</v>
      </c>
    </row>
    <row r="15" spans="1:24" x14ac:dyDescent="0.25">
      <c r="A15" s="58" t="s">
        <v>56</v>
      </c>
      <c r="B15" s="53" t="s">
        <v>140</v>
      </c>
      <c r="C15" s="59" t="s">
        <v>93</v>
      </c>
      <c r="D15" s="62">
        <v>0.44</v>
      </c>
      <c r="E15" s="130">
        <v>117.92</v>
      </c>
      <c r="F15" s="13">
        <v>3296.48</v>
      </c>
      <c r="G15" s="13">
        <v>544.28</v>
      </c>
      <c r="H15" s="13">
        <v>83.16</v>
      </c>
      <c r="I15" s="13"/>
      <c r="J15" s="33"/>
      <c r="K15" s="33">
        <v>1336.28</v>
      </c>
      <c r="L15" s="33">
        <v>2.6400000000001</v>
      </c>
      <c r="M15" s="33">
        <v>0.88</v>
      </c>
      <c r="N15" s="127">
        <v>103.84</v>
      </c>
      <c r="O15" s="5">
        <f t="shared" si="8"/>
        <v>5485.4800000000005</v>
      </c>
      <c r="P15" s="5">
        <f t="shared" si="9"/>
        <v>5032.5504587155965</v>
      </c>
      <c r="Q15" s="5">
        <f t="shared" si="10"/>
        <v>452.92954128440397</v>
      </c>
      <c r="R15" s="21">
        <f t="shared" si="11"/>
        <v>12467.000000000002</v>
      </c>
      <c r="S15" s="71"/>
      <c r="T15" s="61">
        <v>1.76</v>
      </c>
      <c r="U15" s="13">
        <f t="shared" si="12"/>
        <v>21941.920000000002</v>
      </c>
    </row>
    <row r="16" spans="1:24" x14ac:dyDescent="0.25">
      <c r="A16" s="58" t="s">
        <v>57</v>
      </c>
      <c r="B16" s="53" t="s">
        <v>192</v>
      </c>
      <c r="C16" s="59" t="s">
        <v>58</v>
      </c>
      <c r="D16" s="62">
        <v>3.2</v>
      </c>
      <c r="E16" s="130">
        <v>364.8</v>
      </c>
      <c r="F16" s="13">
        <v>16819.2</v>
      </c>
      <c r="G16" s="13">
        <v>2985.6</v>
      </c>
      <c r="H16" s="13">
        <v>102.4</v>
      </c>
      <c r="I16" s="13"/>
      <c r="J16" s="33"/>
      <c r="K16" s="33">
        <v>107008</v>
      </c>
      <c r="L16" s="33">
        <v>326.40000000000873</v>
      </c>
      <c r="M16" s="33"/>
      <c r="N16" s="127">
        <v>8054.4</v>
      </c>
      <c r="O16" s="5">
        <f t="shared" si="8"/>
        <v>135660.80000000002</v>
      </c>
      <c r="P16" s="5">
        <f t="shared" si="9"/>
        <v>124459.44954128441</v>
      </c>
      <c r="Q16" s="5">
        <f t="shared" si="10"/>
        <v>11201.350458715606</v>
      </c>
      <c r="R16" s="21">
        <f t="shared" si="11"/>
        <v>42394</v>
      </c>
      <c r="S16" s="71"/>
      <c r="T16" s="61"/>
      <c r="U16" s="13"/>
    </row>
    <row r="17" spans="1:24" ht="12.75" x14ac:dyDescent="0.2">
      <c r="A17" s="58" t="s">
        <v>59</v>
      </c>
      <c r="B17" s="53" t="s">
        <v>193</v>
      </c>
      <c r="C17" s="59" t="s">
        <v>94</v>
      </c>
      <c r="D17" s="62">
        <v>1.6</v>
      </c>
      <c r="E17" s="130">
        <v>115.2</v>
      </c>
      <c r="F17" s="13">
        <v>3452.8</v>
      </c>
      <c r="G17" s="13">
        <v>724.8</v>
      </c>
      <c r="H17" s="13">
        <v>76.8</v>
      </c>
      <c r="I17" s="13"/>
      <c r="J17" s="33"/>
      <c r="K17" s="33">
        <v>11992</v>
      </c>
      <c r="L17" s="33">
        <v>46.400000000001455</v>
      </c>
      <c r="M17" s="33"/>
      <c r="N17" s="127">
        <v>667.2</v>
      </c>
      <c r="O17" s="5">
        <f t="shared" si="8"/>
        <v>17075.2</v>
      </c>
      <c r="P17" s="5">
        <f t="shared" si="9"/>
        <v>15665.32110091743</v>
      </c>
      <c r="Q17" s="5">
        <f t="shared" si="10"/>
        <v>1409.8788990825706</v>
      </c>
      <c r="R17" s="21">
        <f t="shared" si="11"/>
        <v>10672</v>
      </c>
      <c r="S17" s="71"/>
      <c r="T17" s="107">
        <v>1.6</v>
      </c>
      <c r="U17" s="13">
        <f t="shared" ref="U17:U18" si="13">+R17*T17</f>
        <v>17075.2</v>
      </c>
    </row>
    <row r="18" spans="1:24" x14ac:dyDescent="0.25">
      <c r="A18" s="241" t="s">
        <v>60</v>
      </c>
      <c r="B18" s="53" t="s">
        <v>194</v>
      </c>
      <c r="C18" s="63" t="s">
        <v>95</v>
      </c>
      <c r="D18" s="63">
        <v>0.64</v>
      </c>
      <c r="E18" s="132">
        <v>2.56</v>
      </c>
      <c r="F18" s="14">
        <v>73.599999999999994</v>
      </c>
      <c r="G18" s="13">
        <v>22.4</v>
      </c>
      <c r="H18" s="14">
        <v>2.56</v>
      </c>
      <c r="I18" s="14"/>
      <c r="J18" s="76"/>
      <c r="K18" s="76">
        <v>247.04</v>
      </c>
      <c r="L18" s="76">
        <v>1.2800000000000011</v>
      </c>
      <c r="M18" s="76"/>
      <c r="N18" s="127">
        <v>26.24</v>
      </c>
      <c r="O18" s="5">
        <f t="shared" si="8"/>
        <v>375.67999999999995</v>
      </c>
      <c r="P18" s="5">
        <f t="shared" si="9"/>
        <v>344.66055045871553</v>
      </c>
      <c r="Q18" s="5">
        <f t="shared" si="10"/>
        <v>31.019449541284416</v>
      </c>
      <c r="R18" s="22">
        <f t="shared" si="11"/>
        <v>586.99999999999989</v>
      </c>
      <c r="S18" s="71"/>
      <c r="T18" s="61">
        <v>2.56</v>
      </c>
      <c r="U18" s="13">
        <f t="shared" si="13"/>
        <v>1502.7199999999998</v>
      </c>
    </row>
    <row r="19" spans="1:24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64651.83</v>
      </c>
      <c r="F19" s="118">
        <f t="shared" ref="F19:R19" si="14">+SUM(F20:F44)</f>
        <v>2518984.63</v>
      </c>
      <c r="G19" s="118">
        <f t="shared" si="14"/>
        <v>389678.27</v>
      </c>
      <c r="H19" s="118">
        <f t="shared" si="14"/>
        <v>52983.1</v>
      </c>
      <c r="I19" s="118">
        <f t="shared" si="14"/>
        <v>0</v>
      </c>
      <c r="J19" s="118">
        <f t="shared" si="14"/>
        <v>0</v>
      </c>
      <c r="K19" s="118">
        <f t="shared" si="14"/>
        <v>0</v>
      </c>
      <c r="L19" s="118">
        <f t="shared" si="14"/>
        <v>0</v>
      </c>
      <c r="M19" s="118">
        <f t="shared" si="14"/>
        <v>334.6</v>
      </c>
      <c r="N19" s="118">
        <f t="shared" si="14"/>
        <v>248237.38</v>
      </c>
      <c r="O19" s="118">
        <f t="shared" si="14"/>
        <v>3274869.81</v>
      </c>
      <c r="P19" s="118">
        <f t="shared" si="14"/>
        <v>3004467.7155963304</v>
      </c>
      <c r="Q19" s="118">
        <f t="shared" si="14"/>
        <v>270402.09440366999</v>
      </c>
      <c r="R19" s="118">
        <f t="shared" si="14"/>
        <v>65652.754644444445</v>
      </c>
      <c r="S19" s="71"/>
      <c r="T19" s="61"/>
      <c r="U19" s="105">
        <f>+SUM(U20:U43)</f>
        <v>3252605.65</v>
      </c>
    </row>
    <row r="20" spans="1:24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36930</v>
      </c>
      <c r="F20" s="92">
        <v>1392903.33</v>
      </c>
      <c r="G20" s="92">
        <v>206940</v>
      </c>
      <c r="H20" s="92">
        <v>30016.67</v>
      </c>
      <c r="I20" s="23"/>
      <c r="J20" s="34"/>
      <c r="K20" s="34"/>
      <c r="L20" s="34"/>
      <c r="M20" s="34">
        <v>170</v>
      </c>
      <c r="N20" s="34">
        <v>122296.67</v>
      </c>
      <c r="O20" s="5">
        <f t="shared" ref="O20:O44" si="15">+SUM(E20:N20)</f>
        <v>1789256.67</v>
      </c>
      <c r="P20" s="99">
        <f t="shared" ref="P20:P44" si="16">+O20/1.09</f>
        <v>1641519.8807339447</v>
      </c>
      <c r="Q20" s="24">
        <f>+O20-P20</f>
        <v>147736.78926605522</v>
      </c>
      <c r="R20" s="94">
        <f t="shared" ref="R20:R43" si="17">O20/D20</f>
        <v>17892.566699999999</v>
      </c>
      <c r="S20" s="41"/>
      <c r="T20" s="61"/>
      <c r="U20" s="106"/>
      <c r="V20"/>
      <c r="W20" s="142"/>
      <c r="X20"/>
    </row>
    <row r="21" spans="1:24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5573.33</v>
      </c>
      <c r="F21" s="48">
        <v>353141.67</v>
      </c>
      <c r="G21" s="48">
        <v>48798.33</v>
      </c>
      <c r="H21" s="48">
        <v>8586.67</v>
      </c>
      <c r="I21" s="13"/>
      <c r="J21" s="33"/>
      <c r="K21" s="33"/>
      <c r="L21" s="33"/>
      <c r="M21" s="33">
        <v>108.33</v>
      </c>
      <c r="N21" s="33">
        <v>6376.67</v>
      </c>
      <c r="O21" s="5">
        <f t="shared" si="15"/>
        <v>422585</v>
      </c>
      <c r="P21" s="5">
        <f t="shared" si="16"/>
        <v>387692.66055045871</v>
      </c>
      <c r="Q21" s="5">
        <f t="shared" ref="Q21:Q44" si="18">+O21-P21</f>
        <v>34892.339449541294</v>
      </c>
      <c r="R21" s="21">
        <f t="shared" si="17"/>
        <v>8451.7000000000007</v>
      </c>
      <c r="S21" s="41"/>
      <c r="T21" s="61">
        <v>50</v>
      </c>
      <c r="U21" s="13">
        <f t="shared" ref="U21:U22" si="19">+R21*T21</f>
        <v>422585.00000000006</v>
      </c>
      <c r="W21" s="142"/>
    </row>
    <row r="22" spans="1:24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f>1286.67+13028.67</f>
        <v>14315.34</v>
      </c>
      <c r="F22" s="95">
        <f>4865.33+506984.67</f>
        <v>511850</v>
      </c>
      <c r="G22" s="95">
        <f>733.33+88813.33</f>
        <v>89546.66</v>
      </c>
      <c r="H22" s="95">
        <v>6556</v>
      </c>
      <c r="I22" s="13"/>
      <c r="J22" s="33"/>
      <c r="K22" s="33"/>
      <c r="L22" s="33"/>
      <c r="M22" s="33">
        <v>28.67</v>
      </c>
      <c r="N22" s="33">
        <f>519.33+58045.33</f>
        <v>58564.66</v>
      </c>
      <c r="O22" s="5">
        <f t="shared" si="15"/>
        <v>680861.33000000007</v>
      </c>
      <c r="P22" s="5">
        <f t="shared" si="16"/>
        <v>624643.42201834859</v>
      </c>
      <c r="Q22" s="5">
        <f t="shared" si="18"/>
        <v>56217.907981651486</v>
      </c>
      <c r="R22" s="21">
        <f t="shared" si="17"/>
        <v>34043.066500000001</v>
      </c>
      <c r="S22" s="41"/>
      <c r="T22" s="61">
        <v>80</v>
      </c>
      <c r="U22" s="13">
        <f t="shared" si="19"/>
        <v>2723445.3200000003</v>
      </c>
      <c r="W22" s="142"/>
    </row>
    <row r="23" spans="1:24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6858</v>
      </c>
      <c r="F23" s="95">
        <v>233424</v>
      </c>
      <c r="G23" s="95">
        <v>40362</v>
      </c>
      <c r="H23" s="95">
        <v>6723</v>
      </c>
      <c r="I23" s="13"/>
      <c r="J23" s="33"/>
      <c r="K23" s="33"/>
      <c r="L23" s="33"/>
      <c r="M23" s="33">
        <v>9</v>
      </c>
      <c r="N23" s="33">
        <v>51276</v>
      </c>
      <c r="O23" s="5">
        <f t="shared" si="15"/>
        <v>338652</v>
      </c>
      <c r="P23" s="5">
        <f t="shared" si="16"/>
        <v>310689.90825688071</v>
      </c>
      <c r="Q23" s="5">
        <f t="shared" si="18"/>
        <v>27962.091743119294</v>
      </c>
      <c r="R23" s="21">
        <f t="shared" si="17"/>
        <v>3762.8</v>
      </c>
      <c r="S23" s="41"/>
      <c r="T23" s="61"/>
      <c r="U23" s="13"/>
      <c r="W23" s="142"/>
    </row>
    <row r="24" spans="1:24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330</v>
      </c>
      <c r="F24" s="95">
        <v>12574.5</v>
      </c>
      <c r="G24" s="95">
        <v>1692</v>
      </c>
      <c r="H24" s="95">
        <v>423</v>
      </c>
      <c r="I24" s="13"/>
      <c r="J24" s="33"/>
      <c r="K24" s="33"/>
      <c r="L24" s="33"/>
      <c r="M24" s="33"/>
      <c r="N24" s="33">
        <v>1707</v>
      </c>
      <c r="O24" s="5">
        <f t="shared" si="15"/>
        <v>16726.5</v>
      </c>
      <c r="P24" s="5">
        <f t="shared" si="16"/>
        <v>15345.412844036697</v>
      </c>
      <c r="Q24" s="5">
        <f t="shared" si="18"/>
        <v>1381.0871559633033</v>
      </c>
      <c r="R24" s="21">
        <f t="shared" si="17"/>
        <v>371.7</v>
      </c>
      <c r="S24" s="35"/>
      <c r="T24" s="61">
        <v>45</v>
      </c>
      <c r="U24" s="13">
        <f t="shared" ref="U24:U25" si="20">+R24*T24</f>
        <v>16726.5</v>
      </c>
      <c r="W24" s="142"/>
    </row>
    <row r="25" spans="1:24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f>70.8+411.6</f>
        <v>482.40000000000003</v>
      </c>
      <c r="F25" s="95">
        <f>60+10533.6</f>
        <v>10593.6</v>
      </c>
      <c r="G25" s="95">
        <v>1793.4</v>
      </c>
      <c r="H25" s="95">
        <v>176.4</v>
      </c>
      <c r="I25" s="13"/>
      <c r="J25" s="33"/>
      <c r="K25" s="33"/>
      <c r="L25" s="33"/>
      <c r="M25" s="33">
        <f>2.4+10.2</f>
        <v>12.6</v>
      </c>
      <c r="N25" s="33">
        <f>151.8+3568.2</f>
        <v>3720</v>
      </c>
      <c r="O25" s="5">
        <f t="shared" si="15"/>
        <v>16778.400000000001</v>
      </c>
      <c r="P25" s="5">
        <f t="shared" si="16"/>
        <v>15393.027522935779</v>
      </c>
      <c r="Q25" s="5">
        <f t="shared" si="18"/>
        <v>1385.372477064222</v>
      </c>
      <c r="R25" s="21">
        <f t="shared" si="17"/>
        <v>932.13333333333344</v>
      </c>
      <c r="S25" s="35"/>
      <c r="T25" s="61">
        <v>72</v>
      </c>
      <c r="U25" s="13">
        <f t="shared" si="20"/>
        <v>67113.600000000006</v>
      </c>
      <c r="W25" s="142"/>
    </row>
    <row r="26" spans="1:24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>
        <v>53.33</v>
      </c>
      <c r="F26" s="95">
        <v>506.67</v>
      </c>
      <c r="G26" s="95">
        <v>100</v>
      </c>
      <c r="H26" s="95">
        <v>26.67</v>
      </c>
      <c r="I26" s="13"/>
      <c r="J26" s="33"/>
      <c r="K26" s="33"/>
      <c r="L26" s="33"/>
      <c r="M26" s="33"/>
      <c r="N26" s="33">
        <v>673.33</v>
      </c>
      <c r="O26" s="5">
        <f t="shared" si="15"/>
        <v>1360</v>
      </c>
      <c r="P26" s="5">
        <f t="shared" si="16"/>
        <v>1247.7064220183486</v>
      </c>
      <c r="Q26" s="5">
        <f t="shared" si="18"/>
        <v>112.29357798165142</v>
      </c>
      <c r="R26" s="21">
        <f t="shared" si="17"/>
        <v>4.5333333333333332</v>
      </c>
      <c r="S26" s="35"/>
      <c r="T26" s="61"/>
      <c r="U26" s="13"/>
      <c r="W26" s="142"/>
    </row>
    <row r="27" spans="1:24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640</v>
      </c>
      <c r="G27" s="95">
        <v>65</v>
      </c>
      <c r="H27" s="95">
        <v>151.66999999999999</v>
      </c>
      <c r="I27" s="13"/>
      <c r="J27" s="33"/>
      <c r="K27" s="33"/>
      <c r="L27" s="33"/>
      <c r="M27" s="33"/>
      <c r="N27" s="33">
        <v>218.33</v>
      </c>
      <c r="O27" s="5">
        <f t="shared" si="15"/>
        <v>1075</v>
      </c>
      <c r="P27" s="5">
        <f t="shared" si="16"/>
        <v>986.23853211009168</v>
      </c>
      <c r="Q27" s="5">
        <f t="shared" si="18"/>
        <v>88.761467889908317</v>
      </c>
      <c r="R27" s="21">
        <f t="shared" si="17"/>
        <v>7.166666666666667</v>
      </c>
      <c r="S27" s="35"/>
      <c r="T27" s="61">
        <v>150</v>
      </c>
      <c r="U27" s="13">
        <f t="shared" ref="U27:U43" si="21">+R27*T27</f>
        <v>1075</v>
      </c>
      <c r="W27" s="142"/>
    </row>
    <row r="28" spans="1:24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f>42.67+43.33</f>
        <v>86</v>
      </c>
      <c r="F28" s="95">
        <v>2358.67</v>
      </c>
      <c r="G28" s="95">
        <v>248.67</v>
      </c>
      <c r="H28" s="95">
        <v>87.33</v>
      </c>
      <c r="I28" s="13"/>
      <c r="J28" s="33"/>
      <c r="K28" s="33"/>
      <c r="L28" s="33"/>
      <c r="M28" s="33">
        <v>6</v>
      </c>
      <c r="N28" s="33">
        <f>28.67+2061.33</f>
        <v>2090</v>
      </c>
      <c r="O28" s="5">
        <f t="shared" si="15"/>
        <v>4876.67</v>
      </c>
      <c r="P28" s="5">
        <f t="shared" si="16"/>
        <v>4474.0091743119265</v>
      </c>
      <c r="Q28" s="5">
        <f t="shared" si="18"/>
        <v>402.6608256880736</v>
      </c>
      <c r="R28" s="21">
        <f t="shared" si="17"/>
        <v>81.277833333333334</v>
      </c>
      <c r="S28" s="35"/>
      <c r="T28" s="61">
        <v>240</v>
      </c>
      <c r="U28" s="13">
        <f t="shared" si="21"/>
        <v>19506.68</v>
      </c>
      <c r="W28" s="142"/>
    </row>
    <row r="29" spans="1:24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141</v>
      </c>
      <c r="G29" s="95">
        <v>12</v>
      </c>
      <c r="H29" s="95">
        <v>60</v>
      </c>
      <c r="I29" s="13"/>
      <c r="J29" s="33"/>
      <c r="K29" s="33"/>
      <c r="L29" s="33"/>
      <c r="M29" s="33"/>
      <c r="N29" s="33">
        <v>810</v>
      </c>
      <c r="O29" s="5">
        <f t="shared" si="15"/>
        <v>1023</v>
      </c>
      <c r="P29" s="5">
        <f t="shared" si="16"/>
        <v>938.53211009174311</v>
      </c>
      <c r="Q29" s="5">
        <f t="shared" si="18"/>
        <v>84.467889908256893</v>
      </c>
      <c r="R29" s="21">
        <f t="shared" si="17"/>
        <v>3.7888888888888888</v>
      </c>
      <c r="S29" s="35"/>
      <c r="T29" s="61"/>
      <c r="U29" s="13"/>
      <c r="W29" s="142"/>
    </row>
    <row r="30" spans="1:24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/>
      <c r="G30" s="95"/>
      <c r="H30" s="95">
        <v>1.5</v>
      </c>
      <c r="I30" s="13"/>
      <c r="J30" s="33"/>
      <c r="K30" s="33"/>
      <c r="L30" s="33"/>
      <c r="M30" s="33"/>
      <c r="N30" s="33">
        <v>15</v>
      </c>
      <c r="O30" s="5">
        <f t="shared" si="15"/>
        <v>16.5</v>
      </c>
      <c r="P30" s="5">
        <f t="shared" si="16"/>
        <v>15.137614678899082</v>
      </c>
      <c r="Q30" s="5">
        <f t="shared" si="18"/>
        <v>1.362385321100918</v>
      </c>
      <c r="R30" s="21">
        <f t="shared" si="17"/>
        <v>0.12222222222222222</v>
      </c>
      <c r="S30" s="35"/>
      <c r="T30" s="61">
        <v>135</v>
      </c>
      <c r="U30" s="13">
        <f t="shared" si="21"/>
        <v>16.5</v>
      </c>
      <c r="W30" s="142"/>
    </row>
    <row r="31" spans="1:24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8.4</v>
      </c>
      <c r="F31" s="95">
        <v>36.6</v>
      </c>
      <c r="G31" s="95"/>
      <c r="H31" s="95">
        <v>6</v>
      </c>
      <c r="I31" s="13"/>
      <c r="J31" s="33"/>
      <c r="K31" s="33"/>
      <c r="L31" s="33"/>
      <c r="M31" s="33"/>
      <c r="N31" s="33">
        <v>225.6</v>
      </c>
      <c r="O31" s="5">
        <f t="shared" si="15"/>
        <v>276.60000000000002</v>
      </c>
      <c r="P31" s="5">
        <f t="shared" si="16"/>
        <v>253.76146788990826</v>
      </c>
      <c r="Q31" s="5">
        <f t="shared" si="18"/>
        <v>22.838532110091762</v>
      </c>
      <c r="R31" s="21">
        <f t="shared" si="17"/>
        <v>5.1222222222222227</v>
      </c>
      <c r="S31" s="35"/>
      <c r="T31" s="61">
        <v>216</v>
      </c>
      <c r="U31" s="13">
        <f t="shared" si="21"/>
        <v>1106.4000000000001</v>
      </c>
      <c r="W31" s="142"/>
    </row>
    <row r="32" spans="1:24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>
        <v>3.33</v>
      </c>
      <c r="F32" s="95"/>
      <c r="G32" s="95"/>
      <c r="H32" s="95"/>
      <c r="I32" s="13"/>
      <c r="J32" s="33"/>
      <c r="K32" s="33"/>
      <c r="L32" s="33"/>
      <c r="M32" s="33"/>
      <c r="N32" s="33"/>
      <c r="O32" s="5">
        <f t="shared" si="15"/>
        <v>3.33</v>
      </c>
      <c r="P32" s="5">
        <f t="shared" si="16"/>
        <v>3.0550458715596327</v>
      </c>
      <c r="Q32" s="5">
        <f t="shared" si="18"/>
        <v>0.27495412844036737</v>
      </c>
      <c r="R32" s="21">
        <f t="shared" si="17"/>
        <v>5.5500000000000002E-3</v>
      </c>
      <c r="S32" s="35"/>
      <c r="T32" s="61"/>
      <c r="U32" s="13"/>
      <c r="W32" s="142"/>
    </row>
    <row r="33" spans="1:24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26.67</v>
      </c>
      <c r="G33" s="95"/>
      <c r="H33" s="95">
        <v>16.670000000000002</v>
      </c>
      <c r="I33" s="13"/>
      <c r="J33" s="33"/>
      <c r="K33" s="33"/>
      <c r="L33" s="33"/>
      <c r="M33" s="33"/>
      <c r="N33" s="33">
        <v>16.670000000000002</v>
      </c>
      <c r="O33" s="5">
        <f t="shared" si="15"/>
        <v>60.010000000000005</v>
      </c>
      <c r="P33" s="5">
        <f t="shared" si="16"/>
        <v>55.055045871559635</v>
      </c>
      <c r="Q33" s="5">
        <f t="shared" si="18"/>
        <v>4.9549541284403702</v>
      </c>
      <c r="R33" s="21">
        <f t="shared" si="17"/>
        <v>0.20003333333333334</v>
      </c>
      <c r="S33" s="35"/>
      <c r="T33" s="61">
        <v>300</v>
      </c>
      <c r="U33" s="13">
        <f t="shared" si="21"/>
        <v>60.010000000000005</v>
      </c>
      <c r="W33" s="142"/>
    </row>
    <row r="34" spans="1:24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/>
      <c r="F34" s="95">
        <f>12+80</f>
        <v>92</v>
      </c>
      <c r="G34" s="95">
        <v>17.329999999999998</v>
      </c>
      <c r="H34" s="95"/>
      <c r="I34" s="13"/>
      <c r="J34" s="33"/>
      <c r="K34" s="33"/>
      <c r="L34" s="33"/>
      <c r="M34" s="33"/>
      <c r="N34" s="33">
        <v>106</v>
      </c>
      <c r="O34" s="5">
        <f t="shared" si="15"/>
        <v>215.32999999999998</v>
      </c>
      <c r="P34" s="5">
        <f t="shared" si="16"/>
        <v>197.55045871559631</v>
      </c>
      <c r="Q34" s="5">
        <f t="shared" si="18"/>
        <v>17.779541284403678</v>
      </c>
      <c r="R34" s="21">
        <f t="shared" si="17"/>
        <v>1.7944166666666665</v>
      </c>
      <c r="S34" s="35"/>
      <c r="T34" s="61">
        <v>480</v>
      </c>
      <c r="U34" s="13">
        <f t="shared" si="21"/>
        <v>861.31999999999994</v>
      </c>
      <c r="W34" s="142"/>
    </row>
    <row r="35" spans="1:24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33">
        <v>72</v>
      </c>
      <c r="O35" s="5">
        <f t="shared" si="15"/>
        <v>72</v>
      </c>
      <c r="P35" s="5">
        <f t="shared" si="16"/>
        <v>66.055045871559628</v>
      </c>
      <c r="Q35" s="5">
        <f t="shared" si="18"/>
        <v>5.9449541284403722</v>
      </c>
      <c r="R35" s="21">
        <f t="shared" si="17"/>
        <v>0.13333333333333333</v>
      </c>
      <c r="S35" s="35"/>
      <c r="T35" s="61"/>
      <c r="U35" s="13"/>
      <c r="W35" s="142"/>
    </row>
    <row r="36" spans="1:24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5"/>
        <v>0</v>
      </c>
      <c r="P36" s="5">
        <f t="shared" si="16"/>
        <v>0</v>
      </c>
      <c r="Q36" s="5">
        <f t="shared" si="18"/>
        <v>0</v>
      </c>
      <c r="R36" s="21">
        <f t="shared" si="17"/>
        <v>0</v>
      </c>
      <c r="S36" s="35"/>
      <c r="T36" s="61">
        <v>270</v>
      </c>
      <c r="U36" s="13">
        <f t="shared" si="21"/>
        <v>0</v>
      </c>
      <c r="W36" s="142"/>
    </row>
    <row r="37" spans="1:24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5"/>
        <v>0</v>
      </c>
      <c r="P37" s="5">
        <f t="shared" si="16"/>
        <v>0</v>
      </c>
      <c r="Q37" s="5">
        <f t="shared" si="18"/>
        <v>0</v>
      </c>
      <c r="R37" s="21">
        <f t="shared" si="17"/>
        <v>0</v>
      </c>
      <c r="S37" s="35"/>
      <c r="T37" s="61">
        <v>432</v>
      </c>
      <c r="U37" s="13">
        <f t="shared" si="21"/>
        <v>0</v>
      </c>
      <c r="W37" s="142"/>
    </row>
    <row r="38" spans="1:24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5"/>
        <v>0</v>
      </c>
      <c r="P38" s="5">
        <f t="shared" si="16"/>
        <v>0</v>
      </c>
      <c r="Q38" s="5">
        <f t="shared" si="18"/>
        <v>0</v>
      </c>
      <c r="R38" s="21">
        <f t="shared" si="17"/>
        <v>0</v>
      </c>
      <c r="S38" s="35"/>
      <c r="T38" s="61"/>
      <c r="U38" s="13"/>
      <c r="W38" s="142"/>
    </row>
    <row r="39" spans="1:24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/>
      <c r="G39" s="95"/>
      <c r="H39" s="95"/>
      <c r="I39" s="13"/>
      <c r="J39" s="33"/>
      <c r="K39" s="33"/>
      <c r="L39" s="33"/>
      <c r="M39" s="33"/>
      <c r="N39" s="33"/>
      <c r="O39" s="5">
        <f t="shared" si="15"/>
        <v>0</v>
      </c>
      <c r="P39" s="5">
        <f t="shared" si="16"/>
        <v>0</v>
      </c>
      <c r="Q39" s="5">
        <f t="shared" si="18"/>
        <v>0</v>
      </c>
      <c r="R39" s="21">
        <f t="shared" si="17"/>
        <v>0</v>
      </c>
      <c r="S39" s="35"/>
      <c r="T39" s="61">
        <v>450</v>
      </c>
      <c r="U39" s="13">
        <f t="shared" si="21"/>
        <v>0</v>
      </c>
      <c r="W39" s="142"/>
    </row>
    <row r="40" spans="1:24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95">
        <v>10</v>
      </c>
      <c r="G40" s="95"/>
      <c r="H40" s="95">
        <v>11.33</v>
      </c>
      <c r="I40" s="13"/>
      <c r="J40" s="33"/>
      <c r="K40" s="33"/>
      <c r="L40" s="33"/>
      <c r="M40" s="33"/>
      <c r="N40" s="33"/>
      <c r="O40" s="5">
        <f t="shared" si="15"/>
        <v>21.33</v>
      </c>
      <c r="P40" s="5">
        <f t="shared" si="16"/>
        <v>19.568807339449538</v>
      </c>
      <c r="Q40" s="5">
        <f t="shared" si="18"/>
        <v>1.76119266055046</v>
      </c>
      <c r="R40" s="21">
        <f t="shared" si="17"/>
        <v>0.11849999999999999</v>
      </c>
      <c r="S40" s="35"/>
      <c r="T40" s="61">
        <v>720</v>
      </c>
      <c r="U40" s="13">
        <f t="shared" si="21"/>
        <v>85.32</v>
      </c>
      <c r="W40" s="142"/>
    </row>
    <row r="41" spans="1:24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33">
        <v>60</v>
      </c>
      <c r="O41" s="5">
        <f t="shared" si="15"/>
        <v>60</v>
      </c>
      <c r="P41" s="5">
        <f t="shared" si="16"/>
        <v>55.045871559633021</v>
      </c>
      <c r="Q41" s="5">
        <f t="shared" si="18"/>
        <v>4.9541284403669792</v>
      </c>
      <c r="R41" s="21">
        <f t="shared" si="17"/>
        <v>7.407407407407407E-2</v>
      </c>
      <c r="S41" s="71"/>
      <c r="T41" s="61"/>
      <c r="U41" s="13"/>
      <c r="W41" s="142"/>
    </row>
    <row r="42" spans="1:24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33"/>
      <c r="O42" s="5">
        <f t="shared" si="15"/>
        <v>0</v>
      </c>
      <c r="P42" s="5">
        <f t="shared" si="16"/>
        <v>0</v>
      </c>
      <c r="Q42" s="5">
        <f t="shared" si="18"/>
        <v>0</v>
      </c>
      <c r="R42" s="21">
        <f t="shared" si="17"/>
        <v>0</v>
      </c>
      <c r="S42" s="71"/>
      <c r="T42" s="61">
        <v>405</v>
      </c>
      <c r="U42" s="13">
        <f t="shared" si="21"/>
        <v>0</v>
      </c>
      <c r="W42" s="142"/>
    </row>
    <row r="43" spans="1:24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39">
        <v>6</v>
      </c>
      <c r="O43" s="26">
        <f t="shared" si="15"/>
        <v>6</v>
      </c>
      <c r="P43" s="26">
        <f t="shared" si="16"/>
        <v>5.5045871559633026</v>
      </c>
      <c r="Q43" s="26">
        <f t="shared" si="18"/>
        <v>0.49541284403669739</v>
      </c>
      <c r="R43" s="39">
        <f t="shared" si="17"/>
        <v>3.7037037037037035E-2</v>
      </c>
      <c r="S43" s="71"/>
      <c r="T43" s="61">
        <v>648</v>
      </c>
      <c r="U43" s="13">
        <f t="shared" si="21"/>
        <v>24</v>
      </c>
      <c r="W43" s="142"/>
    </row>
    <row r="44" spans="1:24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11.7</v>
      </c>
      <c r="F44" s="124">
        <v>685.92</v>
      </c>
      <c r="G44" s="124">
        <v>102.88</v>
      </c>
      <c r="H44" s="124">
        <v>140.19</v>
      </c>
      <c r="I44" s="124"/>
      <c r="J44" s="124"/>
      <c r="K44" s="124"/>
      <c r="L44" s="124"/>
      <c r="M44" s="124"/>
      <c r="N44" s="124">
        <v>3.45</v>
      </c>
      <c r="O44" s="6">
        <f t="shared" si="15"/>
        <v>944.1400000000001</v>
      </c>
      <c r="P44" s="124">
        <f t="shared" si="16"/>
        <v>866.18348623853217</v>
      </c>
      <c r="Q44" s="6">
        <f t="shared" si="18"/>
        <v>77.956513761467932</v>
      </c>
      <c r="R44" s="22">
        <f>+O44/D44</f>
        <v>94.414000000000016</v>
      </c>
      <c r="S44" s="71"/>
      <c r="T44" s="61"/>
      <c r="U44" s="13"/>
      <c r="V44" s="2"/>
      <c r="W44" s="1"/>
    </row>
    <row r="45" spans="1:24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2968.2</v>
      </c>
      <c r="F45" s="82">
        <f>+SUM(F46:F54)</f>
        <v>104757.13</v>
      </c>
      <c r="G45" s="82">
        <f>+SUM(G46:G54)</f>
        <v>16711.5</v>
      </c>
      <c r="H45" s="82">
        <f>+SUM(H46:H54)</f>
        <v>2387.1099999999997</v>
      </c>
      <c r="I45" s="82">
        <f t="shared" ref="I45:R45" si="22">+SUM(I46:I54)</f>
        <v>0</v>
      </c>
      <c r="J45" s="82">
        <f t="shared" si="22"/>
        <v>0</v>
      </c>
      <c r="K45" s="100">
        <f t="shared" si="22"/>
        <v>0</v>
      </c>
      <c r="L45" s="100">
        <f t="shared" si="22"/>
        <v>0</v>
      </c>
      <c r="M45" s="100">
        <f t="shared" si="22"/>
        <v>36</v>
      </c>
      <c r="N45" s="100">
        <f t="shared" si="22"/>
        <v>10059.1</v>
      </c>
      <c r="O45" s="42">
        <f>+SUM(O46:O54)</f>
        <v>136919.04000000001</v>
      </c>
      <c r="P45" s="82">
        <f t="shared" si="22"/>
        <v>125613.79816513762</v>
      </c>
      <c r="Q45" s="82">
        <f t="shared" si="22"/>
        <v>11305.241834862394</v>
      </c>
      <c r="R45" s="19">
        <f t="shared" si="22"/>
        <v>20971.3</v>
      </c>
      <c r="S45" s="71"/>
      <c r="T45" s="61"/>
      <c r="U45" s="105">
        <f>+SUM(U46:U69)</f>
        <v>204733.26</v>
      </c>
    </row>
    <row r="46" spans="1:24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336</v>
      </c>
      <c r="F46" s="23">
        <v>12384</v>
      </c>
      <c r="G46" s="28">
        <v>1752</v>
      </c>
      <c r="H46" s="23">
        <v>228</v>
      </c>
      <c r="I46" s="83"/>
      <c r="J46" s="75"/>
      <c r="K46" s="75"/>
      <c r="L46" s="75"/>
      <c r="M46" s="75"/>
      <c r="N46" s="75">
        <v>1020</v>
      </c>
      <c r="O46" s="5">
        <f t="shared" ref="O46:O54" si="23">+SUM(E46:N46)</f>
        <v>15720</v>
      </c>
      <c r="P46" s="99">
        <f t="shared" ref="P46:P54" si="24">+O46/1.09</f>
        <v>14422.018348623853</v>
      </c>
      <c r="Q46" s="64">
        <f t="shared" ref="Q46:Q54" si="25">+O46-P46</f>
        <v>1297.9816513761471</v>
      </c>
      <c r="R46" s="85">
        <f t="shared" ref="R46:R54" si="26">O46/D46</f>
        <v>1310</v>
      </c>
      <c r="S46" s="71"/>
      <c r="T46" s="61"/>
      <c r="U46" s="13"/>
      <c r="V46"/>
      <c r="W46" s="142"/>
      <c r="X46"/>
    </row>
    <row r="47" spans="1:24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108</v>
      </c>
      <c r="F47" s="13">
        <v>1452</v>
      </c>
      <c r="G47" s="17">
        <v>264</v>
      </c>
      <c r="H47" s="23"/>
      <c r="I47" s="13"/>
      <c r="J47" s="33"/>
      <c r="K47" s="33"/>
      <c r="L47" s="33"/>
      <c r="M47" s="33">
        <v>6</v>
      </c>
      <c r="N47" s="33">
        <v>102</v>
      </c>
      <c r="O47" s="5">
        <f t="shared" si="23"/>
        <v>1932</v>
      </c>
      <c r="P47" s="5">
        <f t="shared" si="24"/>
        <v>1772.4770642201834</v>
      </c>
      <c r="Q47" s="5">
        <f t="shared" si="25"/>
        <v>159.52293577981663</v>
      </c>
      <c r="R47" s="31">
        <f t="shared" si="26"/>
        <v>322</v>
      </c>
      <c r="S47" s="71"/>
      <c r="T47" s="61">
        <v>6</v>
      </c>
      <c r="U47" s="13">
        <f t="shared" ref="U47:U48" si="27">+R47*T47</f>
        <v>1932</v>
      </c>
      <c r="W47" s="142"/>
    </row>
    <row r="48" spans="1:24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492</v>
      </c>
      <c r="F48" s="13">
        <f>124.8+26527.2</f>
        <v>26652</v>
      </c>
      <c r="G48" s="17">
        <f>28.8+4953.6</f>
        <v>4982.4000000000005</v>
      </c>
      <c r="H48" s="23">
        <v>189.6</v>
      </c>
      <c r="I48" s="13"/>
      <c r="J48" s="33"/>
      <c r="K48" s="33"/>
      <c r="L48" s="33"/>
      <c r="M48" s="33">
        <v>4.8</v>
      </c>
      <c r="N48" s="33">
        <f>21.6+2138.4</f>
        <v>2160</v>
      </c>
      <c r="O48" s="5">
        <f t="shared" si="23"/>
        <v>34480.800000000003</v>
      </c>
      <c r="P48" s="5">
        <f t="shared" si="24"/>
        <v>31633.761467889908</v>
      </c>
      <c r="Q48" s="5">
        <f t="shared" si="25"/>
        <v>2847.0385321100948</v>
      </c>
      <c r="R48" s="31">
        <f t="shared" si="26"/>
        <v>14367.000000000002</v>
      </c>
      <c r="S48" s="71"/>
      <c r="T48" s="61">
        <v>9.6</v>
      </c>
      <c r="U48" s="13">
        <f t="shared" si="27"/>
        <v>137923.20000000001</v>
      </c>
      <c r="W48" s="142"/>
    </row>
    <row r="49" spans="1:23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189</v>
      </c>
      <c r="F49" s="13">
        <v>11361</v>
      </c>
      <c r="G49" s="13">
        <v>1274</v>
      </c>
      <c r="H49" s="13">
        <v>784</v>
      </c>
      <c r="I49" s="13"/>
      <c r="J49" s="33"/>
      <c r="K49" s="33"/>
      <c r="L49" s="33"/>
      <c r="M49" s="33">
        <v>21</v>
      </c>
      <c r="N49" s="33">
        <v>784</v>
      </c>
      <c r="O49" s="5">
        <f t="shared" si="23"/>
        <v>14413</v>
      </c>
      <c r="P49" s="5">
        <f t="shared" si="24"/>
        <v>13222.935779816513</v>
      </c>
      <c r="Q49" s="5">
        <f t="shared" si="25"/>
        <v>1190.0642201834871</v>
      </c>
      <c r="R49" s="31">
        <f t="shared" si="26"/>
        <v>686.33333333333337</v>
      </c>
      <c r="S49" s="71"/>
      <c r="T49" s="61"/>
      <c r="U49" s="13"/>
      <c r="W49" s="142"/>
    </row>
    <row r="50" spans="1:23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21</v>
      </c>
      <c r="F50" s="13">
        <v>1169</v>
      </c>
      <c r="G50" s="13">
        <v>217</v>
      </c>
      <c r="H50" s="13"/>
      <c r="I50" s="13"/>
      <c r="J50" s="33"/>
      <c r="K50" s="33"/>
      <c r="L50" s="33"/>
      <c r="M50" s="33"/>
      <c r="N50" s="33">
        <v>108.5</v>
      </c>
      <c r="O50" s="5">
        <f t="shared" si="23"/>
        <v>1515.5</v>
      </c>
      <c r="P50" s="5">
        <f t="shared" si="24"/>
        <v>1390.3669724770641</v>
      </c>
      <c r="Q50" s="5">
        <f t="shared" si="25"/>
        <v>125.13302752293589</v>
      </c>
      <c r="R50" s="21">
        <f t="shared" si="26"/>
        <v>144.33333333333334</v>
      </c>
      <c r="S50" s="71"/>
      <c r="T50" s="61">
        <v>10.5</v>
      </c>
      <c r="U50" s="13">
        <f t="shared" ref="U50:U51" si="28">+R50*T50</f>
        <v>1515.5</v>
      </c>
      <c r="W50" s="142"/>
    </row>
    <row r="51" spans="1:23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75.599999999999994</v>
      </c>
      <c r="F51" s="13">
        <f>37.8+5817</f>
        <v>5854.8</v>
      </c>
      <c r="G51" s="13">
        <f>7+806.4</f>
        <v>813.4</v>
      </c>
      <c r="H51" s="13">
        <v>65.8</v>
      </c>
      <c r="I51" s="13"/>
      <c r="J51" s="33"/>
      <c r="K51" s="33"/>
      <c r="L51" s="33"/>
      <c r="M51" s="33">
        <v>4.2</v>
      </c>
      <c r="N51" s="33">
        <f>23.8+1055.6</f>
        <v>1079.3999999999999</v>
      </c>
      <c r="O51" s="5">
        <f t="shared" si="23"/>
        <v>7893.2</v>
      </c>
      <c r="P51" s="5">
        <f t="shared" si="24"/>
        <v>7241.4678899082564</v>
      </c>
      <c r="Q51" s="5">
        <f t="shared" si="25"/>
        <v>651.73211009174338</v>
      </c>
      <c r="R51" s="21">
        <f t="shared" si="26"/>
        <v>1879.3333333333333</v>
      </c>
      <c r="S51" s="71"/>
      <c r="T51" s="61">
        <v>16.8</v>
      </c>
      <c r="U51" s="13">
        <f t="shared" si="28"/>
        <v>31572.799999999999</v>
      </c>
      <c r="W51" s="142"/>
    </row>
    <row r="52" spans="1:23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1590.8</v>
      </c>
      <c r="F52" s="13">
        <v>37674.9</v>
      </c>
      <c r="G52" s="13">
        <v>6355</v>
      </c>
      <c r="H52" s="13">
        <v>1004.5</v>
      </c>
      <c r="I52" s="13"/>
      <c r="J52" s="33"/>
      <c r="K52" s="33"/>
      <c r="L52" s="33"/>
      <c r="M52" s="33"/>
      <c r="N52" s="33">
        <v>3735.1</v>
      </c>
      <c r="O52" s="5">
        <f t="shared" si="23"/>
        <v>50360.3</v>
      </c>
      <c r="P52" s="5">
        <f t="shared" si="24"/>
        <v>46202.110091743118</v>
      </c>
      <c r="Q52" s="5">
        <f t="shared" si="25"/>
        <v>4158.1899082568852</v>
      </c>
      <c r="R52" s="21">
        <f t="shared" si="26"/>
        <v>1228.3000000000002</v>
      </c>
      <c r="S52" s="71"/>
      <c r="T52" s="61"/>
      <c r="U52" s="13"/>
      <c r="W52" s="142"/>
    </row>
    <row r="53" spans="1:23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57.4</v>
      </c>
      <c r="F53" s="13">
        <v>2949.95</v>
      </c>
      <c r="G53" s="13">
        <v>385.4</v>
      </c>
      <c r="H53" s="13">
        <v>47.15</v>
      </c>
      <c r="I53" s="13"/>
      <c r="J53" s="33"/>
      <c r="K53" s="33"/>
      <c r="L53" s="33"/>
      <c r="M53" s="33"/>
      <c r="N53" s="33">
        <v>102.5</v>
      </c>
      <c r="O53" s="5">
        <f t="shared" si="23"/>
        <v>3542.4</v>
      </c>
      <c r="P53" s="5">
        <f t="shared" si="24"/>
        <v>3249.9082568807339</v>
      </c>
      <c r="Q53" s="5">
        <f t="shared" si="25"/>
        <v>292.49174311926618</v>
      </c>
      <c r="R53" s="21">
        <f t="shared" si="26"/>
        <v>172.8</v>
      </c>
      <c r="S53" s="71"/>
      <c r="T53" s="61">
        <v>20.5</v>
      </c>
      <c r="U53" s="13">
        <f t="shared" ref="U53:U54" si="29">+R53*T53</f>
        <v>3542.4</v>
      </c>
      <c r="W53" s="142"/>
    </row>
    <row r="54" spans="1:23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98.4</v>
      </c>
      <c r="F54" s="14">
        <f>85.28+5174.2</f>
        <v>5259.48</v>
      </c>
      <c r="G54" s="14">
        <f>16.4+651.9</f>
        <v>668.3</v>
      </c>
      <c r="H54" s="14">
        <v>68.06</v>
      </c>
      <c r="I54" s="14"/>
      <c r="J54" s="76"/>
      <c r="K54" s="76"/>
      <c r="L54" s="76"/>
      <c r="M54" s="76"/>
      <c r="N54" s="76">
        <f>4.92+962.68</f>
        <v>967.59999999999991</v>
      </c>
      <c r="O54" s="6">
        <f t="shared" si="23"/>
        <v>7061.84</v>
      </c>
      <c r="P54" s="6">
        <f t="shared" si="24"/>
        <v>6478.7522935779816</v>
      </c>
      <c r="Q54" s="6">
        <f t="shared" si="25"/>
        <v>583.08770642201853</v>
      </c>
      <c r="R54" s="22">
        <f t="shared" si="26"/>
        <v>861.2</v>
      </c>
      <c r="S54" s="35"/>
      <c r="T54" s="61">
        <v>32.799999999999997</v>
      </c>
      <c r="U54" s="13">
        <f t="shared" si="29"/>
        <v>28247.360000000001</v>
      </c>
      <c r="W54" s="142"/>
    </row>
    <row r="55" spans="1:23" x14ac:dyDescent="0.25"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6" spans="1:23" x14ac:dyDescent="0.25"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</row>
    <row r="58" spans="1:23" x14ac:dyDescent="0.25">
      <c r="N58" s="137"/>
    </row>
    <row r="74" spans="2:2" x14ac:dyDescent="0.25">
      <c r="B74" s="1"/>
    </row>
  </sheetData>
  <mergeCells count="18">
    <mergeCell ref="F4:F5"/>
    <mergeCell ref="A4:A5"/>
    <mergeCell ref="B4:B5"/>
    <mergeCell ref="C4:C5"/>
    <mergeCell ref="D4:D5"/>
    <mergeCell ref="E4:E5"/>
    <mergeCell ref="U4:U5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Q5"/>
    <mergeCell ref="R4:R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X73"/>
  <sheetViews>
    <sheetView zoomScaleNormal="100"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H19" sqref="H19:H24"/>
    </sheetView>
  </sheetViews>
  <sheetFormatPr defaultColWidth="8.88671875" defaultRowHeight="13.2" outlineLevelCol="1" x14ac:dyDescent="0.25"/>
  <cols>
    <col min="1" max="1" width="10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 outlineLevel="1"/>
    <col min="6" max="6" width="13.332031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55468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2" ht="22.2" customHeight="1" x14ac:dyDescent="0.3">
      <c r="A1" s="40" t="s">
        <v>241</v>
      </c>
      <c r="K1" s="2"/>
      <c r="L1" s="2"/>
      <c r="M1" s="2"/>
      <c r="N1" s="2"/>
    </row>
    <row r="2" spans="1:22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P2" s="3"/>
      <c r="R2" s="3"/>
    </row>
    <row r="3" spans="1:22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2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2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47345.67</v>
      </c>
      <c r="F5" s="82">
        <f t="shared" si="0"/>
        <v>2117160.94</v>
      </c>
      <c r="G5" s="82">
        <f t="shared" si="0"/>
        <v>323046.73</v>
      </c>
      <c r="H5" s="82">
        <f t="shared" si="0"/>
        <v>61627.49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87">
        <f t="shared" ref="M5:R5" si="1">+M6+M18+M44</f>
        <v>2435.4</v>
      </c>
      <c r="N5" s="19">
        <f t="shared" si="1"/>
        <v>231952.72</v>
      </c>
      <c r="O5" s="42">
        <f t="shared" si="1"/>
        <v>2783568.9499999997</v>
      </c>
      <c r="P5" s="42">
        <f t="shared" si="1"/>
        <v>2553732.9816513765</v>
      </c>
      <c r="Q5" s="42">
        <f t="shared" si="1"/>
        <v>229835.9683486241</v>
      </c>
      <c r="R5" s="42">
        <f t="shared" si="1"/>
        <v>53210.945355555574</v>
      </c>
      <c r="S5" s="71"/>
      <c r="T5" s="87"/>
      <c r="U5" s="135">
        <f>+U7+U18+U44</f>
        <v>2393670.2900000005</v>
      </c>
    </row>
    <row r="6" spans="1:22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2">+E7+E11</f>
        <v>0</v>
      </c>
      <c r="F6" s="82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187">
        <f t="shared" si="2"/>
        <v>0</v>
      </c>
      <c r="K6" s="187">
        <f t="shared" si="2"/>
        <v>0</v>
      </c>
      <c r="L6" s="187"/>
      <c r="M6" s="187">
        <f t="shared" ref="M6:R6" si="3">+M7+M11</f>
        <v>0</v>
      </c>
      <c r="N6" s="19">
        <f t="shared" si="3"/>
        <v>0</v>
      </c>
      <c r="O6" s="42">
        <f t="shared" si="3"/>
        <v>0</v>
      </c>
      <c r="P6" s="42">
        <f t="shared" si="3"/>
        <v>0</v>
      </c>
      <c r="Q6" s="42">
        <f t="shared" si="3"/>
        <v>0</v>
      </c>
      <c r="R6" s="44">
        <f t="shared" si="3"/>
        <v>0</v>
      </c>
      <c r="T6" s="61"/>
      <c r="U6" s="13"/>
    </row>
    <row r="7" spans="1:22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4">+SUM(E8:E10)</f>
        <v>0</v>
      </c>
      <c r="F7" s="79">
        <f t="shared" si="4"/>
        <v>0</v>
      </c>
      <c r="G7" s="79">
        <f t="shared" si="4"/>
        <v>0</v>
      </c>
      <c r="H7" s="79">
        <f t="shared" si="4"/>
        <v>0</v>
      </c>
      <c r="I7" s="79">
        <f t="shared" si="4"/>
        <v>0</v>
      </c>
      <c r="J7" s="79">
        <f t="shared" si="4"/>
        <v>0</v>
      </c>
      <c r="K7" s="79">
        <f t="shared" si="4"/>
        <v>0</v>
      </c>
      <c r="L7" s="79"/>
      <c r="M7" s="79">
        <f t="shared" ref="M7:R7" si="5">+SUM(M8:M10)</f>
        <v>0</v>
      </c>
      <c r="N7" s="79">
        <f t="shared" si="5"/>
        <v>0</v>
      </c>
      <c r="O7" s="225">
        <f t="shared" si="5"/>
        <v>0</v>
      </c>
      <c r="P7" s="79">
        <f t="shared" si="5"/>
        <v>0</v>
      </c>
      <c r="Q7" s="79">
        <f t="shared" si="5"/>
        <v>0</v>
      </c>
      <c r="R7" s="226">
        <f t="shared" si="5"/>
        <v>0</v>
      </c>
      <c r="S7" s="71"/>
      <c r="T7" s="134"/>
      <c r="U7" s="105">
        <f>+SUM(U8:U17)</f>
        <v>0</v>
      </c>
    </row>
    <row r="8" spans="1:22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36"/>
      <c r="O8" s="5">
        <f>+SUM(E8:N8)</f>
        <v>0</v>
      </c>
      <c r="P8" s="5">
        <f t="shared" ref="P8:P10" si="6">+O8/1.09</f>
        <v>0</v>
      </c>
      <c r="Q8" s="5">
        <f t="shared" ref="Q8:Q10" si="7">+O8-P8</f>
        <v>0</v>
      </c>
      <c r="R8" s="21">
        <f>O8/D8</f>
        <v>0</v>
      </c>
      <c r="S8" s="71"/>
      <c r="T8" s="61"/>
      <c r="U8" s="13"/>
      <c r="V8" s="2"/>
    </row>
    <row r="9" spans="1:22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8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43"/>
      <c r="O9" s="26">
        <f>+SUM(E9:N9)</f>
        <v>0</v>
      </c>
      <c r="P9" s="26">
        <f t="shared" si="6"/>
        <v>0</v>
      </c>
      <c r="Q9" s="26">
        <f t="shared" si="7"/>
        <v>0</v>
      </c>
      <c r="R9" s="39">
        <f>O9/D9</f>
        <v>0</v>
      </c>
      <c r="S9" s="71"/>
      <c r="T9" s="61">
        <v>1.75</v>
      </c>
      <c r="U9" s="13">
        <f>+R9*T9</f>
        <v>0</v>
      </c>
    </row>
    <row r="10" spans="1:22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6">
        <f>+SUM(E10:N10)</f>
        <v>0</v>
      </c>
      <c r="P10" s="6">
        <f t="shared" si="6"/>
        <v>0</v>
      </c>
      <c r="Q10" s="6">
        <f t="shared" si="7"/>
        <v>0</v>
      </c>
      <c r="R10" s="22">
        <f>O10/D10</f>
        <v>0</v>
      </c>
      <c r="S10" s="71"/>
      <c r="T10" s="107">
        <v>2.8</v>
      </c>
      <c r="U10" s="13">
        <f>+R10*T10</f>
        <v>0</v>
      </c>
    </row>
    <row r="11" spans="1:22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9">+SUM(E12:E17)</f>
        <v>0</v>
      </c>
      <c r="F11" s="84">
        <f t="shared" si="9"/>
        <v>0</v>
      </c>
      <c r="G11" s="84">
        <f t="shared" si="9"/>
        <v>0</v>
      </c>
      <c r="H11" s="84">
        <f t="shared" si="9"/>
        <v>0</v>
      </c>
      <c r="I11" s="84">
        <f t="shared" si="9"/>
        <v>0</v>
      </c>
      <c r="J11" s="74">
        <f t="shared" si="9"/>
        <v>0</v>
      </c>
      <c r="K11" s="101">
        <f t="shared" si="9"/>
        <v>0</v>
      </c>
      <c r="L11" s="101"/>
      <c r="M11" s="101">
        <f t="shared" ref="M11:R11" si="10">+SUM(M12:M17)</f>
        <v>0</v>
      </c>
      <c r="N11" s="101">
        <f t="shared" si="10"/>
        <v>0</v>
      </c>
      <c r="O11" s="43">
        <f t="shared" si="10"/>
        <v>0</v>
      </c>
      <c r="P11" s="43">
        <f t="shared" si="10"/>
        <v>0</v>
      </c>
      <c r="Q11" s="43">
        <f t="shared" si="10"/>
        <v>0</v>
      </c>
      <c r="R11" s="45">
        <f t="shared" si="10"/>
        <v>0</v>
      </c>
      <c r="S11" s="71"/>
      <c r="T11" s="61"/>
      <c r="U11" s="13"/>
    </row>
    <row r="12" spans="1:22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33"/>
      <c r="O12" s="5">
        <f t="shared" ref="O12:O17" si="11">+SUM(E12:N12)</f>
        <v>0</v>
      </c>
      <c r="P12" s="5">
        <f t="shared" ref="P12:P17" si="12">+O12/1.09</f>
        <v>0</v>
      </c>
      <c r="Q12" s="5">
        <f t="shared" ref="Q12:Q17" si="13">+O12-P12</f>
        <v>0</v>
      </c>
      <c r="R12" s="21">
        <f t="shared" ref="R12:R17" si="14">O12/D12</f>
        <v>0</v>
      </c>
      <c r="S12" s="2"/>
      <c r="T12" s="61"/>
      <c r="U12" s="13"/>
    </row>
    <row r="13" spans="1:22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33"/>
      <c r="O13" s="5">
        <f t="shared" si="11"/>
        <v>0</v>
      </c>
      <c r="P13" s="5">
        <f t="shared" si="12"/>
        <v>0</v>
      </c>
      <c r="Q13" s="5">
        <f t="shared" si="13"/>
        <v>0</v>
      </c>
      <c r="R13" s="21">
        <f t="shared" si="14"/>
        <v>0</v>
      </c>
      <c r="S13" s="71"/>
      <c r="T13" s="107">
        <v>1.1000000000000001</v>
      </c>
      <c r="U13" s="13">
        <f t="shared" ref="U13:U14" si="15">+R13*T13</f>
        <v>0</v>
      </c>
    </row>
    <row r="14" spans="1:22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33"/>
      <c r="O14" s="5">
        <f t="shared" si="11"/>
        <v>0</v>
      </c>
      <c r="P14" s="5">
        <f t="shared" si="12"/>
        <v>0</v>
      </c>
      <c r="Q14" s="5">
        <f t="shared" si="13"/>
        <v>0</v>
      </c>
      <c r="R14" s="21">
        <f t="shared" si="14"/>
        <v>0</v>
      </c>
      <c r="S14" s="71"/>
      <c r="T14" s="61">
        <v>1.76</v>
      </c>
      <c r="U14" s="13">
        <f t="shared" si="15"/>
        <v>0</v>
      </c>
    </row>
    <row r="15" spans="1:22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33"/>
      <c r="O15" s="5">
        <f t="shared" si="11"/>
        <v>0</v>
      </c>
      <c r="P15" s="5">
        <f t="shared" si="12"/>
        <v>0</v>
      </c>
      <c r="Q15" s="5">
        <f t="shared" si="13"/>
        <v>0</v>
      </c>
      <c r="R15" s="21">
        <f t="shared" si="14"/>
        <v>0</v>
      </c>
      <c r="S15" s="71"/>
      <c r="T15" s="61"/>
      <c r="U15" s="13"/>
    </row>
    <row r="16" spans="1:22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33"/>
      <c r="O16" s="5">
        <f t="shared" si="11"/>
        <v>0</v>
      </c>
      <c r="P16" s="5">
        <f t="shared" si="12"/>
        <v>0</v>
      </c>
      <c r="Q16" s="5">
        <f t="shared" si="13"/>
        <v>0</v>
      </c>
      <c r="R16" s="21">
        <f t="shared" si="14"/>
        <v>0</v>
      </c>
      <c r="S16" s="71"/>
      <c r="T16" s="107">
        <v>1.6</v>
      </c>
      <c r="U16" s="13">
        <f t="shared" ref="U16:U17" si="16">+R16*T16</f>
        <v>0</v>
      </c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76"/>
      <c r="O17" s="5">
        <f t="shared" si="11"/>
        <v>0</v>
      </c>
      <c r="P17" s="5">
        <f t="shared" si="12"/>
        <v>0</v>
      </c>
      <c r="Q17" s="5">
        <f t="shared" si="13"/>
        <v>0</v>
      </c>
      <c r="R17" s="22">
        <f t="shared" si="14"/>
        <v>0</v>
      </c>
      <c r="S17" s="71"/>
      <c r="T17" s="61">
        <v>2.56</v>
      </c>
      <c r="U17" s="13">
        <f t="shared" si="16"/>
        <v>0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47243.17</v>
      </c>
      <c r="F18" s="118">
        <f t="shared" ref="F18:R18" si="17">+SUM(F19:F43)</f>
        <v>2108463.37</v>
      </c>
      <c r="G18" s="118">
        <f t="shared" si="17"/>
        <v>321323.73</v>
      </c>
      <c r="H18" s="118">
        <f t="shared" si="17"/>
        <v>61184.9</v>
      </c>
      <c r="I18" s="118">
        <f t="shared" si="17"/>
        <v>0</v>
      </c>
      <c r="J18" s="118">
        <f t="shared" si="17"/>
        <v>0</v>
      </c>
      <c r="K18" s="118">
        <f t="shared" si="17"/>
        <v>0</v>
      </c>
      <c r="L18" s="118"/>
      <c r="M18" s="118">
        <f t="shared" si="17"/>
        <v>2435.4</v>
      </c>
      <c r="N18" s="118">
        <f t="shared" si="17"/>
        <v>231036.62</v>
      </c>
      <c r="O18" s="118">
        <f t="shared" si="17"/>
        <v>2771687.19</v>
      </c>
      <c r="P18" s="118">
        <f t="shared" si="17"/>
        <v>2542832.2844036701</v>
      </c>
      <c r="Q18" s="118">
        <f t="shared" si="17"/>
        <v>228854.90559633053</v>
      </c>
      <c r="R18" s="118">
        <f t="shared" si="17"/>
        <v>52724.245355555577</v>
      </c>
      <c r="S18" s="71"/>
      <c r="T18" s="61"/>
      <c r="U18" s="105">
        <f>+SUM(U19:U42)</f>
        <v>2388077.3500000006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28370</v>
      </c>
      <c r="F19" s="92">
        <v>1214696.67</v>
      </c>
      <c r="G19" s="92">
        <v>178160</v>
      </c>
      <c r="H19" s="92">
        <v>31383.33</v>
      </c>
      <c r="I19" s="23"/>
      <c r="J19" s="34"/>
      <c r="K19" s="34"/>
      <c r="L19" s="34"/>
      <c r="M19" s="34">
        <v>1330</v>
      </c>
      <c r="N19" s="34">
        <v>113503.33</v>
      </c>
      <c r="O19" s="5">
        <f t="shared" ref="O19:O43" si="18">+SUM(E19:N19)</f>
        <v>1567443.33</v>
      </c>
      <c r="P19" s="99">
        <f t="shared" ref="P19:P43" si="19">+O19/1.09</f>
        <v>1438021.4036697247</v>
      </c>
      <c r="Q19" s="24">
        <f>+O19-P19</f>
        <v>129421.92633027537</v>
      </c>
      <c r="R19" s="94">
        <f t="shared" ref="R19:R42" si="20">O19/D19</f>
        <v>15674.433300000001</v>
      </c>
      <c r="S19" s="41"/>
      <c r="T19" s="61"/>
      <c r="U19" s="106"/>
      <c r="V19"/>
      <c r="W19" s="142"/>
      <c r="X19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4426.67</v>
      </c>
      <c r="F20" s="48">
        <v>336508.33</v>
      </c>
      <c r="G20" s="48">
        <v>46651.67</v>
      </c>
      <c r="H20" s="48">
        <v>10613.33</v>
      </c>
      <c r="I20" s="13"/>
      <c r="J20" s="33"/>
      <c r="K20" s="33"/>
      <c r="L20" s="33"/>
      <c r="M20" s="33">
        <v>691.67</v>
      </c>
      <c r="N20" s="33">
        <v>6423.33</v>
      </c>
      <c r="O20" s="5">
        <f t="shared" si="18"/>
        <v>405315</v>
      </c>
      <c r="P20" s="5">
        <f t="shared" si="19"/>
        <v>371848.623853211</v>
      </c>
      <c r="Q20" s="5">
        <f t="shared" ref="Q20:Q43" si="21">+O20-P20</f>
        <v>33466.376146789</v>
      </c>
      <c r="R20" s="21">
        <f t="shared" si="20"/>
        <v>8106.3</v>
      </c>
      <c r="S20" s="41"/>
      <c r="T20" s="61">
        <v>50</v>
      </c>
      <c r="U20" s="13">
        <f t="shared" ref="U20:U21" si="22">+R20*T20</f>
        <v>405315</v>
      </c>
      <c r="W20" s="142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f>853.33+7571.33</f>
        <v>8424.66</v>
      </c>
      <c r="F21" s="95">
        <f>4434.67+336295.33</f>
        <v>340730</v>
      </c>
      <c r="G21" s="95">
        <f>726.67+60926.67</f>
        <v>61653.34</v>
      </c>
      <c r="H21" s="95">
        <v>5184</v>
      </c>
      <c r="I21" s="13"/>
      <c r="J21" s="33"/>
      <c r="K21" s="33"/>
      <c r="L21" s="33"/>
      <c r="M21" s="33">
        <v>111.33</v>
      </c>
      <c r="N21" s="33">
        <f>420.67+35114.67</f>
        <v>35535.339999999997</v>
      </c>
      <c r="O21" s="5">
        <f t="shared" si="18"/>
        <v>451638.67000000004</v>
      </c>
      <c r="P21" s="5">
        <f t="shared" si="19"/>
        <v>414347.40366972476</v>
      </c>
      <c r="Q21" s="5">
        <f t="shared" si="21"/>
        <v>37291.266330275277</v>
      </c>
      <c r="R21" s="21">
        <f t="shared" si="20"/>
        <v>22581.933500000003</v>
      </c>
      <c r="S21" s="41"/>
      <c r="T21" s="61">
        <v>80</v>
      </c>
      <c r="U21" s="13">
        <f t="shared" si="22"/>
        <v>1806554.6800000002</v>
      </c>
      <c r="W21" s="142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4032</v>
      </c>
      <c r="F22" s="48">
        <v>164826</v>
      </c>
      <c r="G22" s="95">
        <v>27138</v>
      </c>
      <c r="H22" s="95">
        <v>7137</v>
      </c>
      <c r="I22" s="13"/>
      <c r="J22" s="33"/>
      <c r="K22" s="33"/>
      <c r="L22" s="33"/>
      <c r="M22" s="33">
        <v>171</v>
      </c>
      <c r="N22" s="33">
        <v>48444</v>
      </c>
      <c r="O22" s="5">
        <f t="shared" si="18"/>
        <v>251748</v>
      </c>
      <c r="P22" s="5">
        <f t="shared" si="19"/>
        <v>230961.46788990824</v>
      </c>
      <c r="Q22" s="5">
        <f t="shared" si="21"/>
        <v>20786.532110091764</v>
      </c>
      <c r="R22" s="21">
        <f t="shared" si="20"/>
        <v>2797.2</v>
      </c>
      <c r="S22" s="41"/>
      <c r="T22" s="61"/>
      <c r="U22" s="13"/>
      <c r="W22" s="142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165</v>
      </c>
      <c r="F23" s="95">
        <v>9025.5</v>
      </c>
      <c r="G23" s="95">
        <v>1548</v>
      </c>
      <c r="H23" s="95">
        <v>522</v>
      </c>
      <c r="I23" s="13"/>
      <c r="J23" s="33"/>
      <c r="K23" s="33"/>
      <c r="L23" s="33"/>
      <c r="M23" s="33"/>
      <c r="N23" s="33">
        <v>2118</v>
      </c>
      <c r="O23" s="5">
        <f t="shared" si="18"/>
        <v>13378.5</v>
      </c>
      <c r="P23" s="5">
        <f t="shared" si="19"/>
        <v>12273.853211009173</v>
      </c>
      <c r="Q23" s="5">
        <f t="shared" si="21"/>
        <v>1104.6467889908272</v>
      </c>
      <c r="R23" s="21">
        <f t="shared" si="20"/>
        <v>297.3</v>
      </c>
      <c r="S23" s="35"/>
      <c r="T23" s="61">
        <v>45</v>
      </c>
      <c r="U23" s="13">
        <f t="shared" ref="U23:U24" si="23">+R23*T23</f>
        <v>13378.5</v>
      </c>
      <c r="W23" s="142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f>55.2+308.4</f>
        <v>363.59999999999997</v>
      </c>
      <c r="F24" s="95">
        <f>102+7736.4</f>
        <v>7838.4</v>
      </c>
      <c r="G24" s="95">
        <v>1248.5999999999999</v>
      </c>
      <c r="H24" s="95">
        <v>147.6</v>
      </c>
      <c r="I24" s="13"/>
      <c r="J24" s="33"/>
      <c r="K24" s="33"/>
      <c r="L24" s="33"/>
      <c r="M24" s="33">
        <f>15.6+61.8</f>
        <v>77.399999999999991</v>
      </c>
      <c r="N24" s="33">
        <f>100.2+2641.8</f>
        <v>2742</v>
      </c>
      <c r="O24" s="5">
        <f t="shared" si="18"/>
        <v>12417.6</v>
      </c>
      <c r="P24" s="5">
        <f t="shared" si="19"/>
        <v>11392.293577981651</v>
      </c>
      <c r="Q24" s="5">
        <f t="shared" si="21"/>
        <v>1025.3064220183496</v>
      </c>
      <c r="R24" s="21">
        <f t="shared" si="20"/>
        <v>689.86666666666667</v>
      </c>
      <c r="S24" s="35"/>
      <c r="T24" s="61">
        <v>72</v>
      </c>
      <c r="U24" s="13">
        <f t="shared" si="23"/>
        <v>49670.400000000001</v>
      </c>
      <c r="W24" s="142"/>
    </row>
    <row r="25" spans="1:24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>
        <v>246.67</v>
      </c>
      <c r="F25" s="95">
        <v>2493.33</v>
      </c>
      <c r="G25" s="95">
        <v>500</v>
      </c>
      <c r="H25" s="95">
        <v>573.33000000000004</v>
      </c>
      <c r="I25" s="13"/>
      <c r="J25" s="33"/>
      <c r="K25" s="33"/>
      <c r="L25" s="33"/>
      <c r="M25" s="33"/>
      <c r="N25" s="33">
        <v>3226.67</v>
      </c>
      <c r="O25" s="5">
        <f t="shared" si="18"/>
        <v>7040</v>
      </c>
      <c r="P25" s="5">
        <f t="shared" si="19"/>
        <v>6458.7155963302748</v>
      </c>
      <c r="Q25" s="5">
        <f t="shared" si="21"/>
        <v>581.28440366972518</v>
      </c>
      <c r="R25" s="21">
        <f t="shared" si="20"/>
        <v>23.466666666666665</v>
      </c>
      <c r="S25" s="35"/>
      <c r="T25" s="61"/>
      <c r="U25" s="13"/>
      <c r="W25" s="142"/>
    </row>
    <row r="26" spans="1:24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3410</v>
      </c>
      <c r="G26" s="95">
        <v>385</v>
      </c>
      <c r="H26" s="95">
        <v>598.33000000000004</v>
      </c>
      <c r="I26" s="13"/>
      <c r="J26" s="33"/>
      <c r="K26" s="33"/>
      <c r="L26" s="33"/>
      <c r="M26" s="33"/>
      <c r="N26" s="33">
        <v>831.67</v>
      </c>
      <c r="O26" s="5">
        <f t="shared" si="18"/>
        <v>5225</v>
      </c>
      <c r="P26" s="5">
        <f t="shared" si="19"/>
        <v>4793.5779816513759</v>
      </c>
      <c r="Q26" s="5">
        <f t="shared" si="21"/>
        <v>431.42201834862408</v>
      </c>
      <c r="R26" s="21">
        <f t="shared" si="20"/>
        <v>34.833333333333336</v>
      </c>
      <c r="S26" s="35"/>
      <c r="T26" s="61">
        <v>150</v>
      </c>
      <c r="U26" s="13">
        <f t="shared" ref="U26:U42" si="24">+R26*T26</f>
        <v>5225</v>
      </c>
      <c r="W26" s="142"/>
    </row>
    <row r="27" spans="1:24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f>137.33+196.67</f>
        <v>334</v>
      </c>
      <c r="F27" s="95">
        <v>10901.33</v>
      </c>
      <c r="G27" s="95">
        <v>1311.33</v>
      </c>
      <c r="H27" s="95">
        <v>692.67</v>
      </c>
      <c r="I27" s="13"/>
      <c r="J27" s="33"/>
      <c r="K27" s="33"/>
      <c r="L27" s="33"/>
      <c r="M27" s="33">
        <v>54</v>
      </c>
      <c r="N27" s="33">
        <f>91.33+9338.67</f>
        <v>9430</v>
      </c>
      <c r="O27" s="5">
        <f t="shared" si="18"/>
        <v>22723.33</v>
      </c>
      <c r="P27" s="5">
        <f t="shared" si="19"/>
        <v>20847.091743119265</v>
      </c>
      <c r="Q27" s="5">
        <f t="shared" si="21"/>
        <v>1876.238256880737</v>
      </c>
      <c r="R27" s="21">
        <f t="shared" si="20"/>
        <v>378.72216666666668</v>
      </c>
      <c r="S27" s="35"/>
      <c r="T27" s="61">
        <v>240</v>
      </c>
      <c r="U27" s="13">
        <f t="shared" si="24"/>
        <v>90893.32</v>
      </c>
      <c r="W27" s="142"/>
    </row>
    <row r="28" spans="1:24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>
        <v>669</v>
      </c>
      <c r="G28" s="95">
        <v>258</v>
      </c>
      <c r="H28" s="95">
        <v>750</v>
      </c>
      <c r="I28" s="13"/>
      <c r="J28" s="33"/>
      <c r="K28" s="33"/>
      <c r="L28" s="33"/>
      <c r="M28" s="33"/>
      <c r="N28" s="33">
        <v>2430</v>
      </c>
      <c r="O28" s="5">
        <f t="shared" si="18"/>
        <v>4107</v>
      </c>
      <c r="P28" s="5">
        <f t="shared" si="19"/>
        <v>3767.8899082568805</v>
      </c>
      <c r="Q28" s="5">
        <f t="shared" si="21"/>
        <v>339.11009174311948</v>
      </c>
      <c r="R28" s="21">
        <f t="shared" si="20"/>
        <v>15.21111111111111</v>
      </c>
      <c r="S28" s="35"/>
      <c r="T28" s="61"/>
      <c r="U28" s="13"/>
      <c r="W28" s="142"/>
    </row>
    <row r="29" spans="1:24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/>
      <c r="G29" s="95"/>
      <c r="H29" s="95">
        <v>133.5</v>
      </c>
      <c r="I29" s="13"/>
      <c r="J29" s="33"/>
      <c r="K29" s="33"/>
      <c r="L29" s="33"/>
      <c r="M29" s="33"/>
      <c r="N29" s="33">
        <v>120</v>
      </c>
      <c r="O29" s="5">
        <f t="shared" si="18"/>
        <v>253.5</v>
      </c>
      <c r="P29" s="5">
        <f t="shared" si="19"/>
        <v>232.56880733944953</v>
      </c>
      <c r="Q29" s="5">
        <f t="shared" si="21"/>
        <v>20.931192660550465</v>
      </c>
      <c r="R29" s="21">
        <f t="shared" si="20"/>
        <v>1.8777777777777778</v>
      </c>
      <c r="S29" s="35"/>
      <c r="T29" s="61">
        <v>135</v>
      </c>
      <c r="U29" s="13">
        <f t="shared" si="24"/>
        <v>253.5</v>
      </c>
      <c r="W29" s="142"/>
    </row>
    <row r="30" spans="1:24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0">
        <v>45.6</v>
      </c>
      <c r="F30" s="95">
        <v>179.4</v>
      </c>
      <c r="G30" s="95"/>
      <c r="H30" s="95">
        <v>48</v>
      </c>
      <c r="I30" s="13"/>
      <c r="J30" s="33"/>
      <c r="K30" s="33"/>
      <c r="L30" s="33"/>
      <c r="M30" s="33"/>
      <c r="N30" s="33">
        <v>854.4</v>
      </c>
      <c r="O30" s="5">
        <f t="shared" si="18"/>
        <v>1127.4000000000001</v>
      </c>
      <c r="P30" s="5">
        <f t="shared" si="19"/>
        <v>1034.3119266055046</v>
      </c>
      <c r="Q30" s="5">
        <f t="shared" si="21"/>
        <v>93.088073394495495</v>
      </c>
      <c r="R30" s="21">
        <f t="shared" si="20"/>
        <v>20.87777777777778</v>
      </c>
      <c r="S30" s="35"/>
      <c r="T30" s="61">
        <v>216</v>
      </c>
      <c r="U30" s="13">
        <f t="shared" si="24"/>
        <v>4509.6000000000004</v>
      </c>
      <c r="W30" s="142"/>
    </row>
    <row r="31" spans="1:24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>
        <v>596.66999999999996</v>
      </c>
      <c r="F31" s="95"/>
      <c r="G31" s="95"/>
      <c r="H31" s="95"/>
      <c r="I31" s="13"/>
      <c r="J31" s="33"/>
      <c r="K31" s="33"/>
      <c r="L31" s="33"/>
      <c r="M31" s="33"/>
      <c r="N31" s="33"/>
      <c r="O31" s="5">
        <f t="shared" si="18"/>
        <v>596.66999999999996</v>
      </c>
      <c r="P31" s="5">
        <f t="shared" si="19"/>
        <v>547.40366972477057</v>
      </c>
      <c r="Q31" s="5">
        <f t="shared" si="21"/>
        <v>49.266330275229393</v>
      </c>
      <c r="R31" s="21">
        <f t="shared" si="20"/>
        <v>0.99444999999999995</v>
      </c>
      <c r="S31" s="35"/>
      <c r="T31" s="61"/>
      <c r="U31" s="13"/>
      <c r="W31" s="142"/>
    </row>
    <row r="32" spans="1:24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1173.33</v>
      </c>
      <c r="G32" s="95"/>
      <c r="H32" s="95">
        <v>283.33</v>
      </c>
      <c r="I32" s="13"/>
      <c r="J32" s="33"/>
      <c r="K32" s="33"/>
      <c r="L32" s="33"/>
      <c r="M32" s="33"/>
      <c r="N32" s="33">
        <v>583.33000000000004</v>
      </c>
      <c r="O32" s="5">
        <f t="shared" si="18"/>
        <v>2039.9899999999998</v>
      </c>
      <c r="P32" s="5">
        <f t="shared" si="19"/>
        <v>1871.5504587155961</v>
      </c>
      <c r="Q32" s="5">
        <f t="shared" si="21"/>
        <v>168.43954128440373</v>
      </c>
      <c r="R32" s="21">
        <f t="shared" si="20"/>
        <v>6.7999666666666663</v>
      </c>
      <c r="S32" s="35"/>
      <c r="T32" s="61">
        <v>300</v>
      </c>
      <c r="U32" s="13">
        <f t="shared" si="24"/>
        <v>2039.9899999999998</v>
      </c>
      <c r="W32" s="142"/>
    </row>
    <row r="33" spans="1:24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f>108+640</f>
        <v>748</v>
      </c>
      <c r="G33" s="95">
        <v>102.67</v>
      </c>
      <c r="H33" s="95"/>
      <c r="I33" s="13"/>
      <c r="J33" s="33"/>
      <c r="K33" s="33"/>
      <c r="L33" s="33"/>
      <c r="M33" s="33"/>
      <c r="N33" s="33">
        <v>1214</v>
      </c>
      <c r="O33" s="5">
        <f t="shared" si="18"/>
        <v>2064.67</v>
      </c>
      <c r="P33" s="5">
        <f t="shared" si="19"/>
        <v>1894.1926605504586</v>
      </c>
      <c r="Q33" s="5">
        <f t="shared" si="21"/>
        <v>170.47733944954143</v>
      </c>
      <c r="R33" s="21">
        <f t="shared" si="20"/>
        <v>17.205583333333333</v>
      </c>
      <c r="S33" s="35"/>
      <c r="T33" s="61">
        <v>480</v>
      </c>
      <c r="U33" s="13">
        <f t="shared" si="24"/>
        <v>8258.68</v>
      </c>
      <c r="W33" s="142"/>
    </row>
    <row r="34" spans="1:24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>
        <v>1008</v>
      </c>
      <c r="O34" s="5">
        <f t="shared" si="18"/>
        <v>1008</v>
      </c>
      <c r="P34" s="5">
        <f t="shared" si="19"/>
        <v>924.77064220183479</v>
      </c>
      <c r="Q34" s="5">
        <f t="shared" si="21"/>
        <v>83.229357798165211</v>
      </c>
      <c r="R34" s="21">
        <f t="shared" si="20"/>
        <v>1.8666666666666667</v>
      </c>
      <c r="S34" s="35"/>
      <c r="T34" s="61"/>
      <c r="U34" s="13"/>
      <c r="W34" s="142"/>
    </row>
    <row r="35" spans="1:24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18"/>
        <v>0</v>
      </c>
      <c r="P35" s="5">
        <f t="shared" si="19"/>
        <v>0</v>
      </c>
      <c r="Q35" s="5">
        <f t="shared" si="21"/>
        <v>0</v>
      </c>
      <c r="R35" s="21">
        <f t="shared" si="20"/>
        <v>0</v>
      </c>
      <c r="S35" s="35"/>
      <c r="T35" s="61">
        <v>270</v>
      </c>
      <c r="U35" s="13">
        <f t="shared" si="24"/>
        <v>0</v>
      </c>
      <c r="W35" s="142"/>
    </row>
    <row r="36" spans="1:24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8"/>
        <v>0</v>
      </c>
      <c r="P36" s="5">
        <f t="shared" si="19"/>
        <v>0</v>
      </c>
      <c r="Q36" s="5">
        <f t="shared" si="21"/>
        <v>0</v>
      </c>
      <c r="R36" s="21">
        <f t="shared" si="20"/>
        <v>0</v>
      </c>
      <c r="S36" s="35"/>
      <c r="T36" s="61">
        <v>432</v>
      </c>
      <c r="U36" s="13">
        <f t="shared" si="24"/>
        <v>0</v>
      </c>
      <c r="W36" s="142"/>
    </row>
    <row r="37" spans="1:24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8"/>
        <v>0</v>
      </c>
      <c r="P37" s="5">
        <f t="shared" si="19"/>
        <v>0</v>
      </c>
      <c r="Q37" s="5">
        <f t="shared" si="21"/>
        <v>0</v>
      </c>
      <c r="R37" s="21">
        <f t="shared" si="20"/>
        <v>0</v>
      </c>
      <c r="S37" s="35"/>
      <c r="T37" s="61"/>
      <c r="U37" s="13"/>
      <c r="W37" s="142"/>
    </row>
    <row r="38" spans="1:24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8"/>
        <v>0</v>
      </c>
      <c r="P38" s="5">
        <f t="shared" si="19"/>
        <v>0</v>
      </c>
      <c r="Q38" s="5">
        <f t="shared" si="21"/>
        <v>0</v>
      </c>
      <c r="R38" s="21">
        <f t="shared" si="20"/>
        <v>0</v>
      </c>
      <c r="S38" s="35"/>
      <c r="T38" s="61">
        <v>450</v>
      </c>
      <c r="U38" s="13">
        <f t="shared" si="24"/>
        <v>0</v>
      </c>
      <c r="W38" s="142"/>
    </row>
    <row r="39" spans="1:24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>
        <v>170</v>
      </c>
      <c r="G39" s="95"/>
      <c r="H39" s="95">
        <v>168.67</v>
      </c>
      <c r="I39" s="13"/>
      <c r="J39" s="33"/>
      <c r="K39" s="33"/>
      <c r="L39" s="33"/>
      <c r="M39" s="33"/>
      <c r="N39" s="33"/>
      <c r="O39" s="5">
        <f t="shared" si="18"/>
        <v>338.66999999999996</v>
      </c>
      <c r="P39" s="5">
        <f t="shared" si="19"/>
        <v>310.70642201834858</v>
      </c>
      <c r="Q39" s="5">
        <f t="shared" si="21"/>
        <v>27.963577981651383</v>
      </c>
      <c r="R39" s="21">
        <f t="shared" si="20"/>
        <v>1.8814999999999997</v>
      </c>
      <c r="S39" s="35"/>
      <c r="T39" s="61">
        <v>720</v>
      </c>
      <c r="U39" s="13">
        <f t="shared" si="24"/>
        <v>1354.6799999999998</v>
      </c>
      <c r="W39" s="142"/>
    </row>
    <row r="40" spans="1:24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>
        <v>2370</v>
      </c>
      <c r="O40" s="5">
        <f t="shared" si="18"/>
        <v>2370</v>
      </c>
      <c r="P40" s="5">
        <f t="shared" si="19"/>
        <v>2174.3119266055046</v>
      </c>
      <c r="Q40" s="5">
        <f t="shared" si="21"/>
        <v>195.6880733944954</v>
      </c>
      <c r="R40" s="21">
        <f t="shared" si="20"/>
        <v>2.925925925925926</v>
      </c>
      <c r="S40" s="71"/>
      <c r="T40" s="61"/>
      <c r="U40" s="13"/>
      <c r="W40" s="142"/>
    </row>
    <row r="41" spans="1:24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18"/>
        <v>0</v>
      </c>
      <c r="P41" s="5">
        <f t="shared" si="19"/>
        <v>0</v>
      </c>
      <c r="Q41" s="5">
        <f t="shared" si="21"/>
        <v>0</v>
      </c>
      <c r="R41" s="21">
        <f t="shared" si="20"/>
        <v>0</v>
      </c>
      <c r="S41" s="71"/>
      <c r="T41" s="61">
        <v>405</v>
      </c>
      <c r="U41" s="13">
        <f t="shared" si="24"/>
        <v>0</v>
      </c>
      <c r="W41" s="142"/>
    </row>
    <row r="42" spans="1:24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>
        <v>156</v>
      </c>
      <c r="O42" s="26">
        <f t="shared" si="18"/>
        <v>156</v>
      </c>
      <c r="P42" s="26">
        <f t="shared" si="19"/>
        <v>143.11926605504587</v>
      </c>
      <c r="Q42" s="26">
        <f t="shared" si="21"/>
        <v>12.88073394495413</v>
      </c>
      <c r="R42" s="39">
        <f t="shared" si="20"/>
        <v>0.96296296296296291</v>
      </c>
      <c r="S42" s="71"/>
      <c r="T42" s="61">
        <v>648</v>
      </c>
      <c r="U42" s="13">
        <f t="shared" si="24"/>
        <v>624</v>
      </c>
      <c r="W42" s="142"/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238.3</v>
      </c>
      <c r="F43" s="124">
        <v>15094.08</v>
      </c>
      <c r="G43" s="124">
        <v>2367.12</v>
      </c>
      <c r="H43" s="124">
        <v>2949.81</v>
      </c>
      <c r="I43" s="124"/>
      <c r="J43" s="124"/>
      <c r="K43" s="124"/>
      <c r="L43" s="124"/>
      <c r="M43" s="124"/>
      <c r="N43" s="124">
        <v>46.55</v>
      </c>
      <c r="O43" s="6">
        <f t="shared" si="18"/>
        <v>20695.86</v>
      </c>
      <c r="P43" s="124">
        <f t="shared" si="19"/>
        <v>18987.027522935779</v>
      </c>
      <c r="Q43" s="6">
        <f t="shared" si="21"/>
        <v>1708.8324770642212</v>
      </c>
      <c r="R43" s="22">
        <f>+O43/D43</f>
        <v>2069.5860000000002</v>
      </c>
      <c r="S43" s="71"/>
      <c r="T43" s="61"/>
      <c r="U43" s="13"/>
      <c r="V43" s="2"/>
      <c r="W43" s="1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102.5</v>
      </c>
      <c r="F44" s="82">
        <f>+SUM(F45:F53)</f>
        <v>8697.57</v>
      </c>
      <c r="G44" s="82">
        <f>+SUM(G45:G53)</f>
        <v>1723</v>
      </c>
      <c r="H44" s="82">
        <f>+SUM(H45:H53)</f>
        <v>442.59000000000003</v>
      </c>
      <c r="I44" s="82">
        <f t="shared" ref="I44:R44" si="25">+SUM(I45:I53)</f>
        <v>0</v>
      </c>
      <c r="J44" s="82">
        <f t="shared" si="25"/>
        <v>0</v>
      </c>
      <c r="K44" s="100">
        <f t="shared" si="25"/>
        <v>0</v>
      </c>
      <c r="L44" s="100"/>
      <c r="M44" s="100">
        <f t="shared" si="25"/>
        <v>0</v>
      </c>
      <c r="N44" s="100">
        <f t="shared" si="25"/>
        <v>916.1</v>
      </c>
      <c r="O44" s="42">
        <f>+SUM(O45:O53)</f>
        <v>11881.76</v>
      </c>
      <c r="P44" s="82">
        <f t="shared" si="25"/>
        <v>10900.697247706421</v>
      </c>
      <c r="Q44" s="82">
        <f t="shared" si="25"/>
        <v>981.06275229357857</v>
      </c>
      <c r="R44" s="19">
        <f t="shared" si="25"/>
        <v>486.69999999999993</v>
      </c>
      <c r="S44" s="71"/>
      <c r="T44" s="61"/>
      <c r="U44" s="105">
        <f>+SUM(U45:U68)</f>
        <v>5592.9400000000005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75"/>
      <c r="O45" s="5">
        <f t="shared" ref="O45:O53" si="26">+SUM(E45:N45)</f>
        <v>0</v>
      </c>
      <c r="P45" s="99">
        <f t="shared" ref="P45:P53" si="27">+O45/1.09</f>
        <v>0</v>
      </c>
      <c r="Q45" s="64">
        <f t="shared" ref="Q45:Q53" si="28">+O45-P45</f>
        <v>0</v>
      </c>
      <c r="R45" s="85">
        <f t="shared" ref="R45:R53" si="29">O45/D45</f>
        <v>0</v>
      </c>
      <c r="S45" s="71"/>
      <c r="T45" s="61"/>
      <c r="U45" s="13"/>
      <c r="V45"/>
      <c r="W45" s="142"/>
      <c r="X45"/>
    </row>
    <row r="46" spans="1:24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33"/>
      <c r="O46" s="5">
        <f t="shared" si="26"/>
        <v>0</v>
      </c>
      <c r="P46" s="5">
        <f t="shared" si="27"/>
        <v>0</v>
      </c>
      <c r="Q46" s="5">
        <f t="shared" si="28"/>
        <v>0</v>
      </c>
      <c r="R46" s="31">
        <f t="shared" si="29"/>
        <v>0</v>
      </c>
      <c r="S46" s="71"/>
      <c r="T46" s="61">
        <v>6</v>
      </c>
      <c r="U46" s="13">
        <f t="shared" ref="U46:U47" si="30">+R46*T46</f>
        <v>0</v>
      </c>
      <c r="W46" s="142"/>
    </row>
    <row r="47" spans="1:24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33"/>
      <c r="O47" s="5">
        <f t="shared" si="26"/>
        <v>0</v>
      </c>
      <c r="P47" s="5">
        <f t="shared" si="27"/>
        <v>0</v>
      </c>
      <c r="Q47" s="5">
        <f t="shared" si="28"/>
        <v>0</v>
      </c>
      <c r="R47" s="31">
        <f t="shared" si="29"/>
        <v>0</v>
      </c>
      <c r="S47" s="71"/>
      <c r="T47" s="61">
        <v>9.6</v>
      </c>
      <c r="U47" s="13">
        <f t="shared" si="30"/>
        <v>0</v>
      </c>
      <c r="W47" s="142"/>
    </row>
    <row r="48" spans="1:24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/>
      <c r="F48" s="13">
        <v>441</v>
      </c>
      <c r="G48" s="13">
        <v>49</v>
      </c>
      <c r="H48" s="13">
        <v>56</v>
      </c>
      <c r="I48" s="13"/>
      <c r="J48" s="33"/>
      <c r="K48" s="33"/>
      <c r="L48" s="33"/>
      <c r="M48" s="33"/>
      <c r="N48" s="33">
        <v>14</v>
      </c>
      <c r="O48" s="5">
        <f t="shared" si="26"/>
        <v>560</v>
      </c>
      <c r="P48" s="5">
        <f t="shared" si="27"/>
        <v>513.7614678899082</v>
      </c>
      <c r="Q48" s="5">
        <f t="shared" si="28"/>
        <v>46.238532110091796</v>
      </c>
      <c r="R48" s="31">
        <f t="shared" si="29"/>
        <v>26.666666666666668</v>
      </c>
      <c r="S48" s="71"/>
      <c r="T48" s="61"/>
      <c r="U48" s="13"/>
      <c r="W48" s="142"/>
    </row>
    <row r="49" spans="1:23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17.5</v>
      </c>
      <c r="G49" s="13">
        <v>3.5</v>
      </c>
      <c r="H49" s="13"/>
      <c r="I49" s="13"/>
      <c r="J49" s="33"/>
      <c r="K49" s="33"/>
      <c r="L49" s="33"/>
      <c r="M49" s="33"/>
      <c r="N49" s="33">
        <v>7</v>
      </c>
      <c r="O49" s="5">
        <f t="shared" si="26"/>
        <v>28</v>
      </c>
      <c r="P49" s="5">
        <f t="shared" si="27"/>
        <v>25.688073394495412</v>
      </c>
      <c r="Q49" s="5">
        <f t="shared" si="28"/>
        <v>2.3119266055045884</v>
      </c>
      <c r="R49" s="21">
        <f t="shared" si="29"/>
        <v>2.6666666666666665</v>
      </c>
      <c r="S49" s="71"/>
      <c r="T49" s="61">
        <v>10.5</v>
      </c>
      <c r="U49" s="13">
        <f t="shared" ref="U49:U50" si="31">+R49*T49</f>
        <v>28</v>
      </c>
      <c r="W49" s="142"/>
    </row>
    <row r="50" spans="1:23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/>
      <c r="F50" s="13">
        <v>315</v>
      </c>
      <c r="G50" s="13">
        <f>1.4+16.8</f>
        <v>18.2</v>
      </c>
      <c r="H50" s="13">
        <v>9.8000000000000007</v>
      </c>
      <c r="I50" s="13"/>
      <c r="J50" s="33"/>
      <c r="K50" s="33"/>
      <c r="L50" s="33"/>
      <c r="M50" s="33"/>
      <c r="N50" s="33">
        <f>1.4+53.2</f>
        <v>54.6</v>
      </c>
      <c r="O50" s="5">
        <f t="shared" si="26"/>
        <v>397.6</v>
      </c>
      <c r="P50" s="5">
        <f t="shared" si="27"/>
        <v>364.77064220183485</v>
      </c>
      <c r="Q50" s="5">
        <f t="shared" si="28"/>
        <v>32.829357798165177</v>
      </c>
      <c r="R50" s="21">
        <f t="shared" si="29"/>
        <v>94.666666666666671</v>
      </c>
      <c r="S50" s="71"/>
      <c r="T50" s="61">
        <v>16.8</v>
      </c>
      <c r="U50" s="13">
        <f t="shared" si="31"/>
        <v>1590.4</v>
      </c>
      <c r="W50" s="142"/>
    </row>
    <row r="51" spans="1:23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90.2</v>
      </c>
      <c r="F51" s="13">
        <v>6769.1</v>
      </c>
      <c r="G51" s="13">
        <v>1476</v>
      </c>
      <c r="H51" s="13">
        <v>348.5</v>
      </c>
      <c r="I51" s="13"/>
      <c r="J51" s="33"/>
      <c r="K51" s="33"/>
      <c r="L51" s="33"/>
      <c r="M51" s="33"/>
      <c r="N51" s="33">
        <v>692.9</v>
      </c>
      <c r="O51" s="5">
        <f t="shared" si="26"/>
        <v>9376.6999999999989</v>
      </c>
      <c r="P51" s="5">
        <f t="shared" si="27"/>
        <v>8602.477064220182</v>
      </c>
      <c r="Q51" s="5">
        <f t="shared" si="28"/>
        <v>774.22293577981691</v>
      </c>
      <c r="R51" s="21">
        <f t="shared" si="29"/>
        <v>228.69999999999996</v>
      </c>
      <c r="S51" s="71"/>
      <c r="T51" s="61"/>
      <c r="U51" s="13"/>
      <c r="W51" s="142"/>
    </row>
    <row r="52" spans="1:23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4.0999999999999996</v>
      </c>
      <c r="F52" s="13">
        <v>576.04999999999995</v>
      </c>
      <c r="G52" s="13">
        <v>106.6</v>
      </c>
      <c r="H52" s="13">
        <v>14.35</v>
      </c>
      <c r="I52" s="13"/>
      <c r="J52" s="33"/>
      <c r="K52" s="33"/>
      <c r="L52" s="33"/>
      <c r="M52" s="33"/>
      <c r="N52" s="33"/>
      <c r="O52" s="5">
        <f t="shared" si="26"/>
        <v>701.1</v>
      </c>
      <c r="P52" s="5">
        <f t="shared" si="27"/>
        <v>643.21100917431193</v>
      </c>
      <c r="Q52" s="5">
        <f t="shared" si="28"/>
        <v>57.888990825688097</v>
      </c>
      <c r="R52" s="21">
        <f t="shared" si="29"/>
        <v>34.200000000000003</v>
      </c>
      <c r="S52" s="71"/>
      <c r="T52" s="61">
        <v>20.5</v>
      </c>
      <c r="U52" s="13">
        <f t="shared" ref="U52:U53" si="32">+R52*T52</f>
        <v>701.1</v>
      </c>
      <c r="W52" s="142"/>
    </row>
    <row r="53" spans="1:23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8.1999999999999993</v>
      </c>
      <c r="F53" s="14">
        <f>13.12+565.8</f>
        <v>578.91999999999996</v>
      </c>
      <c r="G53" s="14">
        <v>69.7</v>
      </c>
      <c r="H53" s="14">
        <v>13.94</v>
      </c>
      <c r="I53" s="14"/>
      <c r="J53" s="76"/>
      <c r="K53" s="76"/>
      <c r="L53" s="76"/>
      <c r="M53" s="76"/>
      <c r="N53" s="76">
        <f>3.28+144.32</f>
        <v>147.6</v>
      </c>
      <c r="O53" s="6">
        <f t="shared" si="26"/>
        <v>818.36000000000013</v>
      </c>
      <c r="P53" s="6">
        <f t="shared" si="27"/>
        <v>750.78899082568819</v>
      </c>
      <c r="Q53" s="6">
        <f t="shared" si="28"/>
        <v>67.571009174311939</v>
      </c>
      <c r="R53" s="22">
        <f t="shared" si="29"/>
        <v>99.800000000000026</v>
      </c>
      <c r="S53" s="35"/>
      <c r="T53" s="61">
        <v>32.799999999999997</v>
      </c>
      <c r="U53" s="13">
        <f t="shared" si="32"/>
        <v>3273.4400000000005</v>
      </c>
      <c r="W53" s="142"/>
    </row>
    <row r="54" spans="1:23" x14ac:dyDescent="0.25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23" x14ac:dyDescent="0.25"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7" spans="1:23" x14ac:dyDescent="0.25">
      <c r="N57" s="137"/>
    </row>
    <row r="73" spans="2:2" x14ac:dyDescent="0.25">
      <c r="B73" s="1"/>
    </row>
  </sheetData>
  <mergeCells count="18">
    <mergeCell ref="F3:F4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9"/>
  <sheetViews>
    <sheetView workbookViewId="0">
      <selection activeCell="C19" sqref="C19"/>
    </sheetView>
  </sheetViews>
  <sheetFormatPr defaultRowHeight="14.4" outlineLevelCol="1" x14ac:dyDescent="0.3"/>
  <cols>
    <col min="1" max="1" width="4.88671875" customWidth="1"/>
    <col min="2" max="2" width="10.6640625" customWidth="1"/>
    <col min="3" max="3" width="11.6640625" customWidth="1"/>
    <col min="4" max="4" width="10" customWidth="1"/>
    <col min="5" max="5" width="11.6640625" customWidth="1"/>
    <col min="6" max="6" width="16.33203125" bestFit="1" customWidth="1"/>
    <col min="7" max="7" width="7.88671875" customWidth="1"/>
    <col min="8" max="8" width="16.33203125" customWidth="1"/>
    <col min="9" max="9" width="8.6640625" customWidth="1"/>
    <col min="10" max="10" width="12.44140625" customWidth="1"/>
    <col min="11" max="11" width="11.6640625" customWidth="1"/>
    <col min="12" max="12" width="22" hidden="1" customWidth="1" outlineLevel="1"/>
    <col min="13" max="13" width="57.6640625" bestFit="1" customWidth="1" collapsed="1"/>
    <col min="14" max="14" width="24.109375" customWidth="1"/>
  </cols>
  <sheetData>
    <row r="1" spans="1:14" x14ac:dyDescent="0.3">
      <c r="A1" s="142" t="s">
        <v>308</v>
      </c>
      <c r="B1" s="142"/>
    </row>
    <row r="3" spans="1:14" ht="28.8" x14ac:dyDescent="0.3">
      <c r="A3" s="310" t="s">
        <v>270</v>
      </c>
      <c r="B3" s="311" t="s">
        <v>271</v>
      </c>
      <c r="C3" s="311" t="s">
        <v>272</v>
      </c>
      <c r="D3" s="311" t="s">
        <v>273</v>
      </c>
      <c r="E3" s="311" t="s">
        <v>274</v>
      </c>
      <c r="F3" s="311" t="s">
        <v>275</v>
      </c>
      <c r="G3" s="311" t="s">
        <v>304</v>
      </c>
      <c r="H3" s="311" t="s">
        <v>307</v>
      </c>
      <c r="I3" s="311" t="s">
        <v>339</v>
      </c>
      <c r="J3" s="311" t="s">
        <v>276</v>
      </c>
      <c r="K3" s="310" t="s">
        <v>277</v>
      </c>
      <c r="L3" s="310" t="s">
        <v>306</v>
      </c>
      <c r="M3" s="310" t="s">
        <v>332</v>
      </c>
      <c r="N3" s="310" t="s">
        <v>384</v>
      </c>
    </row>
    <row r="4" spans="1:14" x14ac:dyDescent="0.3">
      <c r="A4" s="320">
        <v>1</v>
      </c>
      <c r="B4" s="321" t="s">
        <v>278</v>
      </c>
      <c r="C4" s="322">
        <v>41659</v>
      </c>
      <c r="D4" s="323" t="s">
        <v>279</v>
      </c>
      <c r="E4" s="323" t="s">
        <v>280</v>
      </c>
      <c r="F4" s="322" t="s">
        <v>281</v>
      </c>
      <c r="G4" s="324">
        <v>8.8000000000000007</v>
      </c>
      <c r="H4" s="325">
        <v>3118108374</v>
      </c>
      <c r="I4" s="325" t="s">
        <v>342</v>
      </c>
      <c r="J4" s="322">
        <v>41661</v>
      </c>
      <c r="K4" s="322">
        <v>41666</v>
      </c>
      <c r="L4" s="345" t="s">
        <v>329</v>
      </c>
      <c r="M4" s="345" t="s">
        <v>333</v>
      </c>
      <c r="N4" s="345"/>
    </row>
    <row r="5" spans="1:14" s="312" customFormat="1" x14ac:dyDescent="0.3">
      <c r="A5" s="320">
        <v>2</v>
      </c>
      <c r="B5" s="321" t="s">
        <v>282</v>
      </c>
      <c r="C5" s="322">
        <v>41666</v>
      </c>
      <c r="D5" s="323" t="s">
        <v>283</v>
      </c>
      <c r="E5" s="323" t="s">
        <v>284</v>
      </c>
      <c r="F5" s="322" t="s">
        <v>281</v>
      </c>
      <c r="G5" s="326">
        <v>4.4000000000000004</v>
      </c>
      <c r="H5" s="327">
        <v>3630614994</v>
      </c>
      <c r="I5" s="327" t="s">
        <v>341</v>
      </c>
      <c r="J5" s="322">
        <v>41666</v>
      </c>
      <c r="K5" s="322">
        <v>41674</v>
      </c>
      <c r="L5" s="345" t="s">
        <v>329</v>
      </c>
      <c r="M5" s="345" t="s">
        <v>334</v>
      </c>
      <c r="N5" s="345"/>
    </row>
    <row r="6" spans="1:14" x14ac:dyDescent="0.3">
      <c r="A6" s="320">
        <v>3</v>
      </c>
      <c r="B6" s="328" t="s">
        <v>285</v>
      </c>
      <c r="C6" s="322">
        <v>41680</v>
      </c>
      <c r="D6" s="323" t="s">
        <v>286</v>
      </c>
      <c r="E6" s="323" t="s">
        <v>287</v>
      </c>
      <c r="F6" s="322" t="s">
        <v>281</v>
      </c>
      <c r="G6" s="324">
        <v>3.2</v>
      </c>
      <c r="H6" s="325">
        <v>3404425254</v>
      </c>
      <c r="I6" s="325" t="s">
        <v>343</v>
      </c>
      <c r="J6" s="322">
        <v>41680</v>
      </c>
      <c r="K6" s="322">
        <v>41688</v>
      </c>
      <c r="L6" s="345" t="s">
        <v>329</v>
      </c>
      <c r="M6" s="345" t="s">
        <v>335</v>
      </c>
      <c r="N6" s="345"/>
    </row>
    <row r="7" spans="1:14" x14ac:dyDescent="0.3">
      <c r="A7" s="320">
        <v>4</v>
      </c>
      <c r="B7" s="329" t="s">
        <v>288</v>
      </c>
      <c r="C7" s="329">
        <v>41691</v>
      </c>
      <c r="D7" s="330" t="s">
        <v>289</v>
      </c>
      <c r="E7" s="330" t="s">
        <v>290</v>
      </c>
      <c r="F7" s="329" t="s">
        <v>281</v>
      </c>
      <c r="G7" s="324">
        <v>4.4000000000000004</v>
      </c>
      <c r="H7" s="325">
        <v>3623796770</v>
      </c>
      <c r="I7" s="325" t="s">
        <v>342</v>
      </c>
      <c r="J7" s="329">
        <v>41694</v>
      </c>
      <c r="K7" s="322">
        <v>41696</v>
      </c>
      <c r="L7" s="345" t="s">
        <v>329</v>
      </c>
      <c r="M7" s="345" t="s">
        <v>336</v>
      </c>
      <c r="N7" s="345"/>
    </row>
    <row r="8" spans="1:14" x14ac:dyDescent="0.3">
      <c r="A8" s="320">
        <v>6</v>
      </c>
      <c r="B8" s="331" t="s">
        <v>291</v>
      </c>
      <c r="C8" s="332">
        <v>41718</v>
      </c>
      <c r="D8" s="331" t="s">
        <v>292</v>
      </c>
      <c r="E8" s="331" t="s">
        <v>293</v>
      </c>
      <c r="F8" s="329" t="s">
        <v>281</v>
      </c>
      <c r="G8" s="324">
        <v>6.6</v>
      </c>
      <c r="H8" s="325">
        <v>2416471062</v>
      </c>
      <c r="I8" s="325" t="s">
        <v>344</v>
      </c>
      <c r="J8" s="332">
        <v>41725</v>
      </c>
      <c r="K8" s="332">
        <v>41732</v>
      </c>
      <c r="L8" s="345" t="s">
        <v>330</v>
      </c>
      <c r="M8" s="345" t="s">
        <v>337</v>
      </c>
      <c r="N8" s="345"/>
    </row>
    <row r="9" spans="1:14" x14ac:dyDescent="0.3">
      <c r="A9" s="320">
        <v>7</v>
      </c>
      <c r="B9" s="331" t="s">
        <v>294</v>
      </c>
      <c r="C9" s="332">
        <v>41724</v>
      </c>
      <c r="D9" s="331" t="s">
        <v>295</v>
      </c>
      <c r="E9" s="331" t="s">
        <v>296</v>
      </c>
      <c r="F9" s="329" t="s">
        <v>281</v>
      </c>
      <c r="G9" s="324">
        <v>11</v>
      </c>
      <c r="H9" s="325">
        <v>2834941138</v>
      </c>
      <c r="I9" s="325" t="s">
        <v>340</v>
      </c>
      <c r="J9" s="332">
        <v>41729</v>
      </c>
      <c r="K9" s="332">
        <v>41732</v>
      </c>
      <c r="L9" s="345" t="s">
        <v>331</v>
      </c>
      <c r="M9" s="346" t="s">
        <v>338</v>
      </c>
      <c r="N9" s="34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pasirinkti">
          <x14:formula1>
            <xm:f>[1]duomenys!#REF!</xm:f>
          </x14:formula1>
          <xm:sqref>F4</xm:sqref>
        </x14:dataValidation>
        <x14:dataValidation type="list" allowBlank="1" showInputMessage="1" showErrorMessage="1" prompt="pasirinkti">
          <x14:formula1>
            <xm:f>[1]duomenys!#REF!</xm:f>
          </x14:formula1>
          <xm:sqref>F5 F7:F9</xm:sqref>
        </x14:dataValidation>
        <x14:dataValidation type="list" allowBlank="1" showInputMessage="1" showErrorMessage="1" prompt="pasirinkti">
          <x14:formula1>
            <xm:f>[2]duomenys!#REF!</xm:f>
          </x14:formula1>
          <xm:sqref>F6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H73"/>
  <sheetViews>
    <sheetView topLeftCell="O1" zoomScaleNormal="100" workbookViewId="0">
      <selection activeCell="U9" sqref="U9:U53"/>
    </sheetView>
  </sheetViews>
  <sheetFormatPr defaultColWidth="8.88671875" defaultRowHeight="14.4" outlineLevelCol="1" x14ac:dyDescent="0.3"/>
  <cols>
    <col min="1" max="1" width="11.88671875" style="1" customWidth="1"/>
    <col min="2" max="2" width="5" style="3" customWidth="1"/>
    <col min="3" max="3" width="41" style="1" customWidth="1"/>
    <col min="4" max="4" width="9.88671875" style="4" customWidth="1"/>
    <col min="5" max="5" width="14.554687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3" width="13" style="1" customWidth="1" outlineLevel="1"/>
    <col min="14" max="14" width="11.88671875" style="1" customWidth="1" outlineLevel="1"/>
    <col min="15" max="15" width="12.33203125" style="1" bestFit="1" customWidth="1"/>
    <col min="16" max="16" width="12.33203125" style="1" customWidth="1"/>
    <col min="17" max="17" width="13.109375" style="1" bestFit="1" customWidth="1"/>
    <col min="18" max="18" width="12.33203125" style="1" bestFit="1" customWidth="1"/>
    <col min="19" max="19" width="2.44140625" style="1" customWidth="1"/>
    <col min="20" max="20" width="6.5546875" style="1" customWidth="1" outlineLevel="1"/>
    <col min="21" max="21" width="14.33203125" style="2" customWidth="1" outlineLevel="1"/>
    <col min="22" max="22" width="4.33203125" style="1" customWidth="1" outlineLevel="1"/>
    <col min="23" max="23" width="11.5546875" bestFit="1" customWidth="1"/>
    <col min="24" max="24" width="15.44140625" style="141" hidden="1" customWidth="1" outlineLevel="1"/>
    <col min="25" max="25" width="19.44140625" style="1" hidden="1" customWidth="1" outlineLevel="1"/>
    <col min="26" max="26" width="15.33203125" style="1" hidden="1" customWidth="1" outlineLevel="1"/>
    <col min="27" max="27" width="16" style="1" hidden="1" customWidth="1" outlineLevel="1"/>
    <col min="28" max="28" width="8.88671875" collapsed="1"/>
    <col min="29" max="16384" width="8.88671875" style="1"/>
  </cols>
  <sheetData>
    <row r="1" spans="1:34" ht="16.95" customHeight="1" x14ac:dyDescent="0.3">
      <c r="A1" s="40" t="s">
        <v>241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X1" s="138"/>
    </row>
    <row r="2" spans="1:34" ht="18" customHeight="1" x14ac:dyDescent="0.3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U2" s="138"/>
      <c r="X2" s="138"/>
    </row>
    <row r="3" spans="1:34" ht="26.4" customHeight="1" x14ac:dyDescent="0.3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270"/>
      <c r="U3" s="584" t="s">
        <v>148</v>
      </c>
      <c r="X3" s="593" t="s">
        <v>183</v>
      </c>
      <c r="Y3" s="595" t="s">
        <v>209</v>
      </c>
      <c r="Z3" s="595" t="s">
        <v>184</v>
      </c>
      <c r="AA3" s="595" t="s">
        <v>210</v>
      </c>
    </row>
    <row r="4" spans="1:34" ht="27.6" customHeight="1" x14ac:dyDescent="0.3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  <c r="X4" s="594"/>
      <c r="Y4" s="596"/>
      <c r="Z4" s="596"/>
      <c r="AA4" s="596"/>
    </row>
    <row r="5" spans="1:34" ht="12" customHeight="1" x14ac:dyDescent="0.3">
      <c r="A5" s="70" t="s">
        <v>29</v>
      </c>
      <c r="B5" s="52" t="s">
        <v>36</v>
      </c>
      <c r="C5" s="9" t="s">
        <v>45</v>
      </c>
      <c r="D5" s="78"/>
      <c r="E5" s="231">
        <f t="shared" ref="E5:R5" si="0">+E6+E18+E44</f>
        <v>142056.45000000001</v>
      </c>
      <c r="F5" s="82">
        <f t="shared" si="0"/>
        <v>6083359.7000000002</v>
      </c>
      <c r="G5" s="82">
        <f t="shared" si="0"/>
        <v>907305.2300000001</v>
      </c>
      <c r="H5" s="82">
        <f t="shared" si="0"/>
        <v>143666.56999999998</v>
      </c>
      <c r="I5" s="187">
        <f t="shared" si="0"/>
        <v>550200</v>
      </c>
      <c r="J5" s="187">
        <f t="shared" si="0"/>
        <v>882339.85</v>
      </c>
      <c r="K5" s="192">
        <f t="shared" si="0"/>
        <v>889301.82000000018</v>
      </c>
      <c r="L5" s="192">
        <f t="shared" si="0"/>
        <v>2609.7200000001126</v>
      </c>
      <c r="M5" s="187">
        <f t="shared" si="0"/>
        <v>2299.98</v>
      </c>
      <c r="N5" s="19">
        <f t="shared" si="0"/>
        <v>605641.47000000009</v>
      </c>
      <c r="O5" s="42">
        <f t="shared" si="0"/>
        <v>10208780.790000003</v>
      </c>
      <c r="P5" s="42">
        <f t="shared" si="0"/>
        <v>9365853.9357798174</v>
      </c>
      <c r="Q5" s="42">
        <f t="shared" si="0"/>
        <v>842926.85422018403</v>
      </c>
      <c r="R5" s="42">
        <f t="shared" si="0"/>
        <v>2104746.6565999999</v>
      </c>
      <c r="S5" s="71"/>
      <c r="T5" s="87"/>
      <c r="U5" s="135">
        <f>+U6+U18+U44</f>
        <v>6413022.9000000004</v>
      </c>
      <c r="X5" s="42">
        <v>11342441.43</v>
      </c>
      <c r="Y5" s="42">
        <v>2528001.6799999997</v>
      </c>
      <c r="Z5" s="42">
        <v>2735259.4299999997</v>
      </c>
      <c r="AA5" s="42">
        <v>8607182</v>
      </c>
    </row>
    <row r="6" spans="1:34" ht="12" customHeight="1" x14ac:dyDescent="0.3">
      <c r="A6" s="70" t="s">
        <v>12</v>
      </c>
      <c r="B6" s="52" t="s">
        <v>30</v>
      </c>
      <c r="C6" s="9" t="s">
        <v>1</v>
      </c>
      <c r="D6" s="78"/>
      <c r="E6" s="231">
        <f t="shared" ref="E6:R6" si="1">+E7+E11</f>
        <v>29002.48</v>
      </c>
      <c r="F6" s="82">
        <f t="shared" si="1"/>
        <v>1436594.2800000003</v>
      </c>
      <c r="G6" s="82">
        <f t="shared" si="1"/>
        <v>212952.58</v>
      </c>
      <c r="H6" s="82">
        <f t="shared" si="1"/>
        <v>28936.420000000002</v>
      </c>
      <c r="I6" s="187">
        <f t="shared" si="1"/>
        <v>550200</v>
      </c>
      <c r="J6" s="187">
        <f t="shared" si="1"/>
        <v>882339.85</v>
      </c>
      <c r="K6" s="192">
        <f t="shared" si="1"/>
        <v>889301.82000000018</v>
      </c>
      <c r="L6" s="192">
        <f t="shared" si="1"/>
        <v>2609.7200000001126</v>
      </c>
      <c r="M6" s="187">
        <f t="shared" si="1"/>
        <v>1821.38</v>
      </c>
      <c r="N6" s="19">
        <f t="shared" si="1"/>
        <v>144696.18</v>
      </c>
      <c r="O6" s="42">
        <f t="shared" si="1"/>
        <v>4178454.7100000004</v>
      </c>
      <c r="P6" s="42">
        <f t="shared" si="1"/>
        <v>3833444.6880733948</v>
      </c>
      <c r="Q6" s="42">
        <f t="shared" si="1"/>
        <v>345010.02192660572</v>
      </c>
      <c r="R6" s="44">
        <f t="shared" si="1"/>
        <v>1971062</v>
      </c>
      <c r="T6" s="61"/>
      <c r="U6" s="105">
        <f>+SUM(U8:U17)</f>
        <v>886108.59</v>
      </c>
      <c r="X6" s="42">
        <v>4576424.83</v>
      </c>
      <c r="Y6" s="42">
        <v>0</v>
      </c>
      <c r="Z6" s="42">
        <v>0</v>
      </c>
      <c r="AA6" s="42">
        <v>4576424.83</v>
      </c>
    </row>
    <row r="7" spans="1:34" ht="12" customHeight="1" x14ac:dyDescent="0.3">
      <c r="A7" s="70" t="s">
        <v>52</v>
      </c>
      <c r="B7" s="52" t="s">
        <v>31</v>
      </c>
      <c r="C7" s="8" t="s">
        <v>11</v>
      </c>
      <c r="D7" s="79"/>
      <c r="E7" s="126">
        <f t="shared" ref="E7:L7" si="2">+SUM(E8:E10)</f>
        <v>0</v>
      </c>
      <c r="F7" s="269">
        <f t="shared" si="2"/>
        <v>0</v>
      </c>
      <c r="G7" s="126">
        <f t="shared" si="2"/>
        <v>0</v>
      </c>
      <c r="H7" s="126">
        <f t="shared" si="2"/>
        <v>0</v>
      </c>
      <c r="I7" s="126">
        <f t="shared" si="2"/>
        <v>550200</v>
      </c>
      <c r="J7" s="126">
        <f t="shared" si="2"/>
        <v>882339.85</v>
      </c>
      <c r="K7" s="126">
        <f t="shared" si="2"/>
        <v>0</v>
      </c>
      <c r="L7" s="126">
        <f t="shared" si="2"/>
        <v>0</v>
      </c>
      <c r="M7" s="269">
        <f t="shared" ref="M7:R7" si="3">+SUM(M8:M10)</f>
        <v>0</v>
      </c>
      <c r="N7" s="126">
        <f t="shared" si="3"/>
        <v>0</v>
      </c>
      <c r="O7" s="43">
        <f t="shared" si="3"/>
        <v>1432539.85</v>
      </c>
      <c r="P7" s="43">
        <f t="shared" si="3"/>
        <v>1314256.7431192661</v>
      </c>
      <c r="Q7" s="43">
        <f t="shared" si="3"/>
        <v>118283.10688073398</v>
      </c>
      <c r="R7" s="45">
        <f t="shared" si="3"/>
        <v>518903</v>
      </c>
      <c r="S7" s="71"/>
      <c r="T7" s="134"/>
      <c r="U7" s="105"/>
      <c r="X7" s="43">
        <v>1672731.55</v>
      </c>
      <c r="Y7" s="43">
        <v>0</v>
      </c>
      <c r="Z7" s="43">
        <v>0</v>
      </c>
      <c r="AA7" s="43">
        <v>1672731.55</v>
      </c>
    </row>
    <row r="8" spans="1:34" ht="12" customHeight="1" x14ac:dyDescent="0.3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+'R_2014_02_atkelta(viso)'!E8+R_2014_02_priskirta!E9</f>
        <v>0</v>
      </c>
      <c r="F8" s="127">
        <f>+'R_2014_02_atkelta(viso)'!F8+R_2014_02_priskirta!F9</f>
        <v>0</v>
      </c>
      <c r="G8" s="127">
        <f>+'R_2014_02_atkelta(viso)'!G8+R_2014_02_priskirta!G9</f>
        <v>0</v>
      </c>
      <c r="H8" s="127">
        <f>+'R_2014_02_atkelta(viso)'!H8+R_2014_02_priskirta!H9</f>
        <v>0</v>
      </c>
      <c r="I8" s="127">
        <f>+'R_2014_02_atkelta(viso)'!I8+R_2014_02_priskirta!I9</f>
        <v>400015</v>
      </c>
      <c r="J8" s="127">
        <f>+'R_2014_02_atkelta(viso)'!J8+R_2014_02_priskirta!J9</f>
        <v>656134.5</v>
      </c>
      <c r="K8" s="127">
        <f>+'R_2014_02_atkelta(viso)'!K8+R_2014_02_priskirta!K9</f>
        <v>0</v>
      </c>
      <c r="L8" s="127">
        <f>+'R_2014_02_atkelta(viso)'!L8+R_2014_02_priskirta!L9</f>
        <v>0</v>
      </c>
      <c r="M8" s="127">
        <f>+'R_2014_02_atkelta(viso)'!M8+R_2014_02_priskirta!M9</f>
        <v>0</v>
      </c>
      <c r="N8" s="127">
        <f>+'R_2014_02_atkelta(viso)'!N8+R_2014_02_priskirta!N9</f>
        <v>0</v>
      </c>
      <c r="O8" s="152">
        <f>+SUM(E8:N8)</f>
        <v>1056149.5</v>
      </c>
      <c r="P8" s="229">
        <f>+'R_2014_02_atkelta(viso)'!P8+R_2014_02_priskirta!P9</f>
        <v>968944.495412844</v>
      </c>
      <c r="Q8" s="73">
        <f t="shared" ref="Q8:Q10" si="4">+O8-P8</f>
        <v>87205.004587156</v>
      </c>
      <c r="R8" s="39">
        <f>O8/D8</f>
        <v>301757</v>
      </c>
      <c r="S8" s="71"/>
      <c r="T8" s="61"/>
      <c r="U8" s="13"/>
      <c r="V8" s="2"/>
      <c r="W8" s="102"/>
      <c r="X8" s="102"/>
      <c r="Y8" s="102"/>
      <c r="Z8" s="102"/>
      <c r="AA8" s="102"/>
      <c r="AB8" s="102"/>
      <c r="AC8" s="102"/>
      <c r="AD8" s="102"/>
      <c r="AE8" s="2"/>
      <c r="AF8" s="2"/>
      <c r="AG8" s="2"/>
      <c r="AH8" s="2"/>
    </row>
    <row r="9" spans="1:34" ht="12" customHeight="1" x14ac:dyDescent="0.3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+'R_2014_02_atkelta(viso)'!E9+R_2014_02_priskirta!E10</f>
        <v>0</v>
      </c>
      <c r="F9" s="127">
        <f>+'R_2014_02_atkelta(viso)'!F9+R_2014_02_priskirta!F10</f>
        <v>0</v>
      </c>
      <c r="G9" s="127">
        <f>+'R_2014_02_atkelta(viso)'!G9+R_2014_02_priskirta!G10</f>
        <v>0</v>
      </c>
      <c r="H9" s="127">
        <f>+'R_2014_02_atkelta(viso)'!H9+R_2014_02_priskirta!H10</f>
        <v>0</v>
      </c>
      <c r="I9" s="127">
        <f>+'R_2014_02_atkelta(viso)'!I9+R_2014_02_priskirta!I10</f>
        <v>148550.5</v>
      </c>
      <c r="J9" s="127">
        <f>+'R_2014_02_atkelta(viso)'!J9+R_2014_02_priskirta!J10</f>
        <v>225429.75</v>
      </c>
      <c r="K9" s="127">
        <f>+'R_2014_02_atkelta(viso)'!K9+R_2014_02_priskirta!K10</f>
        <v>0</v>
      </c>
      <c r="L9" s="127">
        <f>+'R_2014_02_atkelta(viso)'!L9+R_2014_02_priskirta!L10</f>
        <v>0</v>
      </c>
      <c r="M9" s="127">
        <f>+'R_2014_02_atkelta(viso)'!M9+R_2014_02_priskirta!M10</f>
        <v>0</v>
      </c>
      <c r="N9" s="127">
        <f>+'R_2014_02_atkelta(viso)'!N9+R_2014_02_priskirta!N10</f>
        <v>0</v>
      </c>
      <c r="O9" s="206">
        <f>+SUM(E9:N9)</f>
        <v>373980.25</v>
      </c>
      <c r="P9" s="229">
        <f>+'R_2014_02_atkelta(viso)'!P9+R_2014_02_priskirta!P10</f>
        <v>343101.14678899082</v>
      </c>
      <c r="Q9" s="207">
        <f t="shared" si="4"/>
        <v>30879.103211009176</v>
      </c>
      <c r="R9" s="39">
        <f>O9/D9</f>
        <v>213703</v>
      </c>
      <c r="S9" s="71"/>
      <c r="T9" s="61">
        <v>1.75</v>
      </c>
      <c r="U9" s="13">
        <f>+R9*T9</f>
        <v>373980.25</v>
      </c>
      <c r="W9" s="102"/>
      <c r="X9" s="102"/>
      <c r="Y9" s="102"/>
      <c r="Z9" s="102"/>
      <c r="AA9" s="102"/>
      <c r="AB9" s="102"/>
      <c r="AC9" s="102"/>
      <c r="AD9" s="102"/>
      <c r="AE9" s="2"/>
      <c r="AF9" s="2"/>
      <c r="AG9" s="2"/>
      <c r="AH9" s="2"/>
    </row>
    <row r="10" spans="1:34" ht="12" customHeight="1" x14ac:dyDescent="0.3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+'R_2014_02_atkelta(viso)'!E10+R_2014_02_priskirta!E11</f>
        <v>0</v>
      </c>
      <c r="F10" s="127">
        <f>+'R_2014_02_atkelta(viso)'!F10+R_2014_02_priskirta!F11</f>
        <v>0</v>
      </c>
      <c r="G10" s="127">
        <f>+'R_2014_02_atkelta(viso)'!G10+R_2014_02_priskirta!G11</f>
        <v>0</v>
      </c>
      <c r="H10" s="127">
        <f>+'R_2014_02_atkelta(viso)'!H10+R_2014_02_priskirta!H11</f>
        <v>0</v>
      </c>
      <c r="I10" s="127">
        <f>+'R_2014_02_atkelta(viso)'!I10+R_2014_02_priskirta!I11</f>
        <v>1634.5</v>
      </c>
      <c r="J10" s="127">
        <f>+'R_2014_02_atkelta(viso)'!J10+R_2014_02_priskirta!J11</f>
        <v>775.6</v>
      </c>
      <c r="K10" s="127">
        <f>+'R_2014_02_atkelta(viso)'!K10+R_2014_02_priskirta!K11</f>
        <v>0</v>
      </c>
      <c r="L10" s="127">
        <f>+'R_2014_02_atkelta(viso)'!L10+R_2014_02_priskirta!L11</f>
        <v>0</v>
      </c>
      <c r="M10" s="127">
        <f>+'R_2014_02_atkelta(viso)'!M10+R_2014_02_priskirta!M11</f>
        <v>0</v>
      </c>
      <c r="N10" s="127">
        <f>+'R_2014_02_atkelta(viso)'!N10+R_2014_02_priskirta!N11</f>
        <v>0</v>
      </c>
      <c r="O10" s="206">
        <f>+SUM(E10:N10)</f>
        <v>2410.1</v>
      </c>
      <c r="P10" s="229">
        <f>+'R_2014_02_atkelta(viso)'!P10+R_2014_02_priskirta!P11</f>
        <v>2211.1009174311926</v>
      </c>
      <c r="Q10" s="207">
        <f t="shared" si="4"/>
        <v>198.99908256880735</v>
      </c>
      <c r="R10" s="39">
        <f>O10/D10</f>
        <v>3443</v>
      </c>
      <c r="S10" s="71"/>
      <c r="T10" s="107">
        <v>2.8</v>
      </c>
      <c r="U10" s="13">
        <f>+R10*T10</f>
        <v>9640.4</v>
      </c>
      <c r="V10" s="2"/>
      <c r="W10" s="102"/>
      <c r="X10" s="102"/>
      <c r="Y10" s="102"/>
      <c r="Z10" s="102"/>
      <c r="AA10" s="102"/>
      <c r="AB10" s="102"/>
      <c r="AC10" s="102"/>
      <c r="AD10" s="102"/>
      <c r="AE10" s="2"/>
      <c r="AF10" s="2"/>
      <c r="AG10" s="2"/>
      <c r="AH10" s="2"/>
    </row>
    <row r="11" spans="1:34" ht="12" customHeight="1" x14ac:dyDescent="0.3">
      <c r="A11" s="70" t="s">
        <v>14</v>
      </c>
      <c r="B11" s="52" t="s">
        <v>32</v>
      </c>
      <c r="C11" s="8" t="s">
        <v>46</v>
      </c>
      <c r="D11" s="79"/>
      <c r="E11" s="129">
        <f t="shared" ref="E11:L11" si="6">+SUM(E12:E17)</f>
        <v>29002.48</v>
      </c>
      <c r="F11" s="84">
        <f t="shared" si="6"/>
        <v>1436594.2800000003</v>
      </c>
      <c r="G11" s="84">
        <f t="shared" si="6"/>
        <v>212952.58</v>
      </c>
      <c r="H11" s="84">
        <f t="shared" si="6"/>
        <v>28936.420000000002</v>
      </c>
      <c r="I11" s="84">
        <f t="shared" si="6"/>
        <v>0</v>
      </c>
      <c r="J11" s="74">
        <f t="shared" si="6"/>
        <v>0</v>
      </c>
      <c r="K11" s="101">
        <f t="shared" si="6"/>
        <v>889301.82000000018</v>
      </c>
      <c r="L11" s="101">
        <f t="shared" si="6"/>
        <v>2609.7200000001126</v>
      </c>
      <c r="M11" s="101">
        <f t="shared" ref="M11:R11" si="7">+SUM(M12:M17)</f>
        <v>1821.38</v>
      </c>
      <c r="N11" s="101">
        <f t="shared" si="7"/>
        <v>144696.18</v>
      </c>
      <c r="O11" s="211">
        <f t="shared" si="7"/>
        <v>2745914.8600000003</v>
      </c>
      <c r="P11" s="43">
        <f t="shared" si="7"/>
        <v>2519187.9449541285</v>
      </c>
      <c r="Q11" s="72">
        <f t="shared" si="7"/>
        <v>226726.91504587175</v>
      </c>
      <c r="R11" s="45">
        <f t="shared" si="7"/>
        <v>1452159</v>
      </c>
      <c r="S11" s="71"/>
      <c r="T11" s="61"/>
      <c r="U11" s="13"/>
      <c r="W11" s="102"/>
      <c r="X11" s="102"/>
      <c r="Y11" s="102"/>
      <c r="Z11" s="102"/>
      <c r="AA11" s="102"/>
      <c r="AB11" s="102"/>
      <c r="AC11" s="102"/>
      <c r="AD11" s="102"/>
      <c r="AE11" s="2"/>
      <c r="AF11" s="2"/>
      <c r="AG11" s="2"/>
      <c r="AH11" s="2"/>
    </row>
    <row r="12" spans="1:3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+'R_2014_02_atkelta(viso)'!E12+R_2014_02_priskirta!E13</f>
        <v>23335.4</v>
      </c>
      <c r="F12" s="127">
        <f>+'R_2014_02_atkelta(viso)'!F12+R_2014_02_priskirta!F13</f>
        <v>1095397.6000000001</v>
      </c>
      <c r="G12" s="127">
        <f>+'R_2014_02_atkelta(viso)'!G12+R_2014_02_priskirta!G13</f>
        <v>156932.6</v>
      </c>
      <c r="H12" s="127">
        <f>+'R_2014_02_atkelta(viso)'!H12+R_2014_02_priskirta!H13</f>
        <v>21443.4</v>
      </c>
      <c r="I12" s="127">
        <f>+'R_2014_02_atkelta(viso)'!I12+R_2014_02_priskirta!I13</f>
        <v>0</v>
      </c>
      <c r="J12" s="127">
        <f>+'R_2014_02_atkelta(viso)'!J12+R_2014_02_priskirta!J13</f>
        <v>0</v>
      </c>
      <c r="K12" s="127">
        <f>+'R_2014_02_atkelta(viso)'!K12+R_2014_02_priskirta!K13</f>
        <v>696636.60000000009</v>
      </c>
      <c r="L12" s="127">
        <f>+'R_2014_02_atkelta(viso)'!L12+R_2014_02_priskirta!L13</f>
        <v>2030.6000000000931</v>
      </c>
      <c r="M12" s="127">
        <f>+'R_2014_02_atkelta(viso)'!M12+R_2014_02_priskirta!M13</f>
        <v>1223.2</v>
      </c>
      <c r="N12" s="127">
        <f>+'R_2014_02_atkelta(viso)'!N12+R_2014_02_priskirta!N13</f>
        <v>128350.2</v>
      </c>
      <c r="O12" s="152">
        <f t="shared" ref="O12:O17" si="8">+SUM(E12:N12)</f>
        <v>2125349.6</v>
      </c>
      <c r="P12" s="229">
        <f>+'R_2014_02_atkelta(viso)'!P12+R_2014_02_priskirta!P13</f>
        <v>1949862.0183486238</v>
      </c>
      <c r="Q12" s="73">
        <f t="shared" ref="Q12:Q17" si="9">+O12-P12</f>
        <v>175487.58165137633</v>
      </c>
      <c r="R12" s="21">
        <f t="shared" ref="R12:R17" si="10">O12/D12</f>
        <v>966068</v>
      </c>
      <c r="S12" s="2"/>
      <c r="T12" s="61"/>
      <c r="U12" s="13"/>
      <c r="W12" s="102"/>
      <c r="X12" s="102"/>
      <c r="Y12" s="102"/>
      <c r="Z12" s="102"/>
      <c r="AA12" s="102"/>
      <c r="AB12" s="102"/>
      <c r="AC12" s="102"/>
      <c r="AD12" s="102"/>
      <c r="AE12" s="2"/>
      <c r="AF12" s="2"/>
      <c r="AG12" s="2"/>
      <c r="AH12" s="2"/>
    </row>
    <row r="13" spans="1:3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+'R_2014_02_atkelta(viso)'!E13+R_2014_02_priskirta!E14</f>
        <v>5066.6000000000004</v>
      </c>
      <c r="F13" s="127">
        <f>+'R_2014_02_atkelta(viso)'!F13+R_2014_02_priskirta!F14</f>
        <v>317554.59999999998</v>
      </c>
      <c r="G13" s="127">
        <f>+'R_2014_02_atkelta(viso)'!G13+R_2014_02_priskirta!G14</f>
        <v>51742.9</v>
      </c>
      <c r="H13" s="127">
        <f>+'R_2014_02_atkelta(viso)'!H13+R_2014_02_priskirta!H14</f>
        <v>7228.1</v>
      </c>
      <c r="I13" s="127">
        <f>+'R_2014_02_atkelta(viso)'!I13+R_2014_02_priskirta!I14</f>
        <v>0</v>
      </c>
      <c r="J13" s="127">
        <f>+'R_2014_02_atkelta(viso)'!J13+R_2014_02_priskirta!J14</f>
        <v>0</v>
      </c>
      <c r="K13" s="127">
        <f>+'R_2014_02_atkelta(viso)'!K13+R_2014_02_priskirta!K14</f>
        <v>72081.900000000009</v>
      </c>
      <c r="L13" s="127">
        <f>+'R_2014_02_atkelta(viso)'!L13+R_2014_02_priskirta!L14</f>
        <v>202.40000000000873</v>
      </c>
      <c r="M13" s="127">
        <f>+'R_2014_02_atkelta(viso)'!M13+R_2014_02_priskirta!M14</f>
        <v>597.29999999999995</v>
      </c>
      <c r="N13" s="127">
        <f>+'R_2014_02_atkelta(viso)'!N13+R_2014_02_priskirta!N14</f>
        <v>7494.3</v>
      </c>
      <c r="O13" s="152">
        <f t="shared" si="8"/>
        <v>461968.1</v>
      </c>
      <c r="P13" s="229">
        <f>+'R_2014_02_atkelta(viso)'!P13+R_2014_02_priskirta!P14</f>
        <v>423823.94495412841</v>
      </c>
      <c r="Q13" s="73">
        <f t="shared" si="9"/>
        <v>38144.155045871565</v>
      </c>
      <c r="R13" s="21">
        <f t="shared" si="10"/>
        <v>419970.99999999994</v>
      </c>
      <c r="S13" s="71"/>
      <c r="T13" s="107">
        <v>1.1000000000000001</v>
      </c>
      <c r="U13" s="13">
        <f t="shared" ref="U13:U14" si="11">+R13*T13</f>
        <v>461968.1</v>
      </c>
      <c r="W13" s="102"/>
      <c r="X13" s="102"/>
      <c r="Y13" s="102"/>
      <c r="Z13" s="102"/>
      <c r="AA13" s="102"/>
      <c r="AB13" s="102"/>
      <c r="AC13" s="102"/>
      <c r="AD13" s="102"/>
      <c r="AE13" s="2"/>
      <c r="AF13" s="2"/>
      <c r="AG13" s="2"/>
      <c r="AH13" s="2"/>
    </row>
    <row r="14" spans="1:3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+'R_2014_02_atkelta(viso)'!E14+R_2014_02_priskirta!E15</f>
        <v>117.92</v>
      </c>
      <c r="F14" s="127">
        <f>+'R_2014_02_atkelta(viso)'!F14+R_2014_02_priskirta!F15</f>
        <v>3296.48</v>
      </c>
      <c r="G14" s="127">
        <f>+'R_2014_02_atkelta(viso)'!G14+R_2014_02_priskirta!G15</f>
        <v>544.28</v>
      </c>
      <c r="H14" s="127">
        <f>+'R_2014_02_atkelta(viso)'!H14+R_2014_02_priskirta!H15</f>
        <v>83.16</v>
      </c>
      <c r="I14" s="127">
        <f>+'R_2014_02_atkelta(viso)'!I14+R_2014_02_priskirta!I15</f>
        <v>0</v>
      </c>
      <c r="J14" s="127">
        <f>+'R_2014_02_atkelta(viso)'!J14+R_2014_02_priskirta!J15</f>
        <v>0</v>
      </c>
      <c r="K14" s="127">
        <f>+'R_2014_02_atkelta(viso)'!K14+R_2014_02_priskirta!K15</f>
        <v>1336.28</v>
      </c>
      <c r="L14" s="127">
        <f>+'R_2014_02_atkelta(viso)'!L14+R_2014_02_priskirta!L15</f>
        <v>2.6400000000001</v>
      </c>
      <c r="M14" s="127">
        <f>+'R_2014_02_atkelta(viso)'!M14+R_2014_02_priskirta!M15</f>
        <v>0.88</v>
      </c>
      <c r="N14" s="127">
        <f>+'R_2014_02_atkelta(viso)'!N14+R_2014_02_priskirta!N15</f>
        <v>103.84</v>
      </c>
      <c r="O14" s="152">
        <f t="shared" si="8"/>
        <v>5485.4800000000005</v>
      </c>
      <c r="P14" s="229">
        <f>+'R_2014_02_atkelta(viso)'!P14+R_2014_02_priskirta!P15</f>
        <v>5032.5504587155965</v>
      </c>
      <c r="Q14" s="73">
        <f t="shared" si="9"/>
        <v>452.92954128440397</v>
      </c>
      <c r="R14" s="21">
        <f t="shared" si="10"/>
        <v>12467.000000000002</v>
      </c>
      <c r="S14" s="71"/>
      <c r="T14" s="61">
        <v>1.76</v>
      </c>
      <c r="U14" s="13">
        <f t="shared" si="11"/>
        <v>21941.920000000002</v>
      </c>
      <c r="W14" s="102"/>
      <c r="X14" s="102"/>
      <c r="Y14" s="102"/>
      <c r="Z14" s="102"/>
      <c r="AA14" s="102"/>
      <c r="AB14" s="102"/>
      <c r="AC14" s="102"/>
      <c r="AD14" s="102"/>
      <c r="AE14" s="2"/>
      <c r="AF14" s="2"/>
      <c r="AG14" s="2"/>
      <c r="AH14" s="2"/>
    </row>
    <row r="15" spans="1:3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+'R_2014_02_atkelta(viso)'!E15+R_2014_02_priskirta!E16</f>
        <v>364.8</v>
      </c>
      <c r="F15" s="127">
        <f>+'R_2014_02_atkelta(viso)'!F15+R_2014_02_priskirta!F16</f>
        <v>16819.2</v>
      </c>
      <c r="G15" s="127">
        <f>+'R_2014_02_atkelta(viso)'!G15+R_2014_02_priskirta!G16</f>
        <v>2985.6</v>
      </c>
      <c r="H15" s="127">
        <f>+'R_2014_02_atkelta(viso)'!H15+R_2014_02_priskirta!H16</f>
        <v>102.4</v>
      </c>
      <c r="I15" s="127">
        <f>+'R_2014_02_atkelta(viso)'!I15+R_2014_02_priskirta!I16</f>
        <v>0</v>
      </c>
      <c r="J15" s="127">
        <f>+'R_2014_02_atkelta(viso)'!J15+R_2014_02_priskirta!J16</f>
        <v>0</v>
      </c>
      <c r="K15" s="127">
        <f>+'R_2014_02_atkelta(viso)'!K15+R_2014_02_priskirta!K16</f>
        <v>107008</v>
      </c>
      <c r="L15" s="127">
        <f>+'R_2014_02_atkelta(viso)'!L15+R_2014_02_priskirta!L16</f>
        <v>326.40000000000873</v>
      </c>
      <c r="M15" s="127">
        <f>+'R_2014_02_atkelta(viso)'!M15+R_2014_02_priskirta!M16</f>
        <v>0</v>
      </c>
      <c r="N15" s="127">
        <f>+'R_2014_02_atkelta(viso)'!N15+R_2014_02_priskirta!N16</f>
        <v>8054.4</v>
      </c>
      <c r="O15" s="152">
        <f t="shared" si="8"/>
        <v>135660.80000000002</v>
      </c>
      <c r="P15" s="229">
        <f>+'R_2014_02_atkelta(viso)'!P15+R_2014_02_priskirta!P16</f>
        <v>124459.44954128441</v>
      </c>
      <c r="Q15" s="73">
        <f t="shared" si="9"/>
        <v>11201.350458715606</v>
      </c>
      <c r="R15" s="21">
        <f t="shared" si="10"/>
        <v>42394</v>
      </c>
      <c r="S15" s="71"/>
      <c r="T15" s="61"/>
      <c r="U15" s="13"/>
      <c r="W15" s="102"/>
      <c r="X15" s="102"/>
      <c r="Y15" s="102"/>
      <c r="Z15" s="102"/>
      <c r="AA15" s="102"/>
      <c r="AB15" s="102"/>
      <c r="AC15" s="102"/>
      <c r="AD15" s="102"/>
      <c r="AE15" s="2"/>
      <c r="AF15" s="2"/>
      <c r="AG15" s="2"/>
      <c r="AH15" s="2"/>
    </row>
    <row r="16" spans="1:3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+'R_2014_02_atkelta(viso)'!E16+R_2014_02_priskirta!E17</f>
        <v>115.2</v>
      </c>
      <c r="F16" s="127">
        <f>+'R_2014_02_atkelta(viso)'!F16+R_2014_02_priskirta!F17</f>
        <v>3452.8</v>
      </c>
      <c r="G16" s="127">
        <f>+'R_2014_02_atkelta(viso)'!G16+R_2014_02_priskirta!G17</f>
        <v>724.8</v>
      </c>
      <c r="H16" s="127">
        <f>+'R_2014_02_atkelta(viso)'!H16+R_2014_02_priskirta!H17</f>
        <v>76.8</v>
      </c>
      <c r="I16" s="127">
        <f>+'R_2014_02_atkelta(viso)'!I16+R_2014_02_priskirta!I17</f>
        <v>0</v>
      </c>
      <c r="J16" s="127">
        <f>+'R_2014_02_atkelta(viso)'!J16+R_2014_02_priskirta!J17</f>
        <v>0</v>
      </c>
      <c r="K16" s="127">
        <f>+'R_2014_02_atkelta(viso)'!K16+R_2014_02_priskirta!K17</f>
        <v>11992</v>
      </c>
      <c r="L16" s="127">
        <f>+'R_2014_02_atkelta(viso)'!L16+R_2014_02_priskirta!L17</f>
        <v>46.400000000001455</v>
      </c>
      <c r="M16" s="127">
        <f>+'R_2014_02_atkelta(viso)'!M16+R_2014_02_priskirta!M17</f>
        <v>0</v>
      </c>
      <c r="N16" s="127">
        <f>+'R_2014_02_atkelta(viso)'!N16+R_2014_02_priskirta!N17</f>
        <v>667.2</v>
      </c>
      <c r="O16" s="152">
        <f t="shared" si="8"/>
        <v>17075.2</v>
      </c>
      <c r="P16" s="229">
        <f>+'R_2014_02_atkelta(viso)'!P16+R_2014_02_priskirta!P17</f>
        <v>15665.32110091743</v>
      </c>
      <c r="Q16" s="73">
        <f t="shared" si="9"/>
        <v>1409.8788990825706</v>
      </c>
      <c r="R16" s="21">
        <f t="shared" si="10"/>
        <v>10672</v>
      </c>
      <c r="S16" s="71"/>
      <c r="T16" s="13">
        <v>1.6</v>
      </c>
      <c r="U16" s="13">
        <f t="shared" ref="U16:U17" si="12">+R16*T16</f>
        <v>17075.2</v>
      </c>
      <c r="W16" s="102"/>
      <c r="X16" s="102"/>
      <c r="Y16" s="102"/>
      <c r="Z16" s="102"/>
      <c r="AA16" s="102"/>
      <c r="AB16" s="102"/>
      <c r="AC16" s="102"/>
      <c r="AD16" s="102"/>
      <c r="AE16" s="2"/>
      <c r="AF16" s="2"/>
      <c r="AG16" s="2"/>
      <c r="AH16" s="2"/>
    </row>
    <row r="17" spans="1:34" x14ac:dyDescent="0.3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+'R_2014_02_atkelta(viso)'!E17+R_2014_02_priskirta!E18</f>
        <v>2.56</v>
      </c>
      <c r="F17" s="127">
        <f>+'R_2014_02_atkelta(viso)'!F17+R_2014_02_priskirta!F18</f>
        <v>73.599999999999994</v>
      </c>
      <c r="G17" s="127">
        <f>+'R_2014_02_atkelta(viso)'!G17+R_2014_02_priskirta!G18</f>
        <v>22.4</v>
      </c>
      <c r="H17" s="127">
        <f>+'R_2014_02_atkelta(viso)'!H17+R_2014_02_priskirta!H18</f>
        <v>2.56</v>
      </c>
      <c r="I17" s="127">
        <f>+'R_2014_02_atkelta(viso)'!I17+R_2014_02_priskirta!I18</f>
        <v>0</v>
      </c>
      <c r="J17" s="127">
        <f>+'R_2014_02_atkelta(viso)'!J17+R_2014_02_priskirta!J18</f>
        <v>0</v>
      </c>
      <c r="K17" s="127">
        <f>+'R_2014_02_atkelta(viso)'!K17+R_2014_02_priskirta!K18</f>
        <v>247.04</v>
      </c>
      <c r="L17" s="127">
        <f>+'R_2014_02_atkelta(viso)'!L17+R_2014_02_priskirta!L18</f>
        <v>1.2800000000000011</v>
      </c>
      <c r="M17" s="127">
        <f>+'R_2014_02_atkelta(viso)'!M17+R_2014_02_priskirta!M18</f>
        <v>0</v>
      </c>
      <c r="N17" s="127">
        <f>+'R_2014_02_atkelta(viso)'!N17+R_2014_02_priskirta!N18</f>
        <v>26.24</v>
      </c>
      <c r="O17" s="206">
        <f t="shared" si="8"/>
        <v>375.67999999999995</v>
      </c>
      <c r="P17" s="229">
        <f>+'R_2014_02_atkelta(viso)'!P17+R_2014_02_priskirta!P18</f>
        <v>344.66055045871553</v>
      </c>
      <c r="Q17" s="207">
        <f t="shared" si="9"/>
        <v>31.019449541284416</v>
      </c>
      <c r="R17" s="22">
        <f t="shared" si="10"/>
        <v>586.99999999999989</v>
      </c>
      <c r="S17" s="71"/>
      <c r="T17" s="61">
        <v>2.56</v>
      </c>
      <c r="U17" s="13">
        <f t="shared" si="12"/>
        <v>1502.7199999999998</v>
      </c>
      <c r="W17" s="102"/>
      <c r="X17" s="102"/>
      <c r="Y17" s="102"/>
      <c r="Z17" s="102"/>
      <c r="AA17" s="102"/>
      <c r="AB17" s="102"/>
      <c r="AC17" s="102"/>
      <c r="AD17" s="102"/>
      <c r="AE17" s="2"/>
      <c r="AF17" s="2"/>
      <c r="AG17" s="2"/>
      <c r="AH17" s="2"/>
    </row>
    <row r="18" spans="1:34" ht="12" customHeight="1" x14ac:dyDescent="0.3">
      <c r="A18" s="70" t="s">
        <v>15</v>
      </c>
      <c r="B18" s="52" t="s">
        <v>33</v>
      </c>
      <c r="C18" s="9" t="s">
        <v>141</v>
      </c>
      <c r="D18" s="78"/>
      <c r="E18" s="118">
        <f>+SUM(E19:E43)</f>
        <v>109897.99</v>
      </c>
      <c r="F18" s="118">
        <f t="shared" ref="F18:R18" si="13">+SUM(F19:F43)</f>
        <v>4532396.8499999996</v>
      </c>
      <c r="G18" s="118">
        <f t="shared" si="13"/>
        <v>676507.49000000011</v>
      </c>
      <c r="H18" s="118">
        <f t="shared" si="13"/>
        <v>112004.62999999999</v>
      </c>
      <c r="I18" s="118">
        <f t="shared" si="13"/>
        <v>0</v>
      </c>
      <c r="J18" s="118">
        <f t="shared" si="13"/>
        <v>0</v>
      </c>
      <c r="K18" s="118">
        <f t="shared" si="13"/>
        <v>0</v>
      </c>
      <c r="L18" s="118">
        <f t="shared" ref="L18" si="14">+SUM(L19:L43)</f>
        <v>0</v>
      </c>
      <c r="M18" s="118">
        <f t="shared" si="13"/>
        <v>442.6</v>
      </c>
      <c r="N18" s="118">
        <f t="shared" si="13"/>
        <v>450163.89000000013</v>
      </c>
      <c r="O18" s="118">
        <f t="shared" si="13"/>
        <v>5881413.4500000011</v>
      </c>
      <c r="P18" s="118">
        <f t="shared" si="13"/>
        <v>5395792.1559633045</v>
      </c>
      <c r="Q18" s="118">
        <f t="shared" si="13"/>
        <v>485621.2940366976</v>
      </c>
      <c r="R18" s="253">
        <f t="shared" si="13"/>
        <v>112236.18993333334</v>
      </c>
      <c r="S18" s="71"/>
      <c r="T18" s="61"/>
      <c r="U18" s="105">
        <f>+SUM(U19:U43)</f>
        <v>5316704.1400000006</v>
      </c>
      <c r="V18" s="2"/>
      <c r="W18" s="102"/>
      <c r="X18" s="102"/>
      <c r="Y18" s="102"/>
      <c r="Z18" s="102"/>
      <c r="AA18" s="102"/>
      <c r="AB18" s="102"/>
      <c r="AC18" s="102"/>
      <c r="AD18" s="102"/>
      <c r="AE18" s="2"/>
      <c r="AF18" s="2"/>
      <c r="AG18" s="2"/>
      <c r="AH18" s="2"/>
    </row>
    <row r="19" spans="1:3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+'R_2014_02_atkelta(viso)'!E19+R_2014_02_priskirta!E20</f>
        <v>65213.33</v>
      </c>
      <c r="F19" s="127">
        <f>+'R_2014_02_atkelta(viso)'!F19+R_2014_02_priskirta!F20</f>
        <v>2582326.66</v>
      </c>
      <c r="G19" s="127">
        <f>+'R_2014_02_atkelta(viso)'!G19+R_2014_02_priskirta!G20</f>
        <v>371986.67000000004</v>
      </c>
      <c r="H19" s="127">
        <f>+'R_2014_02_atkelta(viso)'!H19+R_2014_02_priskirta!H20</f>
        <v>62553.34</v>
      </c>
      <c r="I19" s="127">
        <f>+'R_2014_02_atkelta(viso)'!I19+R_2014_02_priskirta!I20</f>
        <v>0</v>
      </c>
      <c r="J19" s="127">
        <f>+'R_2014_02_atkelta(viso)'!J19+R_2014_02_priskirta!J20</f>
        <v>0</v>
      </c>
      <c r="K19" s="127">
        <f>+'R_2014_02_atkelta(viso)'!K19+R_2014_02_priskirta!K20</f>
        <v>0</v>
      </c>
      <c r="L19" s="127">
        <f>+'R_2014_02_atkelta(viso)'!L19+R_2014_02_priskirta!L20</f>
        <v>0</v>
      </c>
      <c r="M19" s="127">
        <f>+'R_2014_02_atkelta(viso)'!M19+R_2014_02_priskirta!M20</f>
        <v>260</v>
      </c>
      <c r="N19" s="127">
        <f>+'R_2014_02_atkelta(viso)'!N19+R_2014_02_priskirta!N20</f>
        <v>228800.01</v>
      </c>
      <c r="O19" s="153">
        <f t="shared" ref="O19:O43" si="15">+SUM(E19:N19)</f>
        <v>3311140.01</v>
      </c>
      <c r="P19" s="229">
        <f>+'R_2014_02_atkelta(viso)'!P19+R_2014_02_priskirta!P20</f>
        <v>3037743.1284403666</v>
      </c>
      <c r="Q19" s="93">
        <f>+O19-P19</f>
        <v>273396.88155963318</v>
      </c>
      <c r="R19" s="94">
        <f t="shared" ref="R19:R43" si="16">O19/D19</f>
        <v>33111.400099999999</v>
      </c>
      <c r="S19" s="41"/>
      <c r="T19" s="61"/>
      <c r="U19" s="106"/>
      <c r="V19" s="205"/>
      <c r="W19" s="102"/>
      <c r="X19" s="102"/>
      <c r="Y19" s="102"/>
      <c r="Z19" s="102"/>
      <c r="AA19" s="102"/>
      <c r="AB19" s="102"/>
      <c r="AC19" s="102"/>
      <c r="AD19" s="102"/>
      <c r="AE19" s="2"/>
      <c r="AF19" s="2"/>
      <c r="AG19" s="2"/>
      <c r="AH19" s="2"/>
    </row>
    <row r="20" spans="1:3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+'R_2014_02_atkelta(viso)'!E20+R_2014_02_priskirta!E21</f>
        <v>9770</v>
      </c>
      <c r="F20" s="127">
        <f>+'R_2014_02_atkelta(viso)'!F20+R_2014_02_priskirta!F21</f>
        <v>680565</v>
      </c>
      <c r="G20" s="127">
        <f>+'R_2014_02_atkelta(viso)'!G20+R_2014_02_priskirta!G21</f>
        <v>92631.66</v>
      </c>
      <c r="H20" s="127">
        <f>+'R_2014_02_atkelta(viso)'!H20+R_2014_02_priskirta!H21</f>
        <v>19190</v>
      </c>
      <c r="I20" s="127">
        <f>+'R_2014_02_atkelta(viso)'!I20+R_2014_02_priskirta!I21</f>
        <v>0</v>
      </c>
      <c r="J20" s="127">
        <f>+'R_2014_02_atkelta(viso)'!J20+R_2014_02_priskirta!J21</f>
        <v>0</v>
      </c>
      <c r="K20" s="127">
        <f>+'R_2014_02_atkelta(viso)'!K20+R_2014_02_priskirta!K21</f>
        <v>0</v>
      </c>
      <c r="L20" s="127">
        <f>+'R_2014_02_atkelta(viso)'!L20+R_2014_02_priskirta!L21</f>
        <v>0</v>
      </c>
      <c r="M20" s="127">
        <f>+'R_2014_02_atkelta(viso)'!M20+R_2014_02_priskirta!M21</f>
        <v>108.33</v>
      </c>
      <c r="N20" s="127">
        <f>+'R_2014_02_atkelta(viso)'!N20+R_2014_02_priskirta!N21</f>
        <v>12933.34</v>
      </c>
      <c r="O20" s="152">
        <f t="shared" si="15"/>
        <v>815198.33</v>
      </c>
      <c r="P20" s="229">
        <f>+'R_2014_02_atkelta(viso)'!P20+R_2014_02_priskirta!P21</f>
        <v>747888.37614678894</v>
      </c>
      <c r="Q20" s="73">
        <f t="shared" ref="Q20:Q43" si="17">+O20-P20</f>
        <v>67309.953853211016</v>
      </c>
      <c r="R20" s="21">
        <f t="shared" si="16"/>
        <v>16303.9666</v>
      </c>
      <c r="S20" s="41"/>
      <c r="T20" s="61">
        <v>50</v>
      </c>
      <c r="U20" s="13">
        <f t="shared" ref="U20:U21" si="18">+R20*T20</f>
        <v>815198.33</v>
      </c>
      <c r="V20" s="205"/>
      <c r="W20" s="102"/>
      <c r="X20" s="102"/>
      <c r="Y20" s="102"/>
      <c r="Z20" s="102"/>
      <c r="AA20" s="102"/>
      <c r="AB20" s="102"/>
      <c r="AC20" s="102"/>
      <c r="AD20" s="102"/>
      <c r="AE20" s="2"/>
      <c r="AF20" s="2"/>
      <c r="AG20" s="2"/>
      <c r="AH20" s="2"/>
    </row>
    <row r="21" spans="1:3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+'R_2014_02_atkelta(viso)'!E21+R_2014_02_priskirta!E22</f>
        <v>21478.010000000002</v>
      </c>
      <c r="F21" s="127">
        <f>+'R_2014_02_atkelta(viso)'!F21+R_2014_02_priskirta!F22</f>
        <v>797875.33000000007</v>
      </c>
      <c r="G21" s="127">
        <f>+'R_2014_02_atkelta(viso)'!G21+R_2014_02_priskirta!G22</f>
        <v>136861.99</v>
      </c>
      <c r="H21" s="127">
        <f>+'R_2014_02_atkelta(viso)'!H21+R_2014_02_priskirta!H22</f>
        <v>10784</v>
      </c>
      <c r="I21" s="127">
        <f>+'R_2014_02_atkelta(viso)'!I21+R_2014_02_priskirta!I22</f>
        <v>0</v>
      </c>
      <c r="J21" s="127">
        <f>+'R_2014_02_atkelta(viso)'!J21+R_2014_02_priskirta!J22</f>
        <v>0</v>
      </c>
      <c r="K21" s="127">
        <f>+'R_2014_02_atkelta(viso)'!K21+R_2014_02_priskirta!K22</f>
        <v>0</v>
      </c>
      <c r="L21" s="127">
        <f>+'R_2014_02_atkelta(viso)'!L21+R_2014_02_priskirta!L22</f>
        <v>0</v>
      </c>
      <c r="M21" s="127">
        <f>+'R_2014_02_atkelta(viso)'!M21+R_2014_02_priskirta!M22</f>
        <v>46.67</v>
      </c>
      <c r="N21" s="127">
        <f>+'R_2014_02_atkelta(viso)'!N21+R_2014_02_priskirta!N22</f>
        <v>88146.66</v>
      </c>
      <c r="O21" s="152">
        <f t="shared" si="15"/>
        <v>1055192.6600000001</v>
      </c>
      <c r="P21" s="229">
        <f>+'R_2014_02_atkelta(viso)'!P21+R_2014_02_priskirta!P22</f>
        <v>968066.66055045859</v>
      </c>
      <c r="Q21" s="73">
        <f t="shared" si="17"/>
        <v>87125.999449541559</v>
      </c>
      <c r="R21" s="21">
        <f t="shared" si="16"/>
        <v>52759.633000000009</v>
      </c>
      <c r="S21" s="41"/>
      <c r="T21" s="61">
        <v>80</v>
      </c>
      <c r="U21" s="13">
        <f t="shared" si="18"/>
        <v>4220770.6400000006</v>
      </c>
      <c r="V21" s="205"/>
      <c r="W21" s="102"/>
      <c r="X21" s="102"/>
      <c r="Y21" s="102"/>
      <c r="Z21" s="102"/>
      <c r="AA21" s="102"/>
      <c r="AB21" s="102"/>
      <c r="AC21" s="102"/>
      <c r="AD21" s="102"/>
      <c r="AE21" s="2"/>
      <c r="AF21" s="2"/>
      <c r="AG21" s="2"/>
      <c r="AH21" s="2"/>
    </row>
    <row r="22" spans="1:3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+'R_2014_02_atkelta(viso)'!E22+R_2014_02_priskirta!E23</f>
        <v>10860</v>
      </c>
      <c r="F22" s="127">
        <f>+'R_2014_02_atkelta(viso)'!F22+R_2014_02_priskirta!F23</f>
        <v>398442</v>
      </c>
      <c r="G22" s="127">
        <f>+'R_2014_02_atkelta(viso)'!G22+R_2014_02_priskirta!G23</f>
        <v>65160</v>
      </c>
      <c r="H22" s="127">
        <f>+'R_2014_02_atkelta(viso)'!H22+R_2014_02_priskirta!H23</f>
        <v>14016</v>
      </c>
      <c r="I22" s="127">
        <f>+'R_2014_02_atkelta(viso)'!I22+R_2014_02_priskirta!I23</f>
        <v>0</v>
      </c>
      <c r="J22" s="127">
        <f>+'R_2014_02_atkelta(viso)'!J22+R_2014_02_priskirta!J23</f>
        <v>0</v>
      </c>
      <c r="K22" s="127">
        <f>+'R_2014_02_atkelta(viso)'!K22+R_2014_02_priskirta!K23</f>
        <v>0</v>
      </c>
      <c r="L22" s="127">
        <f>+'R_2014_02_atkelta(viso)'!L22+R_2014_02_priskirta!L23</f>
        <v>0</v>
      </c>
      <c r="M22" s="127">
        <f>+'R_2014_02_atkelta(viso)'!M22+R_2014_02_priskirta!M23</f>
        <v>9</v>
      </c>
      <c r="N22" s="127">
        <f>+'R_2014_02_atkelta(viso)'!N22+R_2014_02_priskirta!N23</f>
        <v>83955</v>
      </c>
      <c r="O22" s="152">
        <f t="shared" si="15"/>
        <v>572442</v>
      </c>
      <c r="P22" s="229">
        <f>+'R_2014_02_atkelta(viso)'!P22+R_2014_02_priskirta!P23</f>
        <v>525176.14678899082</v>
      </c>
      <c r="Q22" s="73">
        <f t="shared" si="17"/>
        <v>47265.853211009176</v>
      </c>
      <c r="R22" s="21">
        <f t="shared" si="16"/>
        <v>6360.4666666666662</v>
      </c>
      <c r="S22" s="41"/>
      <c r="T22" s="61"/>
      <c r="U22" s="13"/>
      <c r="V22" s="205"/>
      <c r="W22" s="102"/>
      <c r="X22" s="102"/>
      <c r="Y22" s="102"/>
      <c r="Z22" s="102"/>
      <c r="AA22" s="102"/>
      <c r="AB22" s="102"/>
      <c r="AC22" s="102"/>
      <c r="AD22" s="102"/>
      <c r="AE22" s="2"/>
      <c r="AF22" s="2"/>
      <c r="AG22" s="2"/>
      <c r="AH22" s="2"/>
    </row>
    <row r="23" spans="1:3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+'R_2014_02_atkelta(viso)'!E23+R_2014_02_priskirta!E24</f>
        <v>624</v>
      </c>
      <c r="F23" s="127">
        <f>+'R_2014_02_atkelta(viso)'!F23+R_2014_02_priskirta!F24</f>
        <v>21198</v>
      </c>
      <c r="G23" s="127">
        <f>+'R_2014_02_atkelta(viso)'!G23+R_2014_02_priskirta!G24</f>
        <v>3024</v>
      </c>
      <c r="H23" s="127">
        <f>+'R_2014_02_atkelta(viso)'!H23+R_2014_02_priskirta!H24</f>
        <v>928.5</v>
      </c>
      <c r="I23" s="127">
        <f>+'R_2014_02_atkelta(viso)'!I23+R_2014_02_priskirta!I24</f>
        <v>0</v>
      </c>
      <c r="J23" s="127">
        <f>+'R_2014_02_atkelta(viso)'!J23+R_2014_02_priskirta!J24</f>
        <v>0</v>
      </c>
      <c r="K23" s="127">
        <f>+'R_2014_02_atkelta(viso)'!K23+R_2014_02_priskirta!K24</f>
        <v>0</v>
      </c>
      <c r="L23" s="127">
        <f>+'R_2014_02_atkelta(viso)'!L23+R_2014_02_priskirta!L24</f>
        <v>0</v>
      </c>
      <c r="M23" s="127">
        <f>+'R_2014_02_atkelta(viso)'!M23+R_2014_02_priskirta!M24</f>
        <v>0</v>
      </c>
      <c r="N23" s="127">
        <f>+'R_2014_02_atkelta(viso)'!N23+R_2014_02_priskirta!N24</f>
        <v>2976</v>
      </c>
      <c r="O23" s="152">
        <f t="shared" si="15"/>
        <v>28750.5</v>
      </c>
      <c r="P23" s="229">
        <f>+'R_2014_02_atkelta(viso)'!P23+R_2014_02_priskirta!P24</f>
        <v>26376.605504587154</v>
      </c>
      <c r="Q23" s="73">
        <f t="shared" si="17"/>
        <v>2373.8944954128456</v>
      </c>
      <c r="R23" s="21">
        <f t="shared" si="16"/>
        <v>638.9</v>
      </c>
      <c r="S23" s="35"/>
      <c r="T23" s="61">
        <v>45</v>
      </c>
      <c r="U23" s="13">
        <f t="shared" ref="U23:U24" si="19">+R23*T23</f>
        <v>28750.5</v>
      </c>
      <c r="V23" s="205"/>
      <c r="W23" s="102"/>
      <c r="X23" s="102"/>
      <c r="Y23" s="102"/>
      <c r="Z23" s="102"/>
      <c r="AA23" s="102"/>
      <c r="AB23" s="102"/>
      <c r="AC23" s="102"/>
      <c r="AD23" s="102"/>
      <c r="AE23" s="2"/>
      <c r="AF23" s="2"/>
      <c r="AG23" s="2"/>
      <c r="AH23" s="2"/>
    </row>
    <row r="24" spans="1:3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+'R_2014_02_atkelta(viso)'!E24+R_2014_02_priskirta!E25</f>
        <v>735</v>
      </c>
      <c r="F24" s="127">
        <f>+'R_2014_02_atkelta(viso)'!F24+R_2014_02_priskirta!F25</f>
        <v>15695.4</v>
      </c>
      <c r="G24" s="127">
        <f>+'R_2014_02_atkelta(viso)'!G24+R_2014_02_priskirta!G25</f>
        <v>2536.8000000000002</v>
      </c>
      <c r="H24" s="127">
        <f>+'R_2014_02_atkelta(viso)'!H24+R_2014_02_priskirta!H25</f>
        <v>316.8</v>
      </c>
      <c r="I24" s="127">
        <f>+'R_2014_02_atkelta(viso)'!I24+R_2014_02_priskirta!I25</f>
        <v>0</v>
      </c>
      <c r="J24" s="127">
        <f>+'R_2014_02_atkelta(viso)'!J24+R_2014_02_priskirta!J25</f>
        <v>0</v>
      </c>
      <c r="K24" s="127">
        <f>+'R_2014_02_atkelta(viso)'!K24+R_2014_02_priskirta!K25</f>
        <v>0</v>
      </c>
      <c r="L24" s="127">
        <f>+'R_2014_02_atkelta(viso)'!L24+R_2014_02_priskirta!L25</f>
        <v>0</v>
      </c>
      <c r="M24" s="127">
        <f>+'R_2014_02_atkelta(viso)'!M24+R_2014_02_priskirta!M25</f>
        <v>12.6</v>
      </c>
      <c r="N24" s="127">
        <f>+'R_2014_02_atkelta(viso)'!N24+R_2014_02_priskirta!N25</f>
        <v>5473.2</v>
      </c>
      <c r="O24" s="152">
        <f t="shared" si="15"/>
        <v>24769.8</v>
      </c>
      <c r="P24" s="229">
        <f>+'R_2014_02_atkelta(viso)'!P24+R_2014_02_priskirta!P25</f>
        <v>22724.587155963301</v>
      </c>
      <c r="Q24" s="73">
        <f t="shared" si="17"/>
        <v>2045.2128440366978</v>
      </c>
      <c r="R24" s="21">
        <f t="shared" si="16"/>
        <v>1376.1</v>
      </c>
      <c r="S24" s="35"/>
      <c r="T24" s="61">
        <v>72</v>
      </c>
      <c r="U24" s="13">
        <f t="shared" si="19"/>
        <v>99079.2</v>
      </c>
      <c r="V24" s="205"/>
      <c r="W24" s="102"/>
      <c r="X24" s="102"/>
      <c r="Y24" s="102"/>
      <c r="Z24" s="102"/>
      <c r="AA24" s="102"/>
      <c r="AB24" s="102"/>
      <c r="AC24" s="102"/>
      <c r="AD24" s="102"/>
      <c r="AE24" s="2"/>
      <c r="AF24" s="2"/>
      <c r="AG24" s="2"/>
      <c r="AH24" s="2"/>
    </row>
    <row r="25" spans="1:3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+'R_2014_02_atkelta(viso)'!E25+R_2014_02_priskirta!E26</f>
        <v>146.66</v>
      </c>
      <c r="F25" s="127">
        <f>+'R_2014_02_atkelta(viso)'!F25+R_2014_02_priskirta!F26</f>
        <v>4420</v>
      </c>
      <c r="G25" s="127">
        <f>+'R_2014_02_atkelta(viso)'!G25+R_2014_02_priskirta!G26</f>
        <v>273.33000000000004</v>
      </c>
      <c r="H25" s="127">
        <f>+'R_2014_02_atkelta(viso)'!H25+R_2014_02_priskirta!H26</f>
        <v>120</v>
      </c>
      <c r="I25" s="127">
        <f>+'R_2014_02_atkelta(viso)'!I25+R_2014_02_priskirta!I26</f>
        <v>0</v>
      </c>
      <c r="J25" s="127">
        <f>+'R_2014_02_atkelta(viso)'!J25+R_2014_02_priskirta!J26</f>
        <v>0</v>
      </c>
      <c r="K25" s="127">
        <f>+'R_2014_02_atkelta(viso)'!K25+R_2014_02_priskirta!K26</f>
        <v>0</v>
      </c>
      <c r="L25" s="127">
        <f>+'R_2014_02_atkelta(viso)'!L25+R_2014_02_priskirta!L26</f>
        <v>0</v>
      </c>
      <c r="M25" s="127">
        <f>+'R_2014_02_atkelta(viso)'!M25+R_2014_02_priskirta!M26</f>
        <v>0</v>
      </c>
      <c r="N25" s="127">
        <f>+'R_2014_02_atkelta(viso)'!N25+R_2014_02_priskirta!N26</f>
        <v>4553.33</v>
      </c>
      <c r="O25" s="152">
        <f t="shared" si="15"/>
        <v>9513.32</v>
      </c>
      <c r="P25" s="229">
        <f>+'R_2014_02_atkelta(viso)'!P25+R_2014_02_priskirta!P26</f>
        <v>8727.8165137614669</v>
      </c>
      <c r="Q25" s="73">
        <f t="shared" si="17"/>
        <v>785.50348623853279</v>
      </c>
      <c r="R25" s="21">
        <f t="shared" si="16"/>
        <v>31.711066666666667</v>
      </c>
      <c r="S25" s="35"/>
      <c r="T25" s="61"/>
      <c r="U25" s="13"/>
      <c r="W25" s="102"/>
      <c r="X25" s="102"/>
      <c r="Y25" s="102"/>
      <c r="Z25" s="102"/>
      <c r="AA25" s="102"/>
      <c r="AB25" s="102"/>
      <c r="AC25" s="102"/>
      <c r="AD25" s="102"/>
      <c r="AE25" s="2"/>
      <c r="AF25" s="2"/>
      <c r="AG25" s="2"/>
      <c r="AH25" s="2"/>
    </row>
    <row r="26" spans="1:3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+'R_2014_02_atkelta(viso)'!E26+R_2014_02_priskirta!E27</f>
        <v>0</v>
      </c>
      <c r="F26" s="127">
        <f>+'R_2014_02_atkelta(viso)'!F26+R_2014_02_priskirta!F27</f>
        <v>4491.67</v>
      </c>
      <c r="G26" s="127">
        <f>+'R_2014_02_atkelta(viso)'!G26+R_2014_02_priskirta!G27</f>
        <v>388.33</v>
      </c>
      <c r="H26" s="127">
        <f>+'R_2014_02_atkelta(viso)'!H26+R_2014_02_priskirta!H27</f>
        <v>713.33999999999992</v>
      </c>
      <c r="I26" s="127">
        <f>+'R_2014_02_atkelta(viso)'!I26+R_2014_02_priskirta!I27</f>
        <v>0</v>
      </c>
      <c r="J26" s="127">
        <f>+'R_2014_02_atkelta(viso)'!J26+R_2014_02_priskirta!J27</f>
        <v>0</v>
      </c>
      <c r="K26" s="127">
        <f>+'R_2014_02_atkelta(viso)'!K26+R_2014_02_priskirta!K27</f>
        <v>0</v>
      </c>
      <c r="L26" s="127">
        <f>+'R_2014_02_atkelta(viso)'!L26+R_2014_02_priskirta!L27</f>
        <v>0</v>
      </c>
      <c r="M26" s="127">
        <f>+'R_2014_02_atkelta(viso)'!M26+R_2014_02_priskirta!M27</f>
        <v>0</v>
      </c>
      <c r="N26" s="127">
        <f>+'R_2014_02_atkelta(viso)'!N26+R_2014_02_priskirta!N27</f>
        <v>763.33</v>
      </c>
      <c r="O26" s="152">
        <f t="shared" si="15"/>
        <v>6356.67</v>
      </c>
      <c r="P26" s="229">
        <f>+'R_2014_02_atkelta(viso)'!P26+R_2014_02_priskirta!P27</f>
        <v>5831.8073394495414</v>
      </c>
      <c r="Q26" s="73">
        <f t="shared" si="17"/>
        <v>524.86266055045871</v>
      </c>
      <c r="R26" s="21">
        <f t="shared" si="16"/>
        <v>42.377800000000001</v>
      </c>
      <c r="S26" s="35"/>
      <c r="T26" s="61">
        <v>150</v>
      </c>
      <c r="U26" s="13">
        <f t="shared" ref="U26:U42" si="20">+R26*T26</f>
        <v>6356.67</v>
      </c>
      <c r="W26" s="102"/>
      <c r="X26" s="102"/>
      <c r="Y26" s="102"/>
      <c r="Z26" s="102"/>
      <c r="AA26" s="102"/>
      <c r="AB26" s="102"/>
      <c r="AC26" s="102"/>
      <c r="AD26" s="102"/>
      <c r="AE26" s="2"/>
      <c r="AF26" s="2"/>
      <c r="AG26" s="2"/>
      <c r="AH26" s="2"/>
    </row>
    <row r="27" spans="1:3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+'R_2014_02_atkelta(viso)'!E27+R_2014_02_priskirta!E28</f>
        <v>390</v>
      </c>
      <c r="F27" s="127">
        <f>+'R_2014_02_atkelta(viso)'!F27+R_2014_02_priskirta!F28</f>
        <v>13093.34</v>
      </c>
      <c r="G27" s="127">
        <f>+'R_2014_02_atkelta(viso)'!G27+R_2014_02_priskirta!G28</f>
        <v>1990.67</v>
      </c>
      <c r="H27" s="127">
        <f>+'R_2014_02_atkelta(viso)'!H27+R_2014_02_priskirta!H28</f>
        <v>642.67000000000007</v>
      </c>
      <c r="I27" s="127">
        <f>+'R_2014_02_atkelta(viso)'!I27+R_2014_02_priskirta!I28</f>
        <v>0</v>
      </c>
      <c r="J27" s="127">
        <f>+'R_2014_02_atkelta(viso)'!J27+R_2014_02_priskirta!J28</f>
        <v>0</v>
      </c>
      <c r="K27" s="127">
        <f>+'R_2014_02_atkelta(viso)'!K27+R_2014_02_priskirta!K28</f>
        <v>0</v>
      </c>
      <c r="L27" s="127">
        <f>+'R_2014_02_atkelta(viso)'!L27+R_2014_02_priskirta!L28</f>
        <v>0</v>
      </c>
      <c r="M27" s="127">
        <f>+'R_2014_02_atkelta(viso)'!M27+R_2014_02_priskirta!M28</f>
        <v>6</v>
      </c>
      <c r="N27" s="127">
        <f>+'R_2014_02_atkelta(viso)'!N27+R_2014_02_priskirta!N28</f>
        <v>9997.33</v>
      </c>
      <c r="O27" s="152">
        <f t="shared" si="15"/>
        <v>26120.010000000002</v>
      </c>
      <c r="P27" s="229">
        <f>+'R_2014_02_atkelta(viso)'!P27+R_2014_02_priskirta!P28</f>
        <v>23963.311926605504</v>
      </c>
      <c r="Q27" s="73">
        <f t="shared" si="17"/>
        <v>2156.6980733944984</v>
      </c>
      <c r="R27" s="21">
        <f t="shared" si="16"/>
        <v>435.33350000000002</v>
      </c>
      <c r="S27" s="35"/>
      <c r="T27" s="61">
        <v>240</v>
      </c>
      <c r="U27" s="13">
        <f t="shared" si="20"/>
        <v>104480.04000000001</v>
      </c>
      <c r="W27" s="102"/>
      <c r="X27" s="102"/>
      <c r="Y27" s="102"/>
      <c r="Z27" s="102"/>
      <c r="AA27" s="102"/>
      <c r="AB27" s="102"/>
      <c r="AC27" s="102"/>
      <c r="AD27" s="102"/>
      <c r="AE27" s="2"/>
      <c r="AF27" s="2"/>
      <c r="AG27" s="2"/>
      <c r="AH27" s="2"/>
    </row>
    <row r="28" spans="1:3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+'R_2014_02_atkelta(viso)'!E28+R_2014_02_priskirta!E29</f>
        <v>0</v>
      </c>
      <c r="F28" s="127">
        <f>+'R_2014_02_atkelta(viso)'!F28+R_2014_02_priskirta!F29</f>
        <v>561</v>
      </c>
      <c r="G28" s="127">
        <f>+'R_2014_02_atkelta(viso)'!G28+R_2014_02_priskirta!G29</f>
        <v>12</v>
      </c>
      <c r="H28" s="127">
        <f>+'R_2014_02_atkelta(viso)'!H28+R_2014_02_priskirta!H29</f>
        <v>444</v>
      </c>
      <c r="I28" s="127">
        <f>+'R_2014_02_atkelta(viso)'!I28+R_2014_02_priskirta!I29</f>
        <v>0</v>
      </c>
      <c r="J28" s="127">
        <f>+'R_2014_02_atkelta(viso)'!J28+R_2014_02_priskirta!J29</f>
        <v>0</v>
      </c>
      <c r="K28" s="127">
        <f>+'R_2014_02_atkelta(viso)'!K28+R_2014_02_priskirta!K29</f>
        <v>0</v>
      </c>
      <c r="L28" s="127">
        <f>+'R_2014_02_atkelta(viso)'!L28+R_2014_02_priskirta!L29</f>
        <v>0</v>
      </c>
      <c r="M28" s="127">
        <f>+'R_2014_02_atkelta(viso)'!M28+R_2014_02_priskirta!M29</f>
        <v>0</v>
      </c>
      <c r="N28" s="127">
        <f>+'R_2014_02_atkelta(viso)'!N28+R_2014_02_priskirta!N29</f>
        <v>6309</v>
      </c>
      <c r="O28" s="152">
        <f t="shared" si="15"/>
        <v>7326</v>
      </c>
      <c r="P28" s="229">
        <f>+'R_2014_02_atkelta(viso)'!P28+R_2014_02_priskirta!P29</f>
        <v>6721.100917431193</v>
      </c>
      <c r="Q28" s="73">
        <f t="shared" si="17"/>
        <v>604.89908256880699</v>
      </c>
      <c r="R28" s="21">
        <f t="shared" si="16"/>
        <v>27.133333333333333</v>
      </c>
      <c r="S28" s="35"/>
      <c r="T28" s="61"/>
      <c r="U28" s="13"/>
      <c r="W28" s="102"/>
      <c r="X28" s="102"/>
      <c r="Y28" s="102"/>
      <c r="Z28" s="102"/>
      <c r="AA28" s="102"/>
      <c r="AB28" s="102"/>
      <c r="AC28" s="102"/>
      <c r="AD28" s="102"/>
      <c r="AE28" s="2"/>
      <c r="AF28" s="2"/>
      <c r="AG28" s="2"/>
      <c r="AH28" s="2"/>
    </row>
    <row r="29" spans="1:3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+'R_2014_02_atkelta(viso)'!E29+R_2014_02_priskirta!E30</f>
        <v>0</v>
      </c>
      <c r="F29" s="127">
        <f>+'R_2014_02_atkelta(viso)'!F29+R_2014_02_priskirta!F30</f>
        <v>85.5</v>
      </c>
      <c r="G29" s="127">
        <f>+'R_2014_02_atkelta(viso)'!G29+R_2014_02_priskirta!G30</f>
        <v>0</v>
      </c>
      <c r="H29" s="127">
        <f>+'R_2014_02_atkelta(viso)'!H29+R_2014_02_priskirta!H30</f>
        <v>40.5</v>
      </c>
      <c r="I29" s="127">
        <f>+'R_2014_02_atkelta(viso)'!I29+R_2014_02_priskirta!I30</f>
        <v>0</v>
      </c>
      <c r="J29" s="127">
        <f>+'R_2014_02_atkelta(viso)'!J29+R_2014_02_priskirta!J30</f>
        <v>0</v>
      </c>
      <c r="K29" s="127">
        <f>+'R_2014_02_atkelta(viso)'!K29+R_2014_02_priskirta!K30</f>
        <v>0</v>
      </c>
      <c r="L29" s="127">
        <f>+'R_2014_02_atkelta(viso)'!L29+R_2014_02_priskirta!L30</f>
        <v>0</v>
      </c>
      <c r="M29" s="127">
        <f>+'R_2014_02_atkelta(viso)'!M29+R_2014_02_priskirta!M30</f>
        <v>0</v>
      </c>
      <c r="N29" s="127">
        <f>+'R_2014_02_atkelta(viso)'!N29+R_2014_02_priskirta!N30</f>
        <v>57</v>
      </c>
      <c r="O29" s="152">
        <f t="shared" si="15"/>
        <v>183</v>
      </c>
      <c r="P29" s="229">
        <f>+'R_2014_02_atkelta(viso)'!P29+R_2014_02_priskirta!P30</f>
        <v>167.88990825688072</v>
      </c>
      <c r="Q29" s="73">
        <f t="shared" si="17"/>
        <v>15.110091743119284</v>
      </c>
      <c r="R29" s="21">
        <f t="shared" si="16"/>
        <v>1.3555555555555556</v>
      </c>
      <c r="S29" s="35"/>
      <c r="T29" s="61">
        <v>135</v>
      </c>
      <c r="U29" s="13">
        <f t="shared" si="20"/>
        <v>183</v>
      </c>
      <c r="W29" s="102"/>
      <c r="X29" s="102"/>
      <c r="Y29" s="102"/>
      <c r="Z29" s="102"/>
      <c r="AA29" s="102"/>
      <c r="AB29" s="102"/>
      <c r="AC29" s="102"/>
      <c r="AD29" s="102"/>
      <c r="AE29" s="2"/>
      <c r="AF29" s="2"/>
      <c r="AG29" s="2"/>
      <c r="AH29" s="2"/>
    </row>
    <row r="30" spans="1:3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+'R_2014_02_atkelta(viso)'!E30+R_2014_02_priskirta!E31</f>
        <v>65.400000000000006</v>
      </c>
      <c r="F30" s="127">
        <f>+'R_2014_02_atkelta(viso)'!F30+R_2014_02_priskirta!F31</f>
        <v>385.20000000000005</v>
      </c>
      <c r="G30" s="127">
        <f>+'R_2014_02_atkelta(viso)'!G30+R_2014_02_priskirta!G31</f>
        <v>36</v>
      </c>
      <c r="H30" s="127">
        <f>+'R_2014_02_atkelta(viso)'!H30+R_2014_02_priskirta!H31</f>
        <v>69.599999999999994</v>
      </c>
      <c r="I30" s="127">
        <f>+'R_2014_02_atkelta(viso)'!I30+R_2014_02_priskirta!I31</f>
        <v>0</v>
      </c>
      <c r="J30" s="127">
        <f>+'R_2014_02_atkelta(viso)'!J30+R_2014_02_priskirta!J31</f>
        <v>0</v>
      </c>
      <c r="K30" s="127">
        <f>+'R_2014_02_atkelta(viso)'!K30+R_2014_02_priskirta!K31</f>
        <v>0</v>
      </c>
      <c r="L30" s="127">
        <f>+'R_2014_02_atkelta(viso)'!L30+R_2014_02_priskirta!L31</f>
        <v>0</v>
      </c>
      <c r="M30" s="127">
        <f>+'R_2014_02_atkelta(viso)'!M30+R_2014_02_priskirta!M31</f>
        <v>0</v>
      </c>
      <c r="N30" s="127">
        <f>+'R_2014_02_atkelta(viso)'!N30+R_2014_02_priskirta!N31</f>
        <v>1093.2</v>
      </c>
      <c r="O30" s="152">
        <f t="shared" si="15"/>
        <v>1649.4</v>
      </c>
      <c r="P30" s="229">
        <f>+'R_2014_02_atkelta(viso)'!P30+R_2014_02_priskirta!P31</f>
        <v>1513.211009174312</v>
      </c>
      <c r="Q30" s="73">
        <f t="shared" si="17"/>
        <v>136.18899082568805</v>
      </c>
      <c r="R30" s="21">
        <f t="shared" si="16"/>
        <v>30.544444444444448</v>
      </c>
      <c r="S30" s="35"/>
      <c r="T30" s="61">
        <v>216</v>
      </c>
      <c r="U30" s="13">
        <f t="shared" si="20"/>
        <v>6597.6</v>
      </c>
      <c r="W30" s="102"/>
      <c r="X30" s="102"/>
      <c r="Y30" s="102"/>
      <c r="Z30" s="102"/>
      <c r="AA30" s="102"/>
      <c r="AB30" s="102"/>
      <c r="AC30" s="102"/>
      <c r="AD30" s="102"/>
      <c r="AE30" s="2"/>
      <c r="AF30" s="2"/>
      <c r="AG30" s="2"/>
      <c r="AH30" s="2"/>
    </row>
    <row r="31" spans="1:3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+'R_2014_02_atkelta(viso)'!E31+R_2014_02_priskirta!E32</f>
        <v>3.33</v>
      </c>
      <c r="F31" s="127">
        <f>+'R_2014_02_atkelta(viso)'!F31+R_2014_02_priskirta!F32</f>
        <v>306.67</v>
      </c>
      <c r="G31" s="127">
        <f>+'R_2014_02_atkelta(viso)'!G31+R_2014_02_priskirta!G32</f>
        <v>93.33</v>
      </c>
      <c r="H31" s="127">
        <f>+'R_2014_02_atkelta(viso)'!H31+R_2014_02_priskirta!H32</f>
        <v>186.67</v>
      </c>
      <c r="I31" s="127">
        <f>+'R_2014_02_atkelta(viso)'!I31+R_2014_02_priskirta!I32</f>
        <v>0</v>
      </c>
      <c r="J31" s="127">
        <f>+'R_2014_02_atkelta(viso)'!J31+R_2014_02_priskirta!J32</f>
        <v>0</v>
      </c>
      <c r="K31" s="127">
        <f>+'R_2014_02_atkelta(viso)'!K31+R_2014_02_priskirta!K32</f>
        <v>0</v>
      </c>
      <c r="L31" s="127">
        <f>+'R_2014_02_atkelta(viso)'!L31+R_2014_02_priskirta!L32</f>
        <v>0</v>
      </c>
      <c r="M31" s="127">
        <f>+'R_2014_02_atkelta(viso)'!M31+R_2014_02_priskirta!M32</f>
        <v>0</v>
      </c>
      <c r="N31" s="127">
        <f>+'R_2014_02_atkelta(viso)'!N31+R_2014_02_priskirta!N32</f>
        <v>186.67</v>
      </c>
      <c r="O31" s="152">
        <f t="shared" si="15"/>
        <v>776.67</v>
      </c>
      <c r="P31" s="229">
        <f>+'R_2014_02_atkelta(viso)'!P31+R_2014_02_priskirta!P32</f>
        <v>712.54128440366958</v>
      </c>
      <c r="Q31" s="73">
        <f t="shared" si="17"/>
        <v>64.12871559633038</v>
      </c>
      <c r="R31" s="21">
        <f t="shared" si="16"/>
        <v>1.2944499999999999</v>
      </c>
      <c r="S31" s="35"/>
      <c r="T31" s="61"/>
      <c r="U31" s="13"/>
      <c r="W31" s="102"/>
      <c r="X31" s="102"/>
      <c r="Y31" s="102"/>
      <c r="Z31" s="102"/>
      <c r="AA31" s="102"/>
      <c r="AB31" s="102"/>
      <c r="AC31" s="102"/>
      <c r="AD31" s="102"/>
      <c r="AE31" s="2"/>
      <c r="AF31" s="2"/>
      <c r="AG31" s="2"/>
      <c r="AH31" s="2"/>
    </row>
    <row r="32" spans="1:3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+'R_2014_02_atkelta(viso)'!E32+R_2014_02_priskirta!E33</f>
        <v>0</v>
      </c>
      <c r="F32" s="127">
        <f>+'R_2014_02_atkelta(viso)'!F32+R_2014_02_priskirta!F33</f>
        <v>458.34000000000003</v>
      </c>
      <c r="G32" s="127">
        <f>+'R_2014_02_atkelta(viso)'!G32+R_2014_02_priskirta!G33</f>
        <v>86.67</v>
      </c>
      <c r="H32" s="127">
        <f>+'R_2014_02_atkelta(viso)'!H32+R_2014_02_priskirta!H33</f>
        <v>156.68</v>
      </c>
      <c r="I32" s="127">
        <f>+'R_2014_02_atkelta(viso)'!I32+R_2014_02_priskirta!I33</f>
        <v>0</v>
      </c>
      <c r="J32" s="127">
        <f>+'R_2014_02_atkelta(viso)'!J32+R_2014_02_priskirta!J33</f>
        <v>0</v>
      </c>
      <c r="K32" s="127">
        <f>+'R_2014_02_atkelta(viso)'!K32+R_2014_02_priskirta!K33</f>
        <v>0</v>
      </c>
      <c r="L32" s="127">
        <f>+'R_2014_02_atkelta(viso)'!L32+R_2014_02_priskirta!L33</f>
        <v>0</v>
      </c>
      <c r="M32" s="127">
        <f>+'R_2014_02_atkelta(viso)'!M32+R_2014_02_priskirta!M33</f>
        <v>0</v>
      </c>
      <c r="N32" s="127">
        <f>+'R_2014_02_atkelta(viso)'!N32+R_2014_02_priskirta!N33</f>
        <v>195</v>
      </c>
      <c r="O32" s="152">
        <f t="shared" si="15"/>
        <v>896.69</v>
      </c>
      <c r="P32" s="229">
        <f>+'R_2014_02_atkelta(viso)'!P32+R_2014_02_priskirta!P33</f>
        <v>822.65137614678895</v>
      </c>
      <c r="Q32" s="73">
        <f t="shared" si="17"/>
        <v>74.038623853211107</v>
      </c>
      <c r="R32" s="21">
        <f t="shared" si="16"/>
        <v>2.9889666666666668</v>
      </c>
      <c r="S32" s="35"/>
      <c r="T32" s="61">
        <v>300</v>
      </c>
      <c r="U32" s="13">
        <f t="shared" si="20"/>
        <v>896.69</v>
      </c>
      <c r="W32" s="102"/>
      <c r="X32" s="102"/>
      <c r="Y32" s="102"/>
      <c r="Z32" s="102"/>
      <c r="AA32" s="102"/>
      <c r="AB32" s="102"/>
      <c r="AC32" s="102"/>
      <c r="AD32" s="102"/>
      <c r="AE32" s="2"/>
      <c r="AF32" s="2"/>
      <c r="AG32" s="2"/>
      <c r="AH32" s="2"/>
    </row>
    <row r="33" spans="1:3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+'R_2014_02_atkelta(viso)'!E33+R_2014_02_priskirta!E34</f>
        <v>37.33</v>
      </c>
      <c r="F33" s="127">
        <f>+'R_2014_02_atkelta(viso)'!F33+R_2014_02_priskirta!F34</f>
        <v>1904.67</v>
      </c>
      <c r="G33" s="127">
        <f>+'R_2014_02_atkelta(viso)'!G33+R_2014_02_priskirta!G34</f>
        <v>235.99</v>
      </c>
      <c r="H33" s="127">
        <f>+'R_2014_02_atkelta(viso)'!H33+R_2014_02_priskirta!H34</f>
        <v>130.67000000000002</v>
      </c>
      <c r="I33" s="127">
        <f>+'R_2014_02_atkelta(viso)'!I33+R_2014_02_priskirta!I34</f>
        <v>0</v>
      </c>
      <c r="J33" s="127">
        <f>+'R_2014_02_atkelta(viso)'!J33+R_2014_02_priskirta!J34</f>
        <v>0</v>
      </c>
      <c r="K33" s="127">
        <f>+'R_2014_02_atkelta(viso)'!K33+R_2014_02_priskirta!K34</f>
        <v>0</v>
      </c>
      <c r="L33" s="127">
        <f>+'R_2014_02_atkelta(viso)'!L33+R_2014_02_priskirta!L34</f>
        <v>0</v>
      </c>
      <c r="M33" s="127">
        <f>+'R_2014_02_atkelta(viso)'!M33+R_2014_02_priskirta!M34</f>
        <v>0</v>
      </c>
      <c r="N33" s="127">
        <f>+'R_2014_02_atkelta(viso)'!N33+R_2014_02_priskirta!N34</f>
        <v>1705.33</v>
      </c>
      <c r="O33" s="152">
        <f t="shared" si="15"/>
        <v>4013.99</v>
      </c>
      <c r="P33" s="229">
        <f>+'R_2014_02_atkelta(viso)'!P33+R_2014_02_priskirta!P34</f>
        <v>3682.5596330275225</v>
      </c>
      <c r="Q33" s="73">
        <f t="shared" si="17"/>
        <v>331.43036697247726</v>
      </c>
      <c r="R33" s="21">
        <f t="shared" si="16"/>
        <v>33.449916666666667</v>
      </c>
      <c r="S33" s="35"/>
      <c r="T33" s="61">
        <v>480</v>
      </c>
      <c r="U33" s="13">
        <f t="shared" si="20"/>
        <v>16055.96</v>
      </c>
      <c r="W33" s="102"/>
      <c r="X33" s="102"/>
      <c r="Y33" s="102"/>
      <c r="Z33" s="102"/>
      <c r="AA33" s="102"/>
      <c r="AB33" s="102"/>
      <c r="AC33" s="102"/>
      <c r="AD33" s="102"/>
      <c r="AE33" s="2"/>
      <c r="AF33" s="2"/>
      <c r="AG33" s="2"/>
      <c r="AH33" s="2"/>
    </row>
    <row r="34" spans="1:3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+'R_2014_02_atkelta(viso)'!E34+R_2014_02_priskirta!E35</f>
        <v>0</v>
      </c>
      <c r="F34" s="127">
        <f>+'R_2014_02_atkelta(viso)'!F34+R_2014_02_priskirta!F35</f>
        <v>0</v>
      </c>
      <c r="G34" s="127">
        <f>+'R_2014_02_atkelta(viso)'!G34+R_2014_02_priskirta!G35</f>
        <v>0</v>
      </c>
      <c r="H34" s="127">
        <f>+'R_2014_02_atkelta(viso)'!H34+R_2014_02_priskirta!H35</f>
        <v>0</v>
      </c>
      <c r="I34" s="127">
        <f>+'R_2014_02_atkelta(viso)'!I34+R_2014_02_priskirta!I35</f>
        <v>0</v>
      </c>
      <c r="J34" s="127">
        <f>+'R_2014_02_atkelta(viso)'!J34+R_2014_02_priskirta!J35</f>
        <v>0</v>
      </c>
      <c r="K34" s="127">
        <f>+'R_2014_02_atkelta(viso)'!K34+R_2014_02_priskirta!K35</f>
        <v>0</v>
      </c>
      <c r="L34" s="127">
        <f>+'R_2014_02_atkelta(viso)'!L34+R_2014_02_priskirta!L35</f>
        <v>0</v>
      </c>
      <c r="M34" s="127">
        <f>+'R_2014_02_atkelta(viso)'!M34+R_2014_02_priskirta!M35</f>
        <v>0</v>
      </c>
      <c r="N34" s="127">
        <f>+'R_2014_02_atkelta(viso)'!N34+R_2014_02_priskirta!N35</f>
        <v>1080</v>
      </c>
      <c r="O34" s="152">
        <f t="shared" si="15"/>
        <v>1080</v>
      </c>
      <c r="P34" s="229">
        <f>+'R_2014_02_atkelta(viso)'!P34+R_2014_02_priskirta!P35</f>
        <v>990.82568807339442</v>
      </c>
      <c r="Q34" s="73">
        <f t="shared" si="17"/>
        <v>89.174311926605583</v>
      </c>
      <c r="R34" s="21">
        <f t="shared" si="16"/>
        <v>2</v>
      </c>
      <c r="S34" s="35"/>
      <c r="T34" s="61"/>
      <c r="U34" s="13"/>
      <c r="W34" s="102"/>
      <c r="X34" s="102"/>
      <c r="Y34" s="102"/>
      <c r="Z34" s="102"/>
      <c r="AA34" s="102"/>
      <c r="AB34" s="102"/>
      <c r="AC34" s="102"/>
      <c r="AD34" s="102"/>
      <c r="AE34" s="2"/>
      <c r="AF34" s="2"/>
      <c r="AG34" s="2"/>
      <c r="AH34" s="2"/>
    </row>
    <row r="35" spans="1:3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+'R_2014_02_atkelta(viso)'!E35+R_2014_02_priskirta!E36</f>
        <v>0</v>
      </c>
      <c r="F35" s="127">
        <f>+'R_2014_02_atkelta(viso)'!F35+R_2014_02_priskirta!F36</f>
        <v>0</v>
      </c>
      <c r="G35" s="127">
        <f>+'R_2014_02_atkelta(viso)'!G35+R_2014_02_priskirta!G36</f>
        <v>0</v>
      </c>
      <c r="H35" s="127">
        <f>+'R_2014_02_atkelta(viso)'!H35+R_2014_02_priskirta!H36</f>
        <v>0</v>
      </c>
      <c r="I35" s="127">
        <f>+'R_2014_02_atkelta(viso)'!I35+R_2014_02_priskirta!I36</f>
        <v>0</v>
      </c>
      <c r="J35" s="127">
        <f>+'R_2014_02_atkelta(viso)'!J35+R_2014_02_priskirta!J36</f>
        <v>0</v>
      </c>
      <c r="K35" s="127">
        <f>+'R_2014_02_atkelta(viso)'!K35+R_2014_02_priskirta!K36</f>
        <v>0</v>
      </c>
      <c r="L35" s="127">
        <f>+'R_2014_02_atkelta(viso)'!L35+R_2014_02_priskirta!L36</f>
        <v>0</v>
      </c>
      <c r="M35" s="127">
        <f>+'R_2014_02_atkelta(viso)'!M35+R_2014_02_priskirta!M36</f>
        <v>0</v>
      </c>
      <c r="N35" s="127">
        <f>+'R_2014_02_atkelta(viso)'!N35+R_2014_02_priskirta!N36</f>
        <v>0</v>
      </c>
      <c r="O35" s="152">
        <f t="shared" si="15"/>
        <v>0</v>
      </c>
      <c r="P35" s="229">
        <f>+'R_2014_02_atkelta(viso)'!P35+R_2014_02_priskirta!P36</f>
        <v>0</v>
      </c>
      <c r="Q35" s="73">
        <f t="shared" si="17"/>
        <v>0</v>
      </c>
      <c r="R35" s="21">
        <f t="shared" si="16"/>
        <v>0</v>
      </c>
      <c r="S35" s="35"/>
      <c r="T35" s="61">
        <v>270</v>
      </c>
      <c r="U35" s="13">
        <f t="shared" si="20"/>
        <v>0</v>
      </c>
      <c r="W35" s="102"/>
      <c r="X35" s="102"/>
      <c r="Y35" s="102"/>
      <c r="Z35" s="102"/>
      <c r="AA35" s="102"/>
      <c r="AB35" s="102"/>
      <c r="AC35" s="102"/>
      <c r="AD35" s="102"/>
      <c r="AE35" s="2"/>
      <c r="AF35" s="2"/>
      <c r="AG35" s="2"/>
      <c r="AH35" s="2"/>
    </row>
    <row r="36" spans="1:3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+'R_2014_02_atkelta(viso)'!E36+R_2014_02_priskirta!E37</f>
        <v>33.6</v>
      </c>
      <c r="F36" s="127">
        <f>+'R_2014_02_atkelta(viso)'!F36+R_2014_02_priskirta!F37</f>
        <v>100.8</v>
      </c>
      <c r="G36" s="127">
        <f>+'R_2014_02_atkelta(viso)'!G36+R_2014_02_priskirta!G37</f>
        <v>33.6</v>
      </c>
      <c r="H36" s="127">
        <f>+'R_2014_02_atkelta(viso)'!H36+R_2014_02_priskirta!H37</f>
        <v>0</v>
      </c>
      <c r="I36" s="127">
        <f>+'R_2014_02_atkelta(viso)'!I36+R_2014_02_priskirta!I37</f>
        <v>0</v>
      </c>
      <c r="J36" s="127">
        <f>+'R_2014_02_atkelta(viso)'!J36+R_2014_02_priskirta!J37</f>
        <v>0</v>
      </c>
      <c r="K36" s="127">
        <f>+'R_2014_02_atkelta(viso)'!K36+R_2014_02_priskirta!K37</f>
        <v>0</v>
      </c>
      <c r="L36" s="127">
        <f>+'R_2014_02_atkelta(viso)'!L36+R_2014_02_priskirta!L37</f>
        <v>0</v>
      </c>
      <c r="M36" s="127">
        <f>+'R_2014_02_atkelta(viso)'!M36+R_2014_02_priskirta!M37</f>
        <v>0</v>
      </c>
      <c r="N36" s="127">
        <f>+'R_2014_02_atkelta(viso)'!N36+R_2014_02_priskirta!N37</f>
        <v>235.2</v>
      </c>
      <c r="O36" s="152">
        <f t="shared" si="15"/>
        <v>403.2</v>
      </c>
      <c r="P36" s="229">
        <f>+'R_2014_02_atkelta(viso)'!P36+R_2014_02_priskirta!P37</f>
        <v>369.90825688073392</v>
      </c>
      <c r="Q36" s="73">
        <f t="shared" si="17"/>
        <v>33.291743119266073</v>
      </c>
      <c r="R36" s="21">
        <f t="shared" si="16"/>
        <v>3.7333333333333334</v>
      </c>
      <c r="S36" s="35"/>
      <c r="T36" s="61">
        <v>432</v>
      </c>
      <c r="U36" s="13">
        <f t="shared" si="20"/>
        <v>1612.8</v>
      </c>
      <c r="W36" s="102"/>
      <c r="X36" s="102"/>
      <c r="Y36" s="102"/>
      <c r="Z36" s="102"/>
      <c r="AA36" s="102"/>
      <c r="AB36" s="102"/>
      <c r="AC36" s="102"/>
      <c r="AD36" s="102"/>
      <c r="AE36" s="2"/>
      <c r="AF36" s="2"/>
      <c r="AG36" s="2"/>
      <c r="AH36" s="2"/>
    </row>
    <row r="37" spans="1:3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+'R_2014_02_atkelta(viso)'!E37+R_2014_02_priskirta!E38</f>
        <v>280</v>
      </c>
      <c r="F37" s="127">
        <f>+'R_2014_02_atkelta(viso)'!F37+R_2014_02_priskirta!F38</f>
        <v>93.33</v>
      </c>
      <c r="G37" s="127">
        <f>+'R_2014_02_atkelta(viso)'!G37+R_2014_02_priskirta!G38</f>
        <v>0</v>
      </c>
      <c r="H37" s="127">
        <f>+'R_2014_02_atkelta(viso)'!H37+R_2014_02_priskirta!H38</f>
        <v>93.33</v>
      </c>
      <c r="I37" s="127">
        <f>+'R_2014_02_atkelta(viso)'!I37+R_2014_02_priskirta!I38</f>
        <v>0</v>
      </c>
      <c r="J37" s="127">
        <f>+'R_2014_02_atkelta(viso)'!J37+R_2014_02_priskirta!J38</f>
        <v>0</v>
      </c>
      <c r="K37" s="127">
        <f>+'R_2014_02_atkelta(viso)'!K37+R_2014_02_priskirta!K38</f>
        <v>0</v>
      </c>
      <c r="L37" s="127">
        <f>+'R_2014_02_atkelta(viso)'!L37+R_2014_02_priskirta!L38</f>
        <v>0</v>
      </c>
      <c r="M37" s="127">
        <f>+'R_2014_02_atkelta(viso)'!M37+R_2014_02_priskirta!M38</f>
        <v>0</v>
      </c>
      <c r="N37" s="127">
        <f>+'R_2014_02_atkelta(viso)'!N37+R_2014_02_priskirta!N38</f>
        <v>93.33</v>
      </c>
      <c r="O37" s="152">
        <f t="shared" si="15"/>
        <v>559.99</v>
      </c>
      <c r="P37" s="229">
        <f>+'R_2014_02_atkelta(viso)'!P37+R_2014_02_priskirta!P38</f>
        <v>513.75229357798162</v>
      </c>
      <c r="Q37" s="73">
        <f t="shared" si="17"/>
        <v>46.237706422018391</v>
      </c>
      <c r="R37" s="21">
        <f t="shared" si="16"/>
        <v>0.62221111111111116</v>
      </c>
      <c r="S37" s="35"/>
      <c r="T37" s="61"/>
      <c r="U37" s="13"/>
      <c r="W37" s="102"/>
      <c r="X37" s="102"/>
      <c r="Y37" s="102"/>
      <c r="Z37" s="102"/>
      <c r="AA37" s="102"/>
      <c r="AB37" s="102"/>
      <c r="AC37" s="102"/>
      <c r="AD37" s="102"/>
      <c r="AE37" s="2"/>
      <c r="AF37" s="2"/>
      <c r="AG37" s="2"/>
      <c r="AH37" s="2"/>
    </row>
    <row r="38" spans="1:3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+'R_2014_02_atkelta(viso)'!E38+R_2014_02_priskirta!E39</f>
        <v>46.67</v>
      </c>
      <c r="F38" s="127">
        <f>+'R_2014_02_atkelta(viso)'!F38+R_2014_02_priskirta!F39</f>
        <v>93.33</v>
      </c>
      <c r="G38" s="127">
        <f>+'R_2014_02_atkelta(viso)'!G38+R_2014_02_priskirta!G39</f>
        <v>46.67</v>
      </c>
      <c r="H38" s="127">
        <f>+'R_2014_02_atkelta(viso)'!H38+R_2014_02_priskirta!H39</f>
        <v>0</v>
      </c>
      <c r="I38" s="127">
        <f>+'R_2014_02_atkelta(viso)'!I38+R_2014_02_priskirta!I39</f>
        <v>0</v>
      </c>
      <c r="J38" s="127">
        <f>+'R_2014_02_atkelta(viso)'!J38+R_2014_02_priskirta!J39</f>
        <v>0</v>
      </c>
      <c r="K38" s="127">
        <f>+'R_2014_02_atkelta(viso)'!K38+R_2014_02_priskirta!K39</f>
        <v>0</v>
      </c>
      <c r="L38" s="127">
        <f>+'R_2014_02_atkelta(viso)'!L38+R_2014_02_priskirta!L39</f>
        <v>0</v>
      </c>
      <c r="M38" s="127">
        <f>+'R_2014_02_atkelta(viso)'!M38+R_2014_02_priskirta!M39</f>
        <v>0</v>
      </c>
      <c r="N38" s="127">
        <f>+'R_2014_02_atkelta(viso)'!N38+R_2014_02_priskirta!N39</f>
        <v>0</v>
      </c>
      <c r="O38" s="152">
        <f t="shared" si="15"/>
        <v>186.67000000000002</v>
      </c>
      <c r="P38" s="229">
        <f>+'R_2014_02_atkelta(viso)'!P38+R_2014_02_priskirta!P39</f>
        <v>171.25688073394497</v>
      </c>
      <c r="Q38" s="73">
        <f t="shared" si="17"/>
        <v>15.413119266055048</v>
      </c>
      <c r="R38" s="21">
        <f t="shared" si="16"/>
        <v>0.41482222222222226</v>
      </c>
      <c r="S38" s="35"/>
      <c r="T38" s="61">
        <v>450</v>
      </c>
      <c r="U38" s="13">
        <f t="shared" si="20"/>
        <v>186.67000000000002</v>
      </c>
      <c r="W38" s="102"/>
      <c r="X38" s="102"/>
      <c r="Y38" s="102"/>
      <c r="Z38" s="102"/>
      <c r="AA38" s="102"/>
      <c r="AB38" s="102"/>
      <c r="AC38" s="102"/>
      <c r="AD38" s="102"/>
      <c r="AE38" s="2"/>
      <c r="AF38" s="2"/>
      <c r="AG38" s="2"/>
      <c r="AH38" s="2"/>
    </row>
    <row r="39" spans="1:3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+'R_2014_02_atkelta(viso)'!E39+R_2014_02_priskirta!E40</f>
        <v>93.34</v>
      </c>
      <c r="F39" s="127">
        <f>+'R_2014_02_atkelta(viso)'!F39+R_2014_02_priskirta!F40</f>
        <v>2166</v>
      </c>
      <c r="G39" s="127">
        <f>+'R_2014_02_atkelta(viso)'!G39+R_2014_02_priskirta!G40</f>
        <v>93.33</v>
      </c>
      <c r="H39" s="127">
        <f>+'R_2014_02_atkelta(viso)'!H39+R_2014_02_priskirta!H40</f>
        <v>198.01000000000002</v>
      </c>
      <c r="I39" s="127">
        <f>+'R_2014_02_atkelta(viso)'!I39+R_2014_02_priskirta!I40</f>
        <v>0</v>
      </c>
      <c r="J39" s="127">
        <f>+'R_2014_02_atkelta(viso)'!J39+R_2014_02_priskirta!J40</f>
        <v>0</v>
      </c>
      <c r="K39" s="127">
        <f>+'R_2014_02_atkelta(viso)'!K39+R_2014_02_priskirta!K40</f>
        <v>0</v>
      </c>
      <c r="L39" s="127">
        <f>+'R_2014_02_atkelta(viso)'!L39+R_2014_02_priskirta!L40</f>
        <v>0</v>
      </c>
      <c r="M39" s="127">
        <f>+'R_2014_02_atkelta(viso)'!M39+R_2014_02_priskirta!M40</f>
        <v>0</v>
      </c>
      <c r="N39" s="127">
        <f>+'R_2014_02_atkelta(viso)'!N39+R_2014_02_priskirta!N40</f>
        <v>1157.33</v>
      </c>
      <c r="O39" s="152">
        <f t="shared" si="15"/>
        <v>3708.01</v>
      </c>
      <c r="P39" s="229">
        <f>+'R_2014_02_atkelta(viso)'!P39+R_2014_02_priskirta!P40</f>
        <v>3401.8440366972472</v>
      </c>
      <c r="Q39" s="73">
        <f t="shared" si="17"/>
        <v>306.16596330275297</v>
      </c>
      <c r="R39" s="21">
        <f t="shared" si="16"/>
        <v>20.600055555555556</v>
      </c>
      <c r="S39" s="35"/>
      <c r="T39" s="61">
        <v>720</v>
      </c>
      <c r="U39" s="13">
        <f t="shared" si="20"/>
        <v>14832.04</v>
      </c>
      <c r="W39" s="102"/>
      <c r="X39" s="102"/>
      <c r="Y39" s="102"/>
      <c r="Z39" s="102"/>
      <c r="AA39" s="102"/>
      <c r="AB39" s="102"/>
      <c r="AC39" s="102"/>
      <c r="AD39" s="102"/>
      <c r="AE39" s="2"/>
      <c r="AF39" s="2"/>
      <c r="AG39" s="2"/>
      <c r="AH39" s="2"/>
    </row>
    <row r="40" spans="1:3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+'R_2014_02_atkelta(viso)'!E40+R_2014_02_priskirta!E41</f>
        <v>0</v>
      </c>
      <c r="F40" s="127">
        <f>+'R_2014_02_atkelta(viso)'!F40+R_2014_02_priskirta!F41</f>
        <v>0</v>
      </c>
      <c r="G40" s="127">
        <f>+'R_2014_02_atkelta(viso)'!G40+R_2014_02_priskirta!G41</f>
        <v>0</v>
      </c>
      <c r="H40" s="127">
        <f>+'R_2014_02_atkelta(viso)'!H40+R_2014_02_priskirta!H41</f>
        <v>0</v>
      </c>
      <c r="I40" s="127">
        <f>+'R_2014_02_atkelta(viso)'!I40+R_2014_02_priskirta!I41</f>
        <v>0</v>
      </c>
      <c r="J40" s="127">
        <f>+'R_2014_02_atkelta(viso)'!J40+R_2014_02_priskirta!J41</f>
        <v>0</v>
      </c>
      <c r="K40" s="127">
        <f>+'R_2014_02_atkelta(viso)'!K40+R_2014_02_priskirta!K41</f>
        <v>0</v>
      </c>
      <c r="L40" s="127">
        <f>+'R_2014_02_atkelta(viso)'!L40+R_2014_02_priskirta!L41</f>
        <v>0</v>
      </c>
      <c r="M40" s="127">
        <f>+'R_2014_02_atkelta(viso)'!M40+R_2014_02_priskirta!M41</f>
        <v>0</v>
      </c>
      <c r="N40" s="127">
        <f>+'R_2014_02_atkelta(viso)'!N40+R_2014_02_priskirta!N41</f>
        <v>228</v>
      </c>
      <c r="O40" s="152">
        <f t="shared" si="15"/>
        <v>228</v>
      </c>
      <c r="P40" s="229">
        <f>+'R_2014_02_atkelta(viso)'!P40+R_2014_02_priskirta!P41</f>
        <v>209.17431192660547</v>
      </c>
      <c r="Q40" s="73">
        <f t="shared" si="17"/>
        <v>18.825688073394531</v>
      </c>
      <c r="R40" s="21">
        <f t="shared" si="16"/>
        <v>0.2814814814814815</v>
      </c>
      <c r="S40" s="71"/>
      <c r="T40" s="61"/>
      <c r="U40" s="13"/>
      <c r="W40" s="102"/>
      <c r="X40" s="102"/>
      <c r="Y40" s="102"/>
      <c r="Z40" s="102"/>
      <c r="AA40" s="102"/>
      <c r="AB40" s="102"/>
      <c r="AC40" s="102"/>
      <c r="AD40" s="102"/>
      <c r="AE40" s="2"/>
      <c r="AF40" s="2"/>
      <c r="AG40" s="2"/>
      <c r="AH40" s="2"/>
    </row>
    <row r="41" spans="1:3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+'R_2014_02_atkelta(viso)'!E41+R_2014_02_priskirta!E42</f>
        <v>0</v>
      </c>
      <c r="F41" s="127">
        <f>+'R_2014_02_atkelta(viso)'!F41+R_2014_02_priskirta!F42</f>
        <v>0</v>
      </c>
      <c r="G41" s="127">
        <f>+'R_2014_02_atkelta(viso)'!G41+R_2014_02_priskirta!G42</f>
        <v>0</v>
      </c>
      <c r="H41" s="127">
        <f>+'R_2014_02_atkelta(viso)'!H41+R_2014_02_priskirta!H42</f>
        <v>0</v>
      </c>
      <c r="I41" s="127">
        <f>+'R_2014_02_atkelta(viso)'!I41+R_2014_02_priskirta!I42</f>
        <v>0</v>
      </c>
      <c r="J41" s="127">
        <f>+'R_2014_02_atkelta(viso)'!J41+R_2014_02_priskirta!J42</f>
        <v>0</v>
      </c>
      <c r="K41" s="127">
        <f>+'R_2014_02_atkelta(viso)'!K41+R_2014_02_priskirta!K42</f>
        <v>0</v>
      </c>
      <c r="L41" s="127">
        <f>+'R_2014_02_atkelta(viso)'!L41+R_2014_02_priskirta!L42</f>
        <v>0</v>
      </c>
      <c r="M41" s="127">
        <f>+'R_2014_02_atkelta(viso)'!M41+R_2014_02_priskirta!M42</f>
        <v>0</v>
      </c>
      <c r="N41" s="127">
        <f>+'R_2014_02_atkelta(viso)'!N41+R_2014_02_priskirta!N42</f>
        <v>0</v>
      </c>
      <c r="O41" s="152">
        <f t="shared" si="15"/>
        <v>0</v>
      </c>
      <c r="P41" s="229">
        <f>+'R_2014_02_atkelta(viso)'!P41+R_2014_02_priskirta!P42</f>
        <v>0</v>
      </c>
      <c r="Q41" s="73">
        <f t="shared" si="17"/>
        <v>0</v>
      </c>
      <c r="R41" s="21">
        <f t="shared" si="16"/>
        <v>0</v>
      </c>
      <c r="S41" s="71"/>
      <c r="T41" s="61">
        <v>405</v>
      </c>
      <c r="U41" s="13">
        <f t="shared" si="20"/>
        <v>0</v>
      </c>
      <c r="W41" s="102"/>
      <c r="X41" s="102"/>
      <c r="Y41" s="102"/>
      <c r="Z41" s="102"/>
      <c r="AA41" s="102"/>
      <c r="AB41" s="102"/>
      <c r="AC41" s="102"/>
      <c r="AD41" s="102"/>
      <c r="AE41" s="2"/>
      <c r="AF41" s="2"/>
      <c r="AG41" s="2"/>
      <c r="AH41" s="2"/>
    </row>
    <row r="42" spans="1:3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+'R_2014_02_atkelta(viso)'!E42+R_2014_02_priskirta!E43</f>
        <v>16.8</v>
      </c>
      <c r="F42" s="127">
        <f>+'R_2014_02_atkelta(viso)'!F42+R_2014_02_priskirta!F43</f>
        <v>184.8</v>
      </c>
      <c r="G42" s="127">
        <f>+'R_2014_02_atkelta(viso)'!G42+R_2014_02_priskirta!G43</f>
        <v>16.8</v>
      </c>
      <c r="H42" s="127">
        <f>+'R_2014_02_atkelta(viso)'!H42+R_2014_02_priskirta!H43</f>
        <v>0</v>
      </c>
      <c r="I42" s="127">
        <f>+'R_2014_02_atkelta(viso)'!I42+R_2014_02_priskirta!I43</f>
        <v>0</v>
      </c>
      <c r="J42" s="127">
        <f>+'R_2014_02_atkelta(viso)'!J42+R_2014_02_priskirta!J43</f>
        <v>0</v>
      </c>
      <c r="K42" s="127">
        <f>+'R_2014_02_atkelta(viso)'!K42+R_2014_02_priskirta!K43</f>
        <v>0</v>
      </c>
      <c r="L42" s="127">
        <f>+'R_2014_02_atkelta(viso)'!L42+R_2014_02_priskirta!L43</f>
        <v>0</v>
      </c>
      <c r="M42" s="127">
        <f>+'R_2014_02_atkelta(viso)'!M42+R_2014_02_priskirta!M43</f>
        <v>0</v>
      </c>
      <c r="N42" s="127">
        <f>+'R_2014_02_atkelta(viso)'!N42+R_2014_02_priskirta!N43</f>
        <v>207.60000000000002</v>
      </c>
      <c r="O42" s="206">
        <f t="shared" si="15"/>
        <v>426.00000000000006</v>
      </c>
      <c r="P42" s="229">
        <f>+'R_2014_02_atkelta(viso)'!P42+R_2014_02_priskirta!P43</f>
        <v>390.82568807339453</v>
      </c>
      <c r="Q42" s="207">
        <f t="shared" si="17"/>
        <v>35.174311926605526</v>
      </c>
      <c r="R42" s="39">
        <f t="shared" si="16"/>
        <v>2.6296296296296298</v>
      </c>
      <c r="S42" s="71"/>
      <c r="T42" s="61">
        <v>648</v>
      </c>
      <c r="U42" s="13">
        <f t="shared" si="20"/>
        <v>1704</v>
      </c>
      <c r="W42" s="102"/>
      <c r="X42" s="102"/>
      <c r="Y42" s="102"/>
      <c r="Z42" s="102"/>
      <c r="AA42" s="102"/>
      <c r="AB42" s="102"/>
      <c r="AC42" s="102"/>
      <c r="AD42" s="102"/>
      <c r="AE42" s="2"/>
      <c r="AF42" s="2"/>
      <c r="AG42" s="2"/>
      <c r="AH42" s="2"/>
    </row>
    <row r="43" spans="1:34" x14ac:dyDescent="0.3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+'R_2014_02_atkelta(viso)'!E43+R_2014_02_priskirta!E44</f>
        <v>104.52</v>
      </c>
      <c r="F43" s="127">
        <f>+'R_2014_02_atkelta(viso)'!F43+R_2014_02_priskirta!F44</f>
        <v>7949.81</v>
      </c>
      <c r="G43" s="127">
        <f>+'R_2014_02_atkelta(viso)'!G43+R_2014_02_priskirta!G44</f>
        <v>999.65</v>
      </c>
      <c r="H43" s="127">
        <f>+'R_2014_02_atkelta(viso)'!H43+R_2014_02_priskirta!H44</f>
        <v>1420.52</v>
      </c>
      <c r="I43" s="127">
        <f>+'R_2014_02_atkelta(viso)'!I43+R_2014_02_priskirta!I44</f>
        <v>0</v>
      </c>
      <c r="J43" s="127">
        <f>+'R_2014_02_atkelta(viso)'!J43+R_2014_02_priskirta!J44</f>
        <v>0</v>
      </c>
      <c r="K43" s="127">
        <f>+'R_2014_02_atkelta(viso)'!K43+R_2014_02_priskirta!K44</f>
        <v>0</v>
      </c>
      <c r="L43" s="127">
        <f>+'R_2014_02_atkelta(viso)'!L43+R_2014_02_priskirta!L44</f>
        <v>0</v>
      </c>
      <c r="M43" s="127">
        <f>+'R_2014_02_atkelta(viso)'!M43+R_2014_02_priskirta!M44</f>
        <v>0</v>
      </c>
      <c r="N43" s="127">
        <f>+'R_2014_02_atkelta(viso)'!N43+R_2014_02_priskirta!N44</f>
        <v>18.03</v>
      </c>
      <c r="O43" s="248">
        <f t="shared" si="15"/>
        <v>10492.530000000002</v>
      </c>
      <c r="P43" s="229">
        <f>+'R_2014_02_atkelta(viso)'!P43+R_2014_02_priskirta!P44</f>
        <v>9626.174311926603</v>
      </c>
      <c r="Q43" s="147">
        <f t="shared" si="17"/>
        <v>866.35568807339951</v>
      </c>
      <c r="R43" s="22">
        <f t="shared" si="16"/>
        <v>1049.2530000000002</v>
      </c>
      <c r="S43" s="71"/>
      <c r="T43" s="61"/>
      <c r="U43" s="13"/>
      <c r="V43" s="2"/>
      <c r="W43" s="102"/>
      <c r="X43" s="102"/>
      <c r="Y43" s="102"/>
      <c r="Z43" s="102"/>
      <c r="AA43" s="102"/>
      <c r="AB43" s="102"/>
      <c r="AC43" s="102"/>
      <c r="AD43" s="102"/>
      <c r="AE43" s="2"/>
      <c r="AF43" s="2"/>
      <c r="AG43" s="2"/>
      <c r="AH43" s="2"/>
    </row>
    <row r="44" spans="1:34" ht="12" customHeight="1" x14ac:dyDescent="0.3">
      <c r="A44" s="70" t="s">
        <v>16</v>
      </c>
      <c r="B44" s="52" t="s">
        <v>34</v>
      </c>
      <c r="C44" s="98" t="s">
        <v>91</v>
      </c>
      <c r="D44" s="78"/>
      <c r="E44" s="118">
        <f>+SUM(E45:E53)</f>
        <v>3155.9800000000005</v>
      </c>
      <c r="F44" s="82">
        <f>+SUM(F45:F53)</f>
        <v>114368.57</v>
      </c>
      <c r="G44" s="82">
        <f t="shared" ref="G44:R44" si="21">+SUM(G45:G53)</f>
        <v>17845.160000000003</v>
      </c>
      <c r="H44" s="82">
        <f>+SUM(H45:H53)</f>
        <v>2725.52</v>
      </c>
      <c r="I44" s="82">
        <f t="shared" si="21"/>
        <v>0</v>
      </c>
      <c r="J44" s="82">
        <f t="shared" si="21"/>
        <v>0</v>
      </c>
      <c r="K44" s="100">
        <f t="shared" si="21"/>
        <v>0</v>
      </c>
      <c r="L44" s="100">
        <f t="shared" si="21"/>
        <v>0</v>
      </c>
      <c r="M44" s="100">
        <f t="shared" si="21"/>
        <v>36</v>
      </c>
      <c r="N44" s="100">
        <f t="shared" si="21"/>
        <v>10781.400000000001</v>
      </c>
      <c r="O44" s="42">
        <f>+SUM(O45:O53)</f>
        <v>148912.63</v>
      </c>
      <c r="P44" s="82">
        <f t="shared" si="21"/>
        <v>136617.09174311926</v>
      </c>
      <c r="Q44" s="82">
        <f t="shared" si="21"/>
        <v>12295.538256880736</v>
      </c>
      <c r="R44" s="19">
        <f t="shared" si="21"/>
        <v>21448.466666666671</v>
      </c>
      <c r="S44" s="71"/>
      <c r="T44" s="61"/>
      <c r="U44" s="105">
        <f>+SUM(U45:U53)</f>
        <v>210210.17</v>
      </c>
      <c r="W44" s="102"/>
      <c r="X44" s="102"/>
      <c r="Y44" s="102"/>
      <c r="Z44" s="102"/>
      <c r="AA44" s="102"/>
      <c r="AB44" s="102"/>
      <c r="AC44" s="102"/>
      <c r="AD44" s="102"/>
      <c r="AE44" s="2"/>
      <c r="AF44" s="2"/>
      <c r="AG44" s="2"/>
      <c r="AH44" s="2"/>
    </row>
    <row r="45" spans="1:3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>
        <f>+'R_2014_02_atkelta(viso)'!E45+R_2014_02_priskirta!E46</f>
        <v>336</v>
      </c>
      <c r="F45" s="127">
        <f>+'R_2014_02_atkelta(viso)'!F45+R_2014_02_priskirta!F46</f>
        <v>12384</v>
      </c>
      <c r="G45" s="127">
        <f>+'R_2014_02_atkelta(viso)'!G45+R_2014_02_priskirta!G46</f>
        <v>1752</v>
      </c>
      <c r="H45" s="127">
        <f>+'R_2014_02_atkelta(viso)'!H45+R_2014_02_priskirta!H46</f>
        <v>228</v>
      </c>
      <c r="I45" s="127">
        <f>+'R_2014_02_atkelta(viso)'!I45+R_2014_02_priskirta!I46</f>
        <v>0</v>
      </c>
      <c r="J45" s="127">
        <f>+'R_2014_02_atkelta(viso)'!J45+R_2014_02_priskirta!J46</f>
        <v>0</v>
      </c>
      <c r="K45" s="127">
        <f>+'R_2014_02_atkelta(viso)'!K45+R_2014_02_priskirta!K46</f>
        <v>0</v>
      </c>
      <c r="L45" s="127">
        <f>+'R_2014_02_atkelta(viso)'!L45+R_2014_02_priskirta!L46</f>
        <v>0</v>
      </c>
      <c r="M45" s="127">
        <f>+'R_2014_02_atkelta(viso)'!M45+R_2014_02_priskirta!M46</f>
        <v>0</v>
      </c>
      <c r="N45" s="127">
        <f>+'R_2014_02_atkelta(viso)'!N45+R_2014_02_priskirta!N46</f>
        <v>1020</v>
      </c>
      <c r="O45" s="5">
        <f t="shared" ref="O45:O53" si="22">+SUM(E45:N45)</f>
        <v>15720</v>
      </c>
      <c r="P45" s="229">
        <f>+'R_2014_02_atkelta(viso)'!P45+R_2014_02_priskirta!P46</f>
        <v>14422.018348623853</v>
      </c>
      <c r="Q45" s="99">
        <f t="shared" ref="Q45:Q53" si="23">+O45-P45</f>
        <v>1297.9816513761471</v>
      </c>
      <c r="R45" s="116">
        <f t="shared" ref="R45:R53" si="24">O45/D45</f>
        <v>1310</v>
      </c>
      <c r="S45" s="71"/>
      <c r="T45" s="61"/>
      <c r="U45" s="13"/>
      <c r="V45"/>
      <c r="W45" s="102"/>
      <c r="X45" s="102"/>
      <c r="Y45" s="102"/>
      <c r="Z45" s="102"/>
      <c r="AA45" s="102"/>
      <c r="AB45" s="102"/>
      <c r="AC45" s="102"/>
      <c r="AD45" s="102"/>
      <c r="AE45" s="2"/>
      <c r="AF45" s="2"/>
      <c r="AG45" s="2"/>
      <c r="AH45" s="2"/>
    </row>
    <row r="46" spans="1:34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7">
        <f>+'R_2014_02_atkelta(viso)'!E46+R_2014_02_priskirta!E47</f>
        <v>108</v>
      </c>
      <c r="F46" s="127">
        <f>+'R_2014_02_atkelta(viso)'!F46+R_2014_02_priskirta!F47</f>
        <v>1452</v>
      </c>
      <c r="G46" s="127">
        <f>+'R_2014_02_atkelta(viso)'!G46+R_2014_02_priskirta!G47</f>
        <v>264</v>
      </c>
      <c r="H46" s="127">
        <f>+'R_2014_02_atkelta(viso)'!H46+R_2014_02_priskirta!H47</f>
        <v>0</v>
      </c>
      <c r="I46" s="127">
        <f>+'R_2014_02_atkelta(viso)'!I46+R_2014_02_priskirta!I47</f>
        <v>0</v>
      </c>
      <c r="J46" s="127">
        <f>+'R_2014_02_atkelta(viso)'!J46+R_2014_02_priskirta!J47</f>
        <v>0</v>
      </c>
      <c r="K46" s="127">
        <f>+'R_2014_02_atkelta(viso)'!K46+R_2014_02_priskirta!K47</f>
        <v>0</v>
      </c>
      <c r="L46" s="127">
        <f>+'R_2014_02_atkelta(viso)'!L46+R_2014_02_priskirta!L47</f>
        <v>0</v>
      </c>
      <c r="M46" s="127">
        <f>+'R_2014_02_atkelta(viso)'!M46+R_2014_02_priskirta!M47</f>
        <v>6</v>
      </c>
      <c r="N46" s="127">
        <f>+'R_2014_02_atkelta(viso)'!N46+R_2014_02_priskirta!N47</f>
        <v>102</v>
      </c>
      <c r="O46" s="5">
        <f t="shared" si="22"/>
        <v>1932</v>
      </c>
      <c r="P46" s="229">
        <f>+'R_2014_02_atkelta(viso)'!P46+R_2014_02_priskirta!P47</f>
        <v>1772.4770642201834</v>
      </c>
      <c r="Q46" s="5">
        <f t="shared" si="23"/>
        <v>159.52293577981663</v>
      </c>
      <c r="R46" s="31">
        <f t="shared" si="24"/>
        <v>322</v>
      </c>
      <c r="S46" s="71"/>
      <c r="T46" s="61">
        <v>6</v>
      </c>
      <c r="U46" s="13">
        <f t="shared" ref="U46:U47" si="25">+R46*T46</f>
        <v>1932</v>
      </c>
      <c r="W46" s="102"/>
      <c r="X46" s="102"/>
      <c r="Y46" s="102"/>
      <c r="Z46" s="102"/>
      <c r="AA46" s="102"/>
      <c r="AB46" s="102"/>
      <c r="AC46" s="102"/>
      <c r="AD46" s="102"/>
      <c r="AE46" s="2"/>
      <c r="AF46" s="2"/>
      <c r="AG46" s="2"/>
      <c r="AH46" s="2"/>
    </row>
    <row r="47" spans="1:34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7">
        <f>+'R_2014_02_atkelta(viso)'!E47+R_2014_02_priskirta!E48</f>
        <v>492</v>
      </c>
      <c r="F47" s="127">
        <f>+'R_2014_02_atkelta(viso)'!F47+R_2014_02_priskirta!F48</f>
        <v>26652</v>
      </c>
      <c r="G47" s="127">
        <f>+'R_2014_02_atkelta(viso)'!G47+R_2014_02_priskirta!G48</f>
        <v>4982.4000000000005</v>
      </c>
      <c r="H47" s="127">
        <f>+'R_2014_02_atkelta(viso)'!H47+R_2014_02_priskirta!H48</f>
        <v>189.6</v>
      </c>
      <c r="I47" s="127">
        <f>+'R_2014_02_atkelta(viso)'!I47+R_2014_02_priskirta!I48</f>
        <v>0</v>
      </c>
      <c r="J47" s="127">
        <f>+'R_2014_02_atkelta(viso)'!J47+R_2014_02_priskirta!J48</f>
        <v>0</v>
      </c>
      <c r="K47" s="127">
        <f>+'R_2014_02_atkelta(viso)'!K47+R_2014_02_priskirta!K48</f>
        <v>0</v>
      </c>
      <c r="L47" s="127">
        <f>+'R_2014_02_atkelta(viso)'!L47+R_2014_02_priskirta!L48</f>
        <v>0</v>
      </c>
      <c r="M47" s="127">
        <f>+'R_2014_02_atkelta(viso)'!M47+R_2014_02_priskirta!M48</f>
        <v>4.8</v>
      </c>
      <c r="N47" s="127">
        <f>+'R_2014_02_atkelta(viso)'!N47+R_2014_02_priskirta!N48</f>
        <v>2160</v>
      </c>
      <c r="O47" s="5">
        <f t="shared" si="22"/>
        <v>34480.800000000003</v>
      </c>
      <c r="P47" s="229">
        <f>+'R_2014_02_atkelta(viso)'!P47+R_2014_02_priskirta!P48</f>
        <v>31633.761467889908</v>
      </c>
      <c r="Q47" s="5">
        <f t="shared" si="23"/>
        <v>2847.0385321100948</v>
      </c>
      <c r="R47" s="31">
        <f t="shared" si="24"/>
        <v>14367.000000000002</v>
      </c>
      <c r="S47" s="71"/>
      <c r="T47" s="61">
        <v>9.6</v>
      </c>
      <c r="U47" s="13">
        <f t="shared" si="25"/>
        <v>137923.20000000001</v>
      </c>
      <c r="W47" s="102"/>
      <c r="X47" s="102"/>
      <c r="Y47" s="102"/>
      <c r="Z47" s="102"/>
      <c r="AA47" s="102"/>
      <c r="AB47" s="102"/>
      <c r="AC47" s="102"/>
      <c r="AD47" s="102"/>
      <c r="AE47" s="2"/>
      <c r="AF47" s="2"/>
      <c r="AG47" s="2"/>
      <c r="AH47" s="2"/>
    </row>
    <row r="48" spans="1:34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7">
        <f>+'R_2014_02_atkelta(viso)'!E48+R_2014_02_priskirta!E49</f>
        <v>189</v>
      </c>
      <c r="F48" s="127">
        <f>+'R_2014_02_atkelta(viso)'!F48+R_2014_02_priskirta!F49</f>
        <v>11767</v>
      </c>
      <c r="G48" s="127">
        <f>+'R_2014_02_atkelta(viso)'!G48+R_2014_02_priskirta!G49</f>
        <v>1302</v>
      </c>
      <c r="H48" s="127">
        <f>+'R_2014_02_atkelta(viso)'!H48+R_2014_02_priskirta!H49</f>
        <v>798</v>
      </c>
      <c r="I48" s="127">
        <f>+'R_2014_02_atkelta(viso)'!I48+R_2014_02_priskirta!I49</f>
        <v>0</v>
      </c>
      <c r="J48" s="127">
        <f>+'R_2014_02_atkelta(viso)'!J48+R_2014_02_priskirta!J49</f>
        <v>0</v>
      </c>
      <c r="K48" s="127">
        <f>+'R_2014_02_atkelta(viso)'!K48+R_2014_02_priskirta!K49</f>
        <v>0</v>
      </c>
      <c r="L48" s="127">
        <f>+'R_2014_02_atkelta(viso)'!L48+R_2014_02_priskirta!L49</f>
        <v>0</v>
      </c>
      <c r="M48" s="127">
        <f>+'R_2014_02_atkelta(viso)'!M48+R_2014_02_priskirta!M49</f>
        <v>21</v>
      </c>
      <c r="N48" s="127">
        <f>+'R_2014_02_atkelta(viso)'!N48+R_2014_02_priskirta!N49</f>
        <v>833</v>
      </c>
      <c r="O48" s="5">
        <f t="shared" si="22"/>
        <v>14910</v>
      </c>
      <c r="P48" s="229">
        <f>+'R_2014_02_atkelta(viso)'!P48+R_2014_02_priskirta!P49</f>
        <v>13678.899082568807</v>
      </c>
      <c r="Q48" s="5">
        <f t="shared" si="23"/>
        <v>1231.100917431193</v>
      </c>
      <c r="R48" s="31">
        <f t="shared" si="24"/>
        <v>710</v>
      </c>
      <c r="S48" s="71"/>
      <c r="T48" s="61"/>
      <c r="U48" s="13"/>
      <c r="W48" s="102"/>
      <c r="X48" s="102"/>
      <c r="Y48" s="102"/>
      <c r="Z48" s="102"/>
      <c r="AA48" s="102"/>
      <c r="AB48" s="102"/>
      <c r="AC48" s="102"/>
      <c r="AD48" s="102"/>
      <c r="AE48" s="2"/>
      <c r="AF48" s="2"/>
      <c r="AG48" s="2"/>
      <c r="AH48" s="2"/>
    </row>
    <row r="49" spans="1:34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7">
        <f>+'R_2014_02_atkelta(viso)'!E49+R_2014_02_priskirta!E50</f>
        <v>21</v>
      </c>
      <c r="F49" s="127">
        <f>+'R_2014_02_atkelta(viso)'!F49+R_2014_02_priskirta!F50</f>
        <v>1200.5</v>
      </c>
      <c r="G49" s="127">
        <f>+'R_2014_02_atkelta(viso)'!G49+R_2014_02_priskirta!G50</f>
        <v>234.5</v>
      </c>
      <c r="H49" s="127">
        <f>+'R_2014_02_atkelta(viso)'!H49+R_2014_02_priskirta!H50</f>
        <v>0</v>
      </c>
      <c r="I49" s="127">
        <f>+'R_2014_02_atkelta(viso)'!I49+R_2014_02_priskirta!I50</f>
        <v>0</v>
      </c>
      <c r="J49" s="127">
        <f>+'R_2014_02_atkelta(viso)'!J49+R_2014_02_priskirta!J50</f>
        <v>0</v>
      </c>
      <c r="K49" s="127">
        <f>+'R_2014_02_atkelta(viso)'!K49+R_2014_02_priskirta!K50</f>
        <v>0</v>
      </c>
      <c r="L49" s="127">
        <f>+'R_2014_02_atkelta(viso)'!L49+R_2014_02_priskirta!L50</f>
        <v>0</v>
      </c>
      <c r="M49" s="127">
        <f>+'R_2014_02_atkelta(viso)'!M49+R_2014_02_priskirta!M50</f>
        <v>0</v>
      </c>
      <c r="N49" s="127">
        <f>+'R_2014_02_atkelta(viso)'!N49+R_2014_02_priskirta!N50</f>
        <v>108.5</v>
      </c>
      <c r="O49" s="5">
        <f t="shared" si="22"/>
        <v>1564.5</v>
      </c>
      <c r="P49" s="229">
        <f>+'R_2014_02_atkelta(viso)'!P49+R_2014_02_priskirta!P50</f>
        <v>1435.3211009174311</v>
      </c>
      <c r="Q49" s="5">
        <f t="shared" si="23"/>
        <v>129.17889908256893</v>
      </c>
      <c r="R49" s="21">
        <f t="shared" si="24"/>
        <v>149</v>
      </c>
      <c r="S49" s="71"/>
      <c r="T49" s="61">
        <v>10.5</v>
      </c>
      <c r="U49" s="13">
        <f t="shared" ref="U49:U50" si="26">+R49*T49</f>
        <v>1564.5</v>
      </c>
      <c r="W49" s="102"/>
      <c r="X49" s="102"/>
      <c r="Y49" s="102"/>
      <c r="Z49" s="102"/>
      <c r="AA49" s="102"/>
      <c r="AB49" s="102"/>
      <c r="AC49" s="102"/>
      <c r="AD49" s="102"/>
      <c r="AE49" s="2"/>
      <c r="AF49" s="2"/>
      <c r="AG49" s="2"/>
      <c r="AH49" s="2"/>
    </row>
    <row r="50" spans="1:34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7">
        <f>+'R_2014_02_atkelta(viso)'!E50+R_2014_02_priskirta!E51</f>
        <v>75.599999999999994</v>
      </c>
      <c r="F50" s="127">
        <f>+'R_2014_02_atkelta(viso)'!F50+R_2014_02_priskirta!F51</f>
        <v>6109.6</v>
      </c>
      <c r="G50" s="127">
        <f>+'R_2014_02_atkelta(viso)'!G50+R_2014_02_priskirta!G51</f>
        <v>837.19999999999993</v>
      </c>
      <c r="H50" s="127">
        <f>+'R_2014_02_atkelta(viso)'!H50+R_2014_02_priskirta!H51</f>
        <v>70</v>
      </c>
      <c r="I50" s="127">
        <f>+'R_2014_02_atkelta(viso)'!I50+R_2014_02_priskirta!I51</f>
        <v>0</v>
      </c>
      <c r="J50" s="127">
        <f>+'R_2014_02_atkelta(viso)'!J50+R_2014_02_priskirta!J51</f>
        <v>0</v>
      </c>
      <c r="K50" s="127">
        <f>+'R_2014_02_atkelta(viso)'!K50+R_2014_02_priskirta!K51</f>
        <v>0</v>
      </c>
      <c r="L50" s="127">
        <f>+'R_2014_02_atkelta(viso)'!L50+R_2014_02_priskirta!L51</f>
        <v>0</v>
      </c>
      <c r="M50" s="127">
        <f>+'R_2014_02_atkelta(viso)'!M50+R_2014_02_priskirta!M51</f>
        <v>4.2</v>
      </c>
      <c r="N50" s="127">
        <f>+'R_2014_02_atkelta(viso)'!N50+R_2014_02_priskirta!N51</f>
        <v>1117.1999999999998</v>
      </c>
      <c r="O50" s="5">
        <f t="shared" si="22"/>
        <v>8213.7999999999993</v>
      </c>
      <c r="P50" s="229">
        <f>+'R_2014_02_atkelta(viso)'!P50+R_2014_02_priskirta!P51</f>
        <v>7535.5963302752289</v>
      </c>
      <c r="Q50" s="5">
        <f t="shared" si="23"/>
        <v>678.20366972477041</v>
      </c>
      <c r="R50" s="21">
        <f t="shared" si="24"/>
        <v>1955.6666666666665</v>
      </c>
      <c r="S50" s="71"/>
      <c r="T50" s="61">
        <v>16.8</v>
      </c>
      <c r="U50" s="13">
        <f t="shared" si="26"/>
        <v>32855.199999999997</v>
      </c>
      <c r="W50" s="102"/>
      <c r="X50" s="102"/>
      <c r="Y50" s="102"/>
      <c r="Z50" s="102"/>
      <c r="AA50" s="102"/>
      <c r="AB50" s="102"/>
      <c r="AC50" s="102"/>
      <c r="AD50" s="102"/>
      <c r="AE50" s="2"/>
      <c r="AF50" s="2"/>
      <c r="AG50" s="2"/>
      <c r="AH50" s="2"/>
    </row>
    <row r="51" spans="1:34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7">
        <f>+'R_2014_02_atkelta(viso)'!E51+R_2014_02_priskirta!E52</f>
        <v>1730.2</v>
      </c>
      <c r="F51" s="127">
        <f>+'R_2014_02_atkelta(viso)'!F51+R_2014_02_priskirta!F52</f>
        <v>45510</v>
      </c>
      <c r="G51" s="127">
        <f>+'R_2014_02_atkelta(viso)'!G51+R_2014_02_priskirta!G52</f>
        <v>7343.1</v>
      </c>
      <c r="H51" s="127">
        <f>+'R_2014_02_atkelta(viso)'!H51+R_2014_02_priskirta!H52</f>
        <v>1295.5999999999999</v>
      </c>
      <c r="I51" s="127">
        <f>+'R_2014_02_atkelta(viso)'!I51+R_2014_02_priskirta!I52</f>
        <v>0</v>
      </c>
      <c r="J51" s="127">
        <f>+'R_2014_02_atkelta(viso)'!J51+R_2014_02_priskirta!J52</f>
        <v>0</v>
      </c>
      <c r="K51" s="127">
        <f>+'R_2014_02_atkelta(viso)'!K51+R_2014_02_priskirta!K52</f>
        <v>0</v>
      </c>
      <c r="L51" s="127">
        <f>+'R_2014_02_atkelta(viso)'!L51+R_2014_02_priskirta!L52</f>
        <v>0</v>
      </c>
      <c r="M51" s="127">
        <f>+'R_2014_02_atkelta(viso)'!M51+R_2014_02_priskirta!M52</f>
        <v>0</v>
      </c>
      <c r="N51" s="127">
        <f>+'R_2014_02_atkelta(viso)'!N51+R_2014_02_priskirta!N52</f>
        <v>4223</v>
      </c>
      <c r="O51" s="5">
        <f t="shared" si="22"/>
        <v>60101.899999999994</v>
      </c>
      <c r="P51" s="229">
        <f>+'R_2014_02_atkelta(viso)'!P51+R_2014_02_priskirta!P52</f>
        <v>55139.357798165132</v>
      </c>
      <c r="Q51" s="5">
        <f t="shared" si="23"/>
        <v>4962.5422018348618</v>
      </c>
      <c r="R51" s="21">
        <f t="shared" si="24"/>
        <v>1465.8999999999999</v>
      </c>
      <c r="S51" s="71"/>
      <c r="T51" s="61"/>
      <c r="U51" s="13"/>
      <c r="W51" s="102"/>
      <c r="X51" s="102"/>
      <c r="Y51" s="102"/>
      <c r="Z51" s="102"/>
      <c r="AA51" s="102"/>
      <c r="AB51" s="102"/>
      <c r="AC51" s="102"/>
      <c r="AD51" s="102"/>
      <c r="AE51" s="2"/>
      <c r="AF51" s="2"/>
      <c r="AG51" s="2"/>
      <c r="AH51" s="2"/>
    </row>
    <row r="52" spans="1:34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7">
        <f>+'R_2014_02_atkelta(viso)'!E52+R_2014_02_priskirta!E53</f>
        <v>94.3</v>
      </c>
      <c r="F52" s="127">
        <f>+'R_2014_02_atkelta(viso)'!F52+R_2014_02_priskirta!F53</f>
        <v>3331.25</v>
      </c>
      <c r="G52" s="127">
        <f>+'R_2014_02_atkelta(viso)'!G52+R_2014_02_priskirta!G53</f>
        <v>418.2</v>
      </c>
      <c r="H52" s="127">
        <f>+'R_2014_02_atkelta(viso)'!H52+R_2014_02_priskirta!H53</f>
        <v>57.4</v>
      </c>
      <c r="I52" s="127">
        <f>+'R_2014_02_atkelta(viso)'!I52+R_2014_02_priskirta!I53</f>
        <v>0</v>
      </c>
      <c r="J52" s="127">
        <f>+'R_2014_02_atkelta(viso)'!J52+R_2014_02_priskirta!J53</f>
        <v>0</v>
      </c>
      <c r="K52" s="127">
        <f>+'R_2014_02_atkelta(viso)'!K52+R_2014_02_priskirta!K53</f>
        <v>0</v>
      </c>
      <c r="L52" s="127">
        <f>+'R_2014_02_atkelta(viso)'!L52+R_2014_02_priskirta!L53</f>
        <v>0</v>
      </c>
      <c r="M52" s="127">
        <f>+'R_2014_02_atkelta(viso)'!M52+R_2014_02_priskirta!M53</f>
        <v>0</v>
      </c>
      <c r="N52" s="127">
        <f>+'R_2014_02_atkelta(viso)'!N52+R_2014_02_priskirta!N53</f>
        <v>106.6</v>
      </c>
      <c r="O52" s="5">
        <f t="shared" si="22"/>
        <v>4007.75</v>
      </c>
      <c r="P52" s="229">
        <f>+'R_2014_02_atkelta(viso)'!P52+R_2014_02_priskirta!P53</f>
        <v>3676.8348623853212</v>
      </c>
      <c r="Q52" s="5">
        <f t="shared" si="23"/>
        <v>330.91513761467877</v>
      </c>
      <c r="R52" s="21">
        <f t="shared" si="24"/>
        <v>195.5</v>
      </c>
      <c r="S52" s="71"/>
      <c r="T52" s="61">
        <v>20.5</v>
      </c>
      <c r="U52" s="13">
        <f t="shared" ref="U52:U53" si="27">+R52*T52</f>
        <v>4007.75</v>
      </c>
      <c r="W52" s="102"/>
      <c r="X52" s="102"/>
      <c r="Y52" s="102"/>
      <c r="Z52" s="102"/>
      <c r="AA52" s="102"/>
      <c r="AB52" s="102"/>
      <c r="AC52" s="102"/>
      <c r="AD52" s="102"/>
      <c r="AE52" s="2"/>
      <c r="AF52" s="2"/>
      <c r="AG52" s="2"/>
      <c r="AH52" s="2"/>
    </row>
    <row r="53" spans="1:34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+'R_2014_02_atkelta(viso)'!E53+R_2014_02_priskirta!E54</f>
        <v>109.88000000000001</v>
      </c>
      <c r="F53" s="199">
        <f>+'R_2014_02_atkelta(viso)'!F53+R_2014_02_priskirta!F54</f>
        <v>5962.2199999999993</v>
      </c>
      <c r="G53" s="199">
        <f>+'R_2014_02_atkelta(viso)'!G53+R_2014_02_priskirta!G54</f>
        <v>711.76</v>
      </c>
      <c r="H53" s="199">
        <f>+'R_2014_02_atkelta(viso)'!H53+R_2014_02_priskirta!H54</f>
        <v>86.92</v>
      </c>
      <c r="I53" s="199">
        <f>+'R_2014_02_atkelta(viso)'!I53+R_2014_02_priskirta!I54</f>
        <v>0</v>
      </c>
      <c r="J53" s="199">
        <f>+'R_2014_02_atkelta(viso)'!J53+R_2014_02_priskirta!J54</f>
        <v>0</v>
      </c>
      <c r="K53" s="199">
        <f>+'R_2014_02_atkelta(viso)'!K53+R_2014_02_priskirta!K54</f>
        <v>0</v>
      </c>
      <c r="L53" s="199">
        <f>+'R_2014_02_atkelta(viso)'!L53+R_2014_02_priskirta!L54</f>
        <v>0</v>
      </c>
      <c r="M53" s="199">
        <f>+'R_2014_02_atkelta(viso)'!M53+R_2014_02_priskirta!M54</f>
        <v>0</v>
      </c>
      <c r="N53" s="199">
        <f>+'R_2014_02_atkelta(viso)'!N53+R_2014_02_priskirta!N54</f>
        <v>1111.0999999999999</v>
      </c>
      <c r="O53" s="6">
        <f t="shared" si="22"/>
        <v>7981.8799999999992</v>
      </c>
      <c r="P53" s="140">
        <f>+'R_2014_02_atkelta(viso)'!P53+R_2014_02_priskirta!P54</f>
        <v>7322.8256880733943</v>
      </c>
      <c r="Q53" s="6">
        <f t="shared" si="23"/>
        <v>659.0543119266049</v>
      </c>
      <c r="R53" s="22">
        <f t="shared" si="24"/>
        <v>973.4</v>
      </c>
      <c r="S53" s="35"/>
      <c r="T53" s="61">
        <v>32.799999999999997</v>
      </c>
      <c r="U53" s="13">
        <f t="shared" si="27"/>
        <v>31927.519999999997</v>
      </c>
      <c r="W53" s="102"/>
      <c r="X53" s="102"/>
      <c r="Y53" s="102"/>
      <c r="Z53" s="102"/>
      <c r="AA53" s="102"/>
      <c r="AB53" s="102"/>
      <c r="AC53" s="102"/>
      <c r="AD53" s="102"/>
      <c r="AE53" s="2"/>
      <c r="AF53" s="2"/>
      <c r="AG53" s="2"/>
      <c r="AH53" s="2"/>
    </row>
    <row r="54" spans="1:34" x14ac:dyDescent="0.3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34" x14ac:dyDescent="0.3">
      <c r="E55" s="2"/>
      <c r="F55" s="2"/>
      <c r="G55" s="2"/>
      <c r="H55" s="2"/>
      <c r="I55" s="2"/>
      <c r="J55" s="2"/>
      <c r="M55" s="2"/>
      <c r="O55" s="2"/>
      <c r="P55" s="2"/>
      <c r="Q55" s="2"/>
    </row>
    <row r="57" spans="1:34" x14ac:dyDescent="0.3">
      <c r="N57" s="137"/>
    </row>
    <row r="73" spans="2:2" x14ac:dyDescent="0.3">
      <c r="B73" s="1"/>
    </row>
  </sheetData>
  <mergeCells count="22"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  <mergeCell ref="X3:X4"/>
    <mergeCell ref="Y3:Y4"/>
    <mergeCell ref="Z3:Z4"/>
    <mergeCell ref="AA3:AA4"/>
    <mergeCell ref="N3:N4"/>
    <mergeCell ref="O3:O4"/>
    <mergeCell ref="P3:P4"/>
    <mergeCell ref="Q3:Q4"/>
    <mergeCell ref="R3:R4"/>
    <mergeCell ref="U3:U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C73"/>
  <sheetViews>
    <sheetView zoomScaleNormal="100" workbookViewId="0">
      <pane xSplit="4" ySplit="4" topLeftCell="E47" activePane="bottomRight" state="frozen"/>
      <selection pane="topRight" activeCell="E1" sqref="E1"/>
      <selection pane="bottomLeft" activeCell="A5" sqref="A5"/>
      <selection pane="bottomRight" activeCell="O57" sqref="E57:O57"/>
    </sheetView>
  </sheetViews>
  <sheetFormatPr defaultColWidth="8.88671875" defaultRowHeight="13.2" outlineLevelCol="1" x14ac:dyDescent="0.25"/>
  <cols>
    <col min="1" max="1" width="10.109375" style="1" customWidth="1"/>
    <col min="2" max="2" width="5.88671875" style="3" customWidth="1"/>
    <col min="3" max="3" width="52" style="1" customWidth="1"/>
    <col min="4" max="4" width="7.664062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1.5546875" style="1" customWidth="1" outlineLevel="1"/>
    <col min="9" max="9" width="15.33203125" style="1" customWidth="1" outlineLevel="1"/>
    <col min="10" max="10" width="15.109375" style="1" customWidth="1" outlineLevel="1"/>
    <col min="11" max="11" width="13" style="1" customWidth="1" outlineLevel="1"/>
    <col min="12" max="12" width="11.88671875" style="1" customWidth="1" outlineLevel="1"/>
    <col min="13" max="14" width="13" style="1" customWidth="1" outlineLevel="1"/>
    <col min="15" max="15" width="15.10937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44140625" style="2" customWidth="1"/>
    <col min="22" max="22" width="11.33203125" style="1" bestFit="1" customWidth="1"/>
    <col min="23" max="23" width="11" style="141" customWidth="1"/>
    <col min="24" max="16384" width="8.88671875" style="1"/>
  </cols>
  <sheetData>
    <row r="1" spans="1:29" ht="22.2" customHeight="1" x14ac:dyDescent="0.3">
      <c r="A1" s="40" t="s">
        <v>241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2"/>
      <c r="Q1" s="2"/>
      <c r="R1" s="2"/>
      <c r="V1" s="2"/>
    </row>
    <row r="2" spans="1:29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39"/>
      <c r="Q2" s="139"/>
      <c r="R2" s="3"/>
    </row>
    <row r="3" spans="1:29" ht="37.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9" ht="37.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247</v>
      </c>
      <c r="M4" s="575"/>
      <c r="N4" s="581"/>
      <c r="O4" s="591"/>
      <c r="P4" s="592"/>
      <c r="Q4" s="592"/>
      <c r="R4" s="592"/>
      <c r="T4" s="87"/>
      <c r="U4" s="585"/>
    </row>
    <row r="5" spans="1:29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R5" si="0">+E6+E18+E44</f>
        <v>143968.18000000002</v>
      </c>
      <c r="F5" s="187">
        <f t="shared" si="0"/>
        <v>6177496.9800000004</v>
      </c>
      <c r="G5" s="82">
        <f t="shared" si="0"/>
        <v>942389.08</v>
      </c>
      <c r="H5" s="82">
        <f t="shared" si="0"/>
        <v>145934.12000000002</v>
      </c>
      <c r="I5" s="187">
        <f t="shared" si="0"/>
        <v>550200</v>
      </c>
      <c r="J5" s="187">
        <f t="shared" si="0"/>
        <v>882339.85</v>
      </c>
      <c r="K5" s="187">
        <f t="shared" si="0"/>
        <v>889301.82000000018</v>
      </c>
      <c r="L5" s="187">
        <f t="shared" si="0"/>
        <v>2609.7200000001126</v>
      </c>
      <c r="M5" s="187">
        <f t="shared" si="0"/>
        <v>4627.38</v>
      </c>
      <c r="N5" s="19">
        <f t="shared" si="0"/>
        <v>634945.37999999989</v>
      </c>
      <c r="O5" s="42">
        <f t="shared" si="0"/>
        <v>10373812.510000002</v>
      </c>
      <c r="P5" s="42">
        <f t="shared" si="0"/>
        <v>9517259.1834862363</v>
      </c>
      <c r="Q5" s="42">
        <f t="shared" si="0"/>
        <v>856553.32651376189</v>
      </c>
      <c r="R5" s="42">
        <f t="shared" si="0"/>
        <v>2110897</v>
      </c>
      <c r="S5" s="71"/>
      <c r="T5" s="87"/>
      <c r="U5" s="135">
        <f>+U7+U18+U44</f>
        <v>6737117.79</v>
      </c>
      <c r="V5" s="2"/>
      <c r="W5" s="138"/>
    </row>
    <row r="6" spans="1:29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R6" si="1">+E7+E11</f>
        <v>29002.48</v>
      </c>
      <c r="F6" s="187">
        <f t="shared" si="1"/>
        <v>1436594.2800000003</v>
      </c>
      <c r="G6" s="82">
        <f t="shared" si="1"/>
        <v>212952.58</v>
      </c>
      <c r="H6" s="82">
        <f t="shared" si="1"/>
        <v>28936.420000000002</v>
      </c>
      <c r="I6" s="187">
        <f t="shared" si="1"/>
        <v>550200</v>
      </c>
      <c r="J6" s="187">
        <f t="shared" si="1"/>
        <v>882339.85</v>
      </c>
      <c r="K6" s="187">
        <f t="shared" si="1"/>
        <v>889301.82000000018</v>
      </c>
      <c r="L6" s="187">
        <f t="shared" si="1"/>
        <v>2609.7200000001126</v>
      </c>
      <c r="M6" s="187">
        <f t="shared" si="1"/>
        <v>1821.38</v>
      </c>
      <c r="N6" s="19">
        <f t="shared" si="1"/>
        <v>144696.18</v>
      </c>
      <c r="O6" s="42">
        <f t="shared" si="1"/>
        <v>4178454.7100000004</v>
      </c>
      <c r="P6" s="42">
        <f t="shared" si="1"/>
        <v>3833444.6880733948</v>
      </c>
      <c r="Q6" s="42">
        <f t="shared" si="1"/>
        <v>345010.02192660572</v>
      </c>
      <c r="R6" s="44">
        <f t="shared" si="1"/>
        <v>1971062</v>
      </c>
      <c r="T6" s="61"/>
      <c r="U6" s="13"/>
      <c r="V6" s="2"/>
      <c r="W6" s="138"/>
    </row>
    <row r="7" spans="1:29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21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550200</v>
      </c>
      <c r="J7" s="79">
        <f t="shared" si="2"/>
        <v>882339.85</v>
      </c>
      <c r="K7" s="79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43">
        <f t="shared" si="3"/>
        <v>1432539.85</v>
      </c>
      <c r="P7" s="43">
        <f t="shared" si="3"/>
        <v>1314256.7431192661</v>
      </c>
      <c r="Q7" s="43">
        <f t="shared" si="3"/>
        <v>118283.10688073398</v>
      </c>
      <c r="R7" s="45">
        <f t="shared" si="3"/>
        <v>518903</v>
      </c>
      <c r="S7" s="71"/>
      <c r="T7" s="134"/>
      <c r="U7" s="105">
        <f>+SUM(U8:U17)</f>
        <v>886108.59</v>
      </c>
      <c r="W7" s="138"/>
    </row>
    <row r="8" spans="1:29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400015</v>
      </c>
      <c r="J8" s="127">
        <v>656134.5</v>
      </c>
      <c r="K8" s="36"/>
      <c r="L8" s="36"/>
      <c r="M8" s="36"/>
      <c r="N8" s="36"/>
      <c r="O8" s="5">
        <f>+SUM(E8:N8)</f>
        <v>1056149.5</v>
      </c>
      <c r="P8" s="5">
        <f t="shared" ref="P8:P10" si="4">+O8/1.09</f>
        <v>968944.495412844</v>
      </c>
      <c r="Q8" s="5">
        <f t="shared" ref="Q8:Q10" si="5">+O8-P8</f>
        <v>87205.004587156</v>
      </c>
      <c r="R8" s="21">
        <f>O8/D8</f>
        <v>301757</v>
      </c>
      <c r="S8" s="71"/>
      <c r="T8" s="61"/>
      <c r="U8" s="13"/>
      <c r="V8" s="2"/>
      <c r="W8" s="2"/>
      <c r="X8" s="2"/>
      <c r="Y8" s="2"/>
      <c r="Z8" s="2"/>
      <c r="AA8" s="2"/>
      <c r="AB8" s="2"/>
      <c r="AC8" s="2"/>
    </row>
    <row r="9" spans="1:29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6">+D8*0.5</f>
        <v>1.75</v>
      </c>
      <c r="E9" s="122"/>
      <c r="F9" s="17"/>
      <c r="G9" s="13"/>
      <c r="H9" s="13"/>
      <c r="I9" s="127">
        <v>148550.5</v>
      </c>
      <c r="J9" s="127">
        <v>225429.75</v>
      </c>
      <c r="K9" s="143"/>
      <c r="L9" s="143"/>
      <c r="M9" s="143"/>
      <c r="N9" s="143"/>
      <c r="O9" s="26">
        <f>+SUM(E9:N9)</f>
        <v>373980.25</v>
      </c>
      <c r="P9" s="26">
        <f t="shared" si="4"/>
        <v>343101.14678899082</v>
      </c>
      <c r="Q9" s="26">
        <f t="shared" si="5"/>
        <v>30879.103211009176</v>
      </c>
      <c r="R9" s="39">
        <f>O9/D9</f>
        <v>213703</v>
      </c>
      <c r="S9" s="71"/>
      <c r="T9" s="61">
        <v>1.75</v>
      </c>
      <c r="U9" s="13">
        <f>+R9*T9</f>
        <v>373980.25</v>
      </c>
      <c r="V9" s="2"/>
      <c r="W9" s="2"/>
      <c r="X9" s="2"/>
      <c r="Y9" s="2"/>
      <c r="Z9" s="2"/>
      <c r="AA9" s="2"/>
      <c r="AB9" s="2"/>
      <c r="AC9" s="2"/>
    </row>
    <row r="10" spans="1:29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1634.5</v>
      </c>
      <c r="J10" s="144">
        <v>775.6</v>
      </c>
      <c r="K10" s="144"/>
      <c r="L10" s="144"/>
      <c r="M10" s="144"/>
      <c r="N10" s="144"/>
      <c r="O10" s="26">
        <f>+SUM(E10:N10)</f>
        <v>2410.1</v>
      </c>
      <c r="P10" s="26">
        <f t="shared" si="4"/>
        <v>2211.1009174311926</v>
      </c>
      <c r="Q10" s="26">
        <f t="shared" si="5"/>
        <v>198.99908256880735</v>
      </c>
      <c r="R10" s="39">
        <f>O10/D10</f>
        <v>3443</v>
      </c>
      <c r="S10" s="71"/>
      <c r="T10" s="107">
        <v>2.8</v>
      </c>
      <c r="U10" s="13">
        <f>+R10*T10</f>
        <v>9640.4</v>
      </c>
      <c r="V10" s="2"/>
      <c r="W10" s="2"/>
      <c r="X10" s="2"/>
      <c r="Y10" s="2"/>
      <c r="Z10" s="2"/>
      <c r="AA10" s="2"/>
      <c r="AB10" s="2"/>
      <c r="AC10" s="2"/>
    </row>
    <row r="11" spans="1:29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L11" si="7">+SUM(E12:E17)</f>
        <v>29002.48</v>
      </c>
      <c r="F11" s="16">
        <f t="shared" si="7"/>
        <v>1436594.2800000003</v>
      </c>
      <c r="G11" s="84">
        <f t="shared" si="7"/>
        <v>212952.58</v>
      </c>
      <c r="H11" s="84">
        <f t="shared" si="7"/>
        <v>28936.420000000002</v>
      </c>
      <c r="I11" s="84">
        <f t="shared" si="7"/>
        <v>0</v>
      </c>
      <c r="J11" s="74">
        <f t="shared" si="7"/>
        <v>0</v>
      </c>
      <c r="K11" s="101">
        <f t="shared" si="7"/>
        <v>889301.82000000018</v>
      </c>
      <c r="L11" s="101">
        <f t="shared" si="7"/>
        <v>2609.7200000001126</v>
      </c>
      <c r="M11" s="101">
        <f t="shared" ref="M11:R11" si="8">+SUM(M12:M17)</f>
        <v>1821.38</v>
      </c>
      <c r="N11" s="101">
        <f t="shared" si="8"/>
        <v>144696.18</v>
      </c>
      <c r="O11" s="43">
        <f t="shared" si="8"/>
        <v>2745914.8600000003</v>
      </c>
      <c r="P11" s="43">
        <f t="shared" si="8"/>
        <v>2519187.9449541285</v>
      </c>
      <c r="Q11" s="43">
        <f t="shared" si="8"/>
        <v>226726.91504587175</v>
      </c>
      <c r="R11" s="45">
        <f t="shared" si="8"/>
        <v>1452159</v>
      </c>
      <c r="S11" s="71"/>
      <c r="T11" s="61"/>
      <c r="U11" s="13"/>
      <c r="V11" s="2"/>
      <c r="W11" s="2"/>
      <c r="X11" s="2"/>
      <c r="Y11" s="2"/>
      <c r="Z11" s="2"/>
      <c r="AA11" s="2"/>
      <c r="AB11" s="2"/>
      <c r="AC11" s="2"/>
    </row>
    <row r="12" spans="1:29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23335.4</v>
      </c>
      <c r="F12" s="13">
        <v>1095397.6000000001</v>
      </c>
      <c r="G12" s="13">
        <v>156932.6</v>
      </c>
      <c r="H12" s="13">
        <v>21443.4</v>
      </c>
      <c r="I12" s="13"/>
      <c r="J12" s="33"/>
      <c r="K12" s="33">
        <v>696636.60000000009</v>
      </c>
      <c r="L12" s="265">
        <v>2030.6000000000931</v>
      </c>
      <c r="M12" s="33">
        <v>1223.2</v>
      </c>
      <c r="N12" s="127">
        <v>128350.2</v>
      </c>
      <c r="O12" s="5">
        <f t="shared" ref="O12:O17" si="9">+SUM(E12:N12)</f>
        <v>2125349.6</v>
      </c>
      <c r="P12" s="5">
        <f t="shared" ref="P12:P17" si="10">+O12/1.09</f>
        <v>1949862.0183486238</v>
      </c>
      <c r="Q12" s="5">
        <f t="shared" ref="Q12:Q17" si="11">+O12-P12</f>
        <v>175487.58165137633</v>
      </c>
      <c r="R12" s="21">
        <f t="shared" ref="R12:R17" si="12">O12/D12</f>
        <v>966068</v>
      </c>
      <c r="S12" s="2"/>
      <c r="T12" s="61"/>
      <c r="U12" s="13"/>
      <c r="V12" s="2">
        <f>+L12+R_2014_01_saskaitos!K12</f>
        <v>757660.20000000007</v>
      </c>
      <c r="W12" s="2"/>
      <c r="X12" s="2"/>
      <c r="Y12" s="2"/>
      <c r="Z12" s="2"/>
      <c r="AA12" s="2"/>
      <c r="AB12" s="2"/>
      <c r="AC12" s="2"/>
    </row>
    <row r="13" spans="1:29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5066.6000000000004</v>
      </c>
      <c r="F13" s="13">
        <v>317554.59999999998</v>
      </c>
      <c r="G13" s="13">
        <v>51742.9</v>
      </c>
      <c r="H13" s="13">
        <v>7228.1</v>
      </c>
      <c r="I13" s="13"/>
      <c r="J13" s="33"/>
      <c r="K13" s="33">
        <v>72081.900000000009</v>
      </c>
      <c r="L13" s="257">
        <v>202.40000000000873</v>
      </c>
      <c r="M13" s="33">
        <v>597.29999999999995</v>
      </c>
      <c r="N13" s="127">
        <v>7494.3</v>
      </c>
      <c r="O13" s="5">
        <f t="shared" si="9"/>
        <v>461968.1</v>
      </c>
      <c r="P13" s="5">
        <f t="shared" si="10"/>
        <v>423823.94495412841</v>
      </c>
      <c r="Q13" s="5">
        <f t="shared" si="11"/>
        <v>38144.155045871565</v>
      </c>
      <c r="R13" s="21">
        <f t="shared" si="12"/>
        <v>419970.99999999994</v>
      </c>
      <c r="S13" s="71"/>
      <c r="T13" s="107">
        <v>1.1000000000000001</v>
      </c>
      <c r="U13" s="13">
        <f t="shared" ref="U13:U14" si="13">+R13*T13</f>
        <v>461968.1</v>
      </c>
      <c r="V13" s="2">
        <f>+L13+R_2014_01_saskaitos!K13</f>
        <v>74737.3</v>
      </c>
      <c r="W13" s="2"/>
      <c r="X13" s="2"/>
      <c r="Y13" s="2"/>
      <c r="Z13" s="2"/>
      <c r="AA13" s="2"/>
      <c r="AB13" s="2"/>
      <c r="AC13" s="2"/>
    </row>
    <row r="14" spans="1:29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117.92</v>
      </c>
      <c r="F14" s="13">
        <v>3296.48</v>
      </c>
      <c r="G14" s="13">
        <v>544.28</v>
      </c>
      <c r="H14" s="13">
        <v>83.16</v>
      </c>
      <c r="I14" s="13"/>
      <c r="J14" s="33"/>
      <c r="K14" s="33">
        <v>1336.28</v>
      </c>
      <c r="L14" s="257">
        <v>2.6400000000001</v>
      </c>
      <c r="M14" s="33">
        <v>0.88</v>
      </c>
      <c r="N14" s="127">
        <v>103.84</v>
      </c>
      <c r="O14" s="5">
        <f t="shared" si="9"/>
        <v>5485.4800000000005</v>
      </c>
      <c r="P14" s="5">
        <f t="shared" si="10"/>
        <v>5032.5504587155965</v>
      </c>
      <c r="Q14" s="5">
        <f t="shared" si="11"/>
        <v>452.92954128440397</v>
      </c>
      <c r="R14" s="5">
        <f t="shared" si="12"/>
        <v>12467.000000000002</v>
      </c>
      <c r="S14" s="71"/>
      <c r="T14" s="61">
        <v>1.76</v>
      </c>
      <c r="U14" s="13">
        <f t="shared" si="13"/>
        <v>21941.920000000002</v>
      </c>
      <c r="V14" s="2">
        <f>+L14+R_2014_01_saskaitos!K14</f>
        <v>1468.72</v>
      </c>
      <c r="W14" s="2"/>
      <c r="X14" s="2"/>
      <c r="Y14" s="2"/>
      <c r="Z14" s="2"/>
      <c r="AA14" s="2"/>
      <c r="AB14" s="2"/>
      <c r="AC14" s="2"/>
    </row>
    <row r="15" spans="1:29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364.8</v>
      </c>
      <c r="F15" s="13">
        <v>16819.2</v>
      </c>
      <c r="G15" s="13">
        <v>2985.6</v>
      </c>
      <c r="H15" s="13">
        <v>102.4</v>
      </c>
      <c r="I15" s="13"/>
      <c r="J15" s="33"/>
      <c r="K15" s="33">
        <v>107008</v>
      </c>
      <c r="L15" s="257">
        <v>326.40000000000873</v>
      </c>
      <c r="M15" s="33"/>
      <c r="N15" s="127">
        <v>8054.4</v>
      </c>
      <c r="O15" s="5">
        <f t="shared" si="9"/>
        <v>135660.80000000002</v>
      </c>
      <c r="P15" s="5">
        <f t="shared" si="10"/>
        <v>124459.44954128441</v>
      </c>
      <c r="Q15" s="5">
        <f t="shared" si="11"/>
        <v>11201.350458715606</v>
      </c>
      <c r="R15" s="21">
        <f t="shared" si="12"/>
        <v>42394</v>
      </c>
      <c r="S15" s="71"/>
      <c r="T15" s="61"/>
      <c r="U15" s="13"/>
      <c r="V15" s="2">
        <f>+L15+R_2014_01_saskaitos!K15</f>
        <v>117836.8</v>
      </c>
      <c r="W15" s="2"/>
      <c r="X15" s="2"/>
      <c r="Y15" s="2"/>
      <c r="Z15" s="2"/>
      <c r="AA15" s="2"/>
      <c r="AB15" s="2"/>
      <c r="AC15" s="2"/>
    </row>
    <row r="16" spans="1:29" ht="1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>
        <v>115.2</v>
      </c>
      <c r="F16" s="13">
        <v>3452.8</v>
      </c>
      <c r="G16" s="13">
        <v>724.8</v>
      </c>
      <c r="H16" s="13">
        <v>76.8</v>
      </c>
      <c r="I16" s="13"/>
      <c r="J16" s="33"/>
      <c r="K16" s="33">
        <v>11992</v>
      </c>
      <c r="L16" s="257">
        <v>46.400000000001455</v>
      </c>
      <c r="M16" s="33"/>
      <c r="N16" s="127">
        <v>667.2</v>
      </c>
      <c r="O16" s="5">
        <f t="shared" si="9"/>
        <v>17075.2</v>
      </c>
      <c r="P16" s="5">
        <f t="shared" si="10"/>
        <v>15665.32110091743</v>
      </c>
      <c r="Q16" s="5">
        <f t="shared" si="11"/>
        <v>1409.8788990825706</v>
      </c>
      <c r="R16" s="21">
        <f t="shared" si="12"/>
        <v>10672</v>
      </c>
      <c r="S16" s="71"/>
      <c r="T16" s="61">
        <v>1.6</v>
      </c>
      <c r="U16" s="13">
        <f t="shared" ref="U16:U17" si="14">+R16*T16</f>
        <v>17075.2</v>
      </c>
      <c r="V16" s="2">
        <f>+L16+R_2014_01_saskaitos!K16</f>
        <v>12294.400000000001</v>
      </c>
      <c r="W16" s="2"/>
      <c r="X16" s="2"/>
      <c r="Y16" s="2"/>
      <c r="Z16" s="2"/>
      <c r="AA16" s="2"/>
      <c r="AB16" s="2"/>
      <c r="AC16" s="2"/>
    </row>
    <row r="17" spans="1:29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2.56</v>
      </c>
      <c r="F17" s="13">
        <v>73.599999999999994</v>
      </c>
      <c r="G17" s="13">
        <v>22.4</v>
      </c>
      <c r="H17" s="14">
        <v>2.56</v>
      </c>
      <c r="I17" s="14"/>
      <c r="J17" s="76"/>
      <c r="K17" s="76">
        <v>247.04</v>
      </c>
      <c r="L17" s="259">
        <v>1.2800000000000011</v>
      </c>
      <c r="M17" s="76"/>
      <c r="N17" s="127">
        <v>26.24</v>
      </c>
      <c r="O17" s="5">
        <f t="shared" si="9"/>
        <v>375.67999999999995</v>
      </c>
      <c r="P17" s="5">
        <f t="shared" si="10"/>
        <v>344.66055045871553</v>
      </c>
      <c r="Q17" s="5">
        <f t="shared" si="11"/>
        <v>31.019449541284416</v>
      </c>
      <c r="R17" s="22">
        <f t="shared" si="12"/>
        <v>586.99999999999989</v>
      </c>
      <c r="S17" s="71"/>
      <c r="T17" s="61">
        <v>2.56</v>
      </c>
      <c r="U17" s="13">
        <f t="shared" si="14"/>
        <v>1502.7199999999998</v>
      </c>
      <c r="V17" s="2">
        <f>+L17+R_2014_01_saskaitos!K17</f>
        <v>254.08</v>
      </c>
      <c r="W17" s="2"/>
      <c r="X17" s="2"/>
      <c r="Y17" s="2"/>
      <c r="Z17" s="2"/>
      <c r="AA17" s="2"/>
      <c r="AB17" s="2"/>
      <c r="AC17" s="2"/>
    </row>
    <row r="18" spans="1:29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111895</v>
      </c>
      <c r="F18" s="118">
        <f t="shared" ref="F18:R18" si="15">+SUM(F19:F43)</f>
        <v>4627448</v>
      </c>
      <c r="G18" s="118">
        <f t="shared" si="15"/>
        <v>711002</v>
      </c>
      <c r="H18" s="118">
        <f t="shared" si="15"/>
        <v>114168</v>
      </c>
      <c r="I18" s="118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2770</v>
      </c>
      <c r="N18" s="118">
        <f t="shared" si="15"/>
        <v>479274</v>
      </c>
      <c r="O18" s="118">
        <f t="shared" si="15"/>
        <v>6046557</v>
      </c>
      <c r="P18" s="118">
        <f t="shared" si="15"/>
        <v>5547299.9999999991</v>
      </c>
      <c r="Q18" s="118">
        <f t="shared" si="15"/>
        <v>499257.00000000023</v>
      </c>
      <c r="R18" s="253">
        <f t="shared" si="15"/>
        <v>118377</v>
      </c>
      <c r="S18" s="71"/>
      <c r="T18" s="61"/>
      <c r="U18" s="105">
        <f>+SUM(U19:U43)</f>
        <v>5640683</v>
      </c>
      <c r="V18" s="2"/>
      <c r="W18" s="2"/>
      <c r="X18" s="2"/>
      <c r="Y18" s="2"/>
      <c r="Z18" s="2"/>
      <c r="AA18" s="2"/>
      <c r="AB18" s="2"/>
      <c r="AC18" s="2"/>
    </row>
    <row r="19" spans="1:29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65300</v>
      </c>
      <c r="F19" s="92">
        <v>2607600</v>
      </c>
      <c r="G19" s="92">
        <v>385100</v>
      </c>
      <c r="H19" s="92">
        <v>61400</v>
      </c>
      <c r="I19" s="23"/>
      <c r="J19" s="34"/>
      <c r="K19" s="34"/>
      <c r="L19" s="34"/>
      <c r="M19" s="34">
        <v>1500</v>
      </c>
      <c r="N19" s="34">
        <v>235800</v>
      </c>
      <c r="O19" s="5">
        <f t="shared" ref="O19:O43" si="16">+SUM(E19:N19)</f>
        <v>3356700</v>
      </c>
      <c r="P19" s="99">
        <f t="shared" ref="P19:P43" si="17">+O19/1.09</f>
        <v>3079541.2844036696</v>
      </c>
      <c r="Q19" s="24">
        <f>+O19-P19</f>
        <v>277158.71559633035</v>
      </c>
      <c r="R19" s="94">
        <f t="shared" ref="R19:R43" si="18">O19/D19</f>
        <v>33567</v>
      </c>
      <c r="S19" s="41"/>
      <c r="T19" s="61"/>
      <c r="U19" s="106"/>
      <c r="V19" s="2"/>
      <c r="W19" s="2"/>
      <c r="X19" s="2"/>
      <c r="Y19" s="2"/>
      <c r="Z19" s="2"/>
      <c r="AA19" s="2"/>
      <c r="AB19" s="2"/>
      <c r="AC19" s="2"/>
    </row>
    <row r="20" spans="1:29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10000</v>
      </c>
      <c r="F20" s="48">
        <v>689650</v>
      </c>
      <c r="G20" s="48">
        <v>95450</v>
      </c>
      <c r="H20" s="48">
        <v>19200</v>
      </c>
      <c r="I20" s="13"/>
      <c r="J20" s="33"/>
      <c r="K20" s="33"/>
      <c r="L20" s="33"/>
      <c r="M20" s="33">
        <v>800</v>
      </c>
      <c r="N20" s="36">
        <v>12800</v>
      </c>
      <c r="O20" s="5">
        <f t="shared" si="16"/>
        <v>827900</v>
      </c>
      <c r="P20" s="5">
        <f t="shared" si="17"/>
        <v>759541.28440366965</v>
      </c>
      <c r="Q20" s="5">
        <f t="shared" ref="Q20:Q43" si="19">+O20-P20</f>
        <v>68358.715596330352</v>
      </c>
      <c r="R20" s="21">
        <f t="shared" si="18"/>
        <v>16558</v>
      </c>
      <c r="S20" s="41"/>
      <c r="T20" s="61">
        <v>50</v>
      </c>
      <c r="U20" s="13">
        <f t="shared" ref="U20:U21" si="20">+R20*T20</f>
        <v>827900</v>
      </c>
      <c r="V20" s="2"/>
      <c r="W20" s="2"/>
      <c r="X20" s="2"/>
      <c r="Y20" s="2"/>
      <c r="Z20" s="2"/>
      <c r="AA20" s="2"/>
      <c r="AB20" s="2"/>
      <c r="AC20" s="2"/>
    </row>
    <row r="21" spans="1:29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22740</v>
      </c>
      <c r="F21" s="95">
        <v>852580</v>
      </c>
      <c r="G21" s="95">
        <v>151200</v>
      </c>
      <c r="H21" s="95">
        <v>11740</v>
      </c>
      <c r="I21" s="13"/>
      <c r="J21" s="33"/>
      <c r="K21" s="33"/>
      <c r="L21" s="33"/>
      <c r="M21" s="33">
        <v>140</v>
      </c>
      <c r="N21" s="36">
        <f>940+93160</f>
        <v>94100</v>
      </c>
      <c r="O21" s="5">
        <f t="shared" si="16"/>
        <v>1132500</v>
      </c>
      <c r="P21" s="5">
        <f t="shared" si="17"/>
        <v>1038990.8256880733</v>
      </c>
      <c r="Q21" s="5">
        <f t="shared" si="19"/>
        <v>93509.174311926705</v>
      </c>
      <c r="R21" s="21">
        <f t="shared" si="18"/>
        <v>56625</v>
      </c>
      <c r="S21" s="41"/>
      <c r="T21" s="61">
        <v>80</v>
      </c>
      <c r="U21" s="13">
        <f t="shared" si="20"/>
        <v>4530000</v>
      </c>
      <c r="V21" s="2"/>
      <c r="W21" s="2"/>
      <c r="X21" s="2"/>
      <c r="Y21" s="2"/>
      <c r="Z21" s="2"/>
      <c r="AA21" s="2"/>
      <c r="AB21" s="2"/>
      <c r="AC21" s="2"/>
    </row>
    <row r="22" spans="1:29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10890</v>
      </c>
      <c r="F22" s="95">
        <v>398250</v>
      </c>
      <c r="G22" s="95">
        <v>67500</v>
      </c>
      <c r="H22" s="95">
        <v>13860</v>
      </c>
      <c r="I22" s="13"/>
      <c r="J22" s="33"/>
      <c r="K22" s="33"/>
      <c r="L22" s="33"/>
      <c r="M22" s="33">
        <v>180</v>
      </c>
      <c r="N22" s="36">
        <v>99720</v>
      </c>
      <c r="O22" s="5">
        <f t="shared" si="16"/>
        <v>590400</v>
      </c>
      <c r="P22" s="5">
        <f t="shared" si="17"/>
        <v>541651.37614678894</v>
      </c>
      <c r="Q22" s="5">
        <f t="shared" si="19"/>
        <v>48748.623853211058</v>
      </c>
      <c r="R22" s="21">
        <f t="shared" si="18"/>
        <v>6560</v>
      </c>
      <c r="S22" s="41"/>
      <c r="T22" s="61"/>
      <c r="U22" s="13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495</v>
      </c>
      <c r="F23" s="95">
        <v>21600</v>
      </c>
      <c r="G23" s="95">
        <v>3240</v>
      </c>
      <c r="H23" s="95">
        <v>945</v>
      </c>
      <c r="I23" s="13"/>
      <c r="J23" s="33"/>
      <c r="K23" s="33"/>
      <c r="L23" s="33"/>
      <c r="M23" s="33"/>
      <c r="N23" s="36">
        <v>3825</v>
      </c>
      <c r="O23" s="5">
        <f t="shared" si="16"/>
        <v>30105</v>
      </c>
      <c r="P23" s="5">
        <f t="shared" si="17"/>
        <v>27619.266055045871</v>
      </c>
      <c r="Q23" s="5">
        <f t="shared" si="19"/>
        <v>2485.7339449541287</v>
      </c>
      <c r="R23" s="21">
        <f t="shared" si="18"/>
        <v>669</v>
      </c>
      <c r="S23" s="35"/>
      <c r="T23" s="61">
        <v>45</v>
      </c>
      <c r="U23" s="13">
        <f t="shared" ref="U23:U24" si="21">+R23*T23</f>
        <v>30105</v>
      </c>
      <c r="V23" s="2"/>
      <c r="W23" s="2"/>
      <c r="X23" s="2"/>
      <c r="Y23" s="2"/>
      <c r="Z23" s="2"/>
      <c r="AA23" s="2"/>
      <c r="AB23" s="2"/>
      <c r="AC23" s="2"/>
    </row>
    <row r="24" spans="1:29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846</v>
      </c>
      <c r="F24" s="95">
        <v>18432</v>
      </c>
      <c r="G24" s="95">
        <v>3042</v>
      </c>
      <c r="H24" s="95">
        <v>324</v>
      </c>
      <c r="I24" s="13"/>
      <c r="J24" s="33"/>
      <c r="K24" s="33"/>
      <c r="L24" s="33"/>
      <c r="M24" s="33">
        <v>90</v>
      </c>
      <c r="N24" s="36">
        <f>252+6210</f>
        <v>6462</v>
      </c>
      <c r="O24" s="5">
        <f t="shared" si="16"/>
        <v>29196</v>
      </c>
      <c r="P24" s="5">
        <f t="shared" si="17"/>
        <v>26785.32110091743</v>
      </c>
      <c r="Q24" s="5">
        <f t="shared" si="19"/>
        <v>2410.6788990825698</v>
      </c>
      <c r="R24" s="21">
        <f t="shared" si="18"/>
        <v>1622</v>
      </c>
      <c r="S24" s="35"/>
      <c r="T24" s="61">
        <v>72</v>
      </c>
      <c r="U24" s="13">
        <f t="shared" si="21"/>
        <v>116784</v>
      </c>
      <c r="V24" s="2"/>
      <c r="W24" s="2"/>
      <c r="X24" s="2"/>
      <c r="Y24" s="2"/>
      <c r="Z24" s="2"/>
      <c r="AA24" s="2"/>
      <c r="AB24" s="2"/>
      <c r="AC24" s="2"/>
    </row>
    <row r="25" spans="1:29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300</v>
      </c>
      <c r="F25" s="95">
        <v>3000</v>
      </c>
      <c r="G25" s="95">
        <v>600</v>
      </c>
      <c r="H25" s="95">
        <v>600</v>
      </c>
      <c r="I25" s="13"/>
      <c r="J25" s="33"/>
      <c r="K25" s="33"/>
      <c r="L25" s="33"/>
      <c r="M25" s="33"/>
      <c r="N25" s="36">
        <v>3900</v>
      </c>
      <c r="O25" s="5">
        <f t="shared" si="16"/>
        <v>8400</v>
      </c>
      <c r="P25" s="5">
        <f t="shared" si="17"/>
        <v>7706.4220183486232</v>
      </c>
      <c r="Q25" s="5">
        <f t="shared" si="19"/>
        <v>693.57798165137683</v>
      </c>
      <c r="R25" s="21">
        <f t="shared" si="18"/>
        <v>28</v>
      </c>
      <c r="S25" s="35"/>
      <c r="T25" s="61"/>
      <c r="U25" s="13"/>
      <c r="V25" s="2"/>
      <c r="W25" s="2"/>
      <c r="X25" s="2"/>
      <c r="Y25" s="2"/>
      <c r="Z25" s="2"/>
      <c r="AA25" s="2"/>
      <c r="AB25" s="2"/>
      <c r="AC25" s="2"/>
    </row>
    <row r="26" spans="1:29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4050</v>
      </c>
      <c r="G26" s="95">
        <v>450</v>
      </c>
      <c r="H26" s="95">
        <v>750</v>
      </c>
      <c r="I26" s="13"/>
      <c r="J26" s="33"/>
      <c r="K26" s="33"/>
      <c r="L26" s="33"/>
      <c r="M26" s="33"/>
      <c r="N26" s="33">
        <v>1050</v>
      </c>
      <c r="O26" s="5">
        <f t="shared" si="16"/>
        <v>6300</v>
      </c>
      <c r="P26" s="5">
        <f t="shared" si="17"/>
        <v>5779.8165137614678</v>
      </c>
      <c r="Q26" s="5">
        <f t="shared" si="19"/>
        <v>520.18348623853217</v>
      </c>
      <c r="R26" s="21">
        <f t="shared" si="18"/>
        <v>42</v>
      </c>
      <c r="S26" s="35"/>
      <c r="T26" s="61">
        <v>150</v>
      </c>
      <c r="U26" s="13">
        <f t="shared" ref="U26:U42" si="22">+R26*T26</f>
        <v>6300</v>
      </c>
      <c r="V26" s="2"/>
      <c r="W26" s="2"/>
      <c r="X26" s="2"/>
      <c r="Y26" s="2"/>
      <c r="Z26" s="2"/>
      <c r="AA26" s="2"/>
      <c r="AB26" s="2"/>
      <c r="AC26" s="2"/>
    </row>
    <row r="27" spans="1:29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420</v>
      </c>
      <c r="F27" s="95">
        <v>13260</v>
      </c>
      <c r="G27" s="95">
        <v>1560</v>
      </c>
      <c r="H27" s="95">
        <v>780</v>
      </c>
      <c r="I27" s="13"/>
      <c r="J27" s="33"/>
      <c r="K27" s="33"/>
      <c r="L27" s="33"/>
      <c r="M27" s="33">
        <v>60</v>
      </c>
      <c r="N27" s="33">
        <f>120+11400</f>
        <v>11520</v>
      </c>
      <c r="O27" s="5">
        <f t="shared" si="16"/>
        <v>27600</v>
      </c>
      <c r="P27" s="5">
        <f t="shared" si="17"/>
        <v>25321.100917431191</v>
      </c>
      <c r="Q27" s="5">
        <f t="shared" si="19"/>
        <v>2278.8990825688088</v>
      </c>
      <c r="R27" s="21">
        <f t="shared" si="18"/>
        <v>460</v>
      </c>
      <c r="S27" s="35"/>
      <c r="T27" s="61">
        <v>240</v>
      </c>
      <c r="U27" s="13">
        <f t="shared" si="22"/>
        <v>110400</v>
      </c>
      <c r="V27" s="2"/>
      <c r="W27" s="2"/>
      <c r="X27" s="2"/>
      <c r="Y27" s="2"/>
      <c r="Z27" s="2"/>
      <c r="AA27" s="2"/>
      <c r="AB27" s="2"/>
      <c r="AC27" s="2"/>
    </row>
    <row r="28" spans="1:29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810</v>
      </c>
      <c r="G28" s="95">
        <v>270</v>
      </c>
      <c r="H28" s="95">
        <v>810</v>
      </c>
      <c r="I28" s="13"/>
      <c r="J28" s="33"/>
      <c r="K28" s="33"/>
      <c r="L28" s="33"/>
      <c r="M28" s="33"/>
      <c r="N28" s="33">
        <v>3240</v>
      </c>
      <c r="O28" s="5">
        <f t="shared" si="16"/>
        <v>5130</v>
      </c>
      <c r="P28" s="5">
        <f t="shared" si="17"/>
        <v>4706.4220183486232</v>
      </c>
      <c r="Q28" s="5">
        <f t="shared" si="19"/>
        <v>423.57798165137683</v>
      </c>
      <c r="R28" s="21">
        <f t="shared" si="18"/>
        <v>19</v>
      </c>
      <c r="S28" s="35"/>
      <c r="T28" s="61"/>
      <c r="U28" s="13"/>
      <c r="V28" s="2"/>
      <c r="W28" s="2"/>
      <c r="X28" s="2"/>
      <c r="Y28" s="2"/>
      <c r="Z28" s="2"/>
      <c r="AA28" s="2"/>
      <c r="AB28" s="2"/>
      <c r="AC28" s="2"/>
    </row>
    <row r="29" spans="1:29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/>
      <c r="G29" s="95"/>
      <c r="H29" s="95">
        <v>135</v>
      </c>
      <c r="I29" s="13"/>
      <c r="J29" s="33"/>
      <c r="K29" s="33"/>
      <c r="L29" s="33"/>
      <c r="M29" s="33"/>
      <c r="N29" s="33">
        <v>135</v>
      </c>
      <c r="O29" s="5">
        <f t="shared" si="16"/>
        <v>270</v>
      </c>
      <c r="P29" s="5">
        <f t="shared" si="17"/>
        <v>247.7064220183486</v>
      </c>
      <c r="Q29" s="5">
        <f t="shared" si="19"/>
        <v>22.293577981651396</v>
      </c>
      <c r="R29" s="21">
        <f t="shared" si="18"/>
        <v>2</v>
      </c>
      <c r="S29" s="35"/>
      <c r="T29" s="61">
        <v>135</v>
      </c>
      <c r="U29" s="13">
        <f t="shared" si="22"/>
        <v>270</v>
      </c>
      <c r="V29" s="2"/>
      <c r="W29" s="2"/>
      <c r="X29" s="2"/>
      <c r="Y29" s="2"/>
      <c r="Z29" s="2"/>
      <c r="AA29" s="2"/>
      <c r="AB29" s="2"/>
      <c r="AC29" s="2"/>
    </row>
    <row r="30" spans="1:29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54</v>
      </c>
      <c r="F30" s="95">
        <v>216</v>
      </c>
      <c r="G30" s="95"/>
      <c r="H30" s="95">
        <v>54</v>
      </c>
      <c r="I30" s="13"/>
      <c r="J30" s="33"/>
      <c r="K30" s="33"/>
      <c r="L30" s="33"/>
      <c r="M30" s="33"/>
      <c r="N30" s="33">
        <v>1080</v>
      </c>
      <c r="O30" s="5">
        <f t="shared" si="16"/>
        <v>1404</v>
      </c>
      <c r="P30" s="5">
        <f t="shared" si="17"/>
        <v>1288.0733944954127</v>
      </c>
      <c r="Q30" s="5">
        <f t="shared" si="19"/>
        <v>115.92660550458731</v>
      </c>
      <c r="R30" s="21">
        <f t="shared" si="18"/>
        <v>26</v>
      </c>
      <c r="S30" s="35"/>
      <c r="T30" s="61">
        <v>216</v>
      </c>
      <c r="U30" s="13">
        <f t="shared" si="22"/>
        <v>5616</v>
      </c>
      <c r="V30" s="2"/>
      <c r="W30" s="2"/>
      <c r="X30" s="2"/>
      <c r="Y30" s="2"/>
      <c r="Z30" s="2"/>
      <c r="AA30" s="2"/>
      <c r="AB30" s="2"/>
      <c r="AC30" s="2"/>
    </row>
    <row r="31" spans="1:29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>
        <v>600</v>
      </c>
      <c r="F31" s="95"/>
      <c r="G31" s="95"/>
      <c r="H31" s="95"/>
      <c r="I31" s="13"/>
      <c r="J31" s="33"/>
      <c r="K31" s="33"/>
      <c r="L31" s="33"/>
      <c r="M31" s="33"/>
      <c r="N31" s="33"/>
      <c r="O31" s="5">
        <f t="shared" si="16"/>
        <v>600</v>
      </c>
      <c r="P31" s="5">
        <f t="shared" si="17"/>
        <v>550.45871559633019</v>
      </c>
      <c r="Q31" s="5">
        <f t="shared" si="19"/>
        <v>49.541284403669806</v>
      </c>
      <c r="R31" s="21">
        <f t="shared" si="18"/>
        <v>1</v>
      </c>
      <c r="S31" s="35"/>
      <c r="T31" s="61"/>
      <c r="U31" s="13"/>
      <c r="V31" s="2"/>
      <c r="W31" s="2"/>
      <c r="X31" s="2"/>
      <c r="Y31" s="2"/>
      <c r="Z31" s="2"/>
      <c r="AA31" s="2"/>
      <c r="AB31" s="2"/>
      <c r="AC31" s="2"/>
    </row>
    <row r="32" spans="1:29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1200</v>
      </c>
      <c r="G32" s="95"/>
      <c r="H32" s="95">
        <v>300</v>
      </c>
      <c r="I32" s="13"/>
      <c r="J32" s="33"/>
      <c r="K32" s="33"/>
      <c r="L32" s="33"/>
      <c r="M32" s="33"/>
      <c r="N32" s="33">
        <v>600</v>
      </c>
      <c r="O32" s="5">
        <f t="shared" si="16"/>
        <v>2100</v>
      </c>
      <c r="P32" s="5">
        <f t="shared" si="17"/>
        <v>1926.6055045871558</v>
      </c>
      <c r="Q32" s="5">
        <f t="shared" si="19"/>
        <v>173.39449541284421</v>
      </c>
      <c r="R32" s="21">
        <f t="shared" si="18"/>
        <v>7</v>
      </c>
      <c r="S32" s="35"/>
      <c r="T32" s="61">
        <v>300</v>
      </c>
      <c r="U32" s="13">
        <f t="shared" si="22"/>
        <v>2100</v>
      </c>
      <c r="V32" s="2"/>
      <c r="W32" s="2"/>
      <c r="X32" s="2"/>
      <c r="Y32" s="2"/>
      <c r="Z32" s="2"/>
      <c r="AA32" s="2"/>
      <c r="AB32" s="2"/>
      <c r="AC32" s="2"/>
    </row>
    <row r="33" spans="1:29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840</v>
      </c>
      <c r="G33" s="95">
        <v>120</v>
      </c>
      <c r="H33" s="95"/>
      <c r="I33" s="13"/>
      <c r="J33" s="33"/>
      <c r="K33" s="33"/>
      <c r="L33" s="33"/>
      <c r="M33" s="33"/>
      <c r="N33" s="33">
        <v>1320</v>
      </c>
      <c r="O33" s="5">
        <f t="shared" si="16"/>
        <v>2280</v>
      </c>
      <c r="P33" s="5">
        <f t="shared" si="17"/>
        <v>2091.7431192660547</v>
      </c>
      <c r="Q33" s="5">
        <f t="shared" si="19"/>
        <v>188.25688073394531</v>
      </c>
      <c r="R33" s="21">
        <f t="shared" si="18"/>
        <v>19</v>
      </c>
      <c r="S33" s="35"/>
      <c r="T33" s="61">
        <v>480</v>
      </c>
      <c r="U33" s="13">
        <f t="shared" si="22"/>
        <v>9120</v>
      </c>
      <c r="V33" s="2"/>
      <c r="W33" s="2"/>
      <c r="X33" s="2"/>
      <c r="Y33" s="2"/>
      <c r="Z33" s="2"/>
      <c r="AA33" s="2"/>
      <c r="AB33" s="2"/>
      <c r="AC33" s="2"/>
    </row>
    <row r="34" spans="1:29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>
        <v>1080</v>
      </c>
      <c r="O34" s="5">
        <f t="shared" si="16"/>
        <v>1080</v>
      </c>
      <c r="P34" s="5">
        <f t="shared" si="17"/>
        <v>990.82568807339442</v>
      </c>
      <c r="Q34" s="5">
        <f t="shared" si="19"/>
        <v>89.174311926605583</v>
      </c>
      <c r="R34" s="21">
        <f t="shared" si="18"/>
        <v>2</v>
      </c>
      <c r="S34" s="35"/>
      <c r="T34" s="61"/>
      <c r="U34" s="13"/>
      <c r="V34" s="2"/>
      <c r="W34" s="2"/>
      <c r="X34" s="2"/>
      <c r="Y34" s="2"/>
      <c r="Z34" s="2"/>
      <c r="AA34" s="2"/>
      <c r="AB34" s="2"/>
      <c r="AC34" s="2"/>
    </row>
    <row r="35" spans="1:29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16"/>
        <v>0</v>
      </c>
      <c r="P35" s="5">
        <f t="shared" si="17"/>
        <v>0</v>
      </c>
      <c r="Q35" s="5">
        <f t="shared" si="19"/>
        <v>0</v>
      </c>
      <c r="R35" s="21">
        <f t="shared" si="18"/>
        <v>0</v>
      </c>
      <c r="S35" s="35"/>
      <c r="T35" s="61">
        <v>270</v>
      </c>
      <c r="U35" s="13">
        <f t="shared" si="22"/>
        <v>0</v>
      </c>
      <c r="V35" s="2"/>
      <c r="W35" s="2"/>
      <c r="X35" s="2"/>
      <c r="Y35" s="2"/>
      <c r="Z35" s="2"/>
      <c r="AA35" s="2"/>
      <c r="AB35" s="2"/>
      <c r="AC35" s="2"/>
    </row>
    <row r="36" spans="1:29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6"/>
        <v>0</v>
      </c>
      <c r="P36" s="5">
        <f t="shared" si="17"/>
        <v>0</v>
      </c>
      <c r="Q36" s="5">
        <f t="shared" si="19"/>
        <v>0</v>
      </c>
      <c r="R36" s="21">
        <f t="shared" si="18"/>
        <v>0</v>
      </c>
      <c r="S36" s="35"/>
      <c r="T36" s="61">
        <v>432</v>
      </c>
      <c r="U36" s="13">
        <f t="shared" si="22"/>
        <v>0</v>
      </c>
      <c r="V36" s="2"/>
      <c r="W36" s="2"/>
      <c r="X36" s="2"/>
      <c r="Y36" s="2"/>
      <c r="Z36" s="2"/>
      <c r="AA36" s="2"/>
      <c r="AB36" s="2"/>
      <c r="AC36" s="2"/>
    </row>
    <row r="37" spans="1:29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6"/>
        <v>0</v>
      </c>
      <c r="P37" s="5">
        <f t="shared" si="17"/>
        <v>0</v>
      </c>
      <c r="Q37" s="5">
        <f t="shared" si="19"/>
        <v>0</v>
      </c>
      <c r="R37" s="21">
        <f t="shared" si="18"/>
        <v>0</v>
      </c>
      <c r="S37" s="35"/>
      <c r="T37" s="61"/>
      <c r="U37" s="13"/>
      <c r="V37" s="2"/>
      <c r="W37" s="2"/>
      <c r="X37" s="2"/>
      <c r="Y37" s="2"/>
      <c r="Z37" s="2"/>
      <c r="AA37" s="2"/>
      <c r="AB37" s="2"/>
      <c r="AC37" s="2"/>
    </row>
    <row r="38" spans="1:29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6"/>
        <v>0</v>
      </c>
      <c r="P38" s="5">
        <f t="shared" si="17"/>
        <v>0</v>
      </c>
      <c r="Q38" s="5">
        <f t="shared" si="19"/>
        <v>0</v>
      </c>
      <c r="R38" s="21">
        <f t="shared" si="18"/>
        <v>0</v>
      </c>
      <c r="S38" s="35"/>
      <c r="T38" s="61">
        <v>450</v>
      </c>
      <c r="U38" s="13">
        <f t="shared" si="22"/>
        <v>0</v>
      </c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>
        <v>180</v>
      </c>
      <c r="G39" s="95"/>
      <c r="H39" s="95">
        <v>180</v>
      </c>
      <c r="I39" s="13"/>
      <c r="J39" s="33"/>
      <c r="K39" s="33"/>
      <c r="L39" s="33"/>
      <c r="M39" s="33"/>
      <c r="N39" s="33"/>
      <c r="O39" s="5">
        <f t="shared" si="16"/>
        <v>360</v>
      </c>
      <c r="P39" s="5">
        <f t="shared" si="17"/>
        <v>330.27522935779814</v>
      </c>
      <c r="Q39" s="5">
        <f t="shared" si="19"/>
        <v>29.724770642201861</v>
      </c>
      <c r="R39" s="21">
        <f t="shared" si="18"/>
        <v>2</v>
      </c>
      <c r="S39" s="35"/>
      <c r="T39" s="61">
        <v>720</v>
      </c>
      <c r="U39" s="13">
        <f t="shared" si="22"/>
        <v>1440</v>
      </c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>
        <v>2430</v>
      </c>
      <c r="O40" s="5">
        <f t="shared" si="16"/>
        <v>2430</v>
      </c>
      <c r="P40" s="5">
        <f t="shared" si="17"/>
        <v>2229.3577981651374</v>
      </c>
      <c r="Q40" s="5">
        <f t="shared" si="19"/>
        <v>200.64220183486259</v>
      </c>
      <c r="R40" s="21">
        <f t="shared" si="18"/>
        <v>3</v>
      </c>
      <c r="S40" s="71"/>
      <c r="T40" s="61"/>
      <c r="U40" s="13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16"/>
        <v>0</v>
      </c>
      <c r="P41" s="5">
        <f t="shared" si="17"/>
        <v>0</v>
      </c>
      <c r="Q41" s="5">
        <f t="shared" si="19"/>
        <v>0</v>
      </c>
      <c r="R41" s="21">
        <f t="shared" si="18"/>
        <v>0</v>
      </c>
      <c r="S41" s="71"/>
      <c r="T41" s="61">
        <v>405</v>
      </c>
      <c r="U41" s="13">
        <f t="shared" si="22"/>
        <v>0</v>
      </c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>
        <v>162</v>
      </c>
      <c r="O42" s="26">
        <f t="shared" si="16"/>
        <v>162</v>
      </c>
      <c r="P42" s="26">
        <f t="shared" si="17"/>
        <v>148.62385321100916</v>
      </c>
      <c r="Q42" s="26">
        <f t="shared" si="19"/>
        <v>13.376146788990837</v>
      </c>
      <c r="R42" s="39">
        <f t="shared" si="18"/>
        <v>1</v>
      </c>
      <c r="S42" s="71"/>
      <c r="T42" s="61">
        <v>648</v>
      </c>
      <c r="U42" s="13">
        <f t="shared" si="22"/>
        <v>648</v>
      </c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250</v>
      </c>
      <c r="F43" s="124">
        <v>15780</v>
      </c>
      <c r="G43" s="124">
        <v>2470</v>
      </c>
      <c r="H43" s="124">
        <v>3090</v>
      </c>
      <c r="I43" s="124"/>
      <c r="J43" s="124"/>
      <c r="K43" s="124"/>
      <c r="L43" s="124"/>
      <c r="M43" s="124"/>
      <c r="N43" s="124">
        <v>50</v>
      </c>
      <c r="O43" s="248">
        <f t="shared" si="16"/>
        <v>21640</v>
      </c>
      <c r="P43" s="26">
        <f t="shared" si="17"/>
        <v>19853.211009174309</v>
      </c>
      <c r="Q43" s="26">
        <f t="shared" si="19"/>
        <v>1786.7889908256911</v>
      </c>
      <c r="R43" s="39">
        <f t="shared" si="18"/>
        <v>2164</v>
      </c>
      <c r="S43" s="71"/>
      <c r="T43" s="61"/>
      <c r="U43" s="13"/>
      <c r="V43" s="2"/>
      <c r="W43" s="2"/>
      <c r="X43" s="2"/>
      <c r="Y43" s="2"/>
      <c r="Z43" s="2"/>
      <c r="AA43" s="2"/>
      <c r="AB43" s="2"/>
      <c r="AC43" s="2"/>
    </row>
    <row r="44" spans="1:29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3070.7</v>
      </c>
      <c r="F44" s="82">
        <f>+SUM(F45:F53)</f>
        <v>113454.7</v>
      </c>
      <c r="G44" s="82">
        <f t="shared" ref="G44:R44" si="23">+SUM(G45:G53)</f>
        <v>18434.5</v>
      </c>
      <c r="H44" s="82">
        <f>+SUM(H45:H53)</f>
        <v>2829.7</v>
      </c>
      <c r="I44" s="82">
        <f t="shared" si="23"/>
        <v>0</v>
      </c>
      <c r="J44" s="82">
        <f t="shared" si="23"/>
        <v>0</v>
      </c>
      <c r="K44" s="100">
        <f t="shared" si="23"/>
        <v>0</v>
      </c>
      <c r="L44" s="100">
        <f t="shared" si="23"/>
        <v>0</v>
      </c>
      <c r="M44" s="100">
        <f t="shared" si="23"/>
        <v>36</v>
      </c>
      <c r="N44" s="100">
        <f t="shared" si="23"/>
        <v>10975.2</v>
      </c>
      <c r="O44" s="42">
        <f>+SUM(O45:O53)</f>
        <v>148800.80000000002</v>
      </c>
      <c r="P44" s="82">
        <f t="shared" si="23"/>
        <v>136514.49541284403</v>
      </c>
      <c r="Q44" s="82">
        <f t="shared" si="23"/>
        <v>12286.30458715597</v>
      </c>
      <c r="R44" s="19">
        <f t="shared" si="23"/>
        <v>21458</v>
      </c>
      <c r="S44" s="71"/>
      <c r="T44" s="61"/>
      <c r="U44" s="105">
        <f>+SUM(U45:U68)</f>
        <v>210326.2</v>
      </c>
      <c r="V44" s="2"/>
      <c r="W44" s="2"/>
      <c r="X44" s="2"/>
      <c r="Y44" s="2"/>
      <c r="Z44" s="2"/>
      <c r="AA44" s="2"/>
      <c r="AB44" s="2"/>
      <c r="AC44" s="2"/>
    </row>
    <row r="45" spans="1:29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336</v>
      </c>
      <c r="F45" s="23">
        <v>12384</v>
      </c>
      <c r="G45" s="28">
        <v>1752</v>
      </c>
      <c r="H45" s="23">
        <v>228</v>
      </c>
      <c r="I45" s="83"/>
      <c r="J45" s="75"/>
      <c r="K45" s="75"/>
      <c r="L45" s="75"/>
      <c r="M45" s="75"/>
      <c r="N45" s="75">
        <v>1020</v>
      </c>
      <c r="O45" s="5">
        <f t="shared" ref="O45:O55" si="24">+SUM(E45:N45)</f>
        <v>15720</v>
      </c>
      <c r="P45" s="99">
        <f t="shared" ref="P45:P53" si="25">+O45/1.09</f>
        <v>14422.018348623853</v>
      </c>
      <c r="Q45" s="64">
        <f t="shared" ref="Q45:R55" si="26">+O45-P45</f>
        <v>1297.9816513761471</v>
      </c>
      <c r="R45" s="116">
        <f t="shared" ref="R45:R54" si="27">O45/D45</f>
        <v>1310</v>
      </c>
      <c r="S45" s="71"/>
      <c r="T45" s="61"/>
      <c r="U45" s="13"/>
      <c r="V45" s="2"/>
      <c r="W45" s="2"/>
      <c r="X45" s="2"/>
      <c r="Y45" s="2"/>
      <c r="Z45" s="2"/>
      <c r="AA45" s="2"/>
      <c r="AB45" s="2"/>
      <c r="AC45" s="2"/>
    </row>
    <row r="46" spans="1:29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108</v>
      </c>
      <c r="F46" s="13">
        <v>1452</v>
      </c>
      <c r="G46" s="17">
        <v>264</v>
      </c>
      <c r="H46" s="23"/>
      <c r="I46" s="13"/>
      <c r="J46" s="33"/>
      <c r="K46" s="33"/>
      <c r="L46" s="33"/>
      <c r="M46" s="33">
        <v>6</v>
      </c>
      <c r="N46" s="33">
        <v>102</v>
      </c>
      <c r="O46" s="5">
        <f t="shared" si="24"/>
        <v>1932</v>
      </c>
      <c r="P46" s="5">
        <f t="shared" si="25"/>
        <v>1772.4770642201834</v>
      </c>
      <c r="Q46" s="5">
        <f t="shared" si="26"/>
        <v>159.52293577981663</v>
      </c>
      <c r="R46" s="31">
        <f t="shared" si="27"/>
        <v>322</v>
      </c>
      <c r="S46" s="71"/>
      <c r="T46" s="61">
        <v>6</v>
      </c>
      <c r="U46" s="13">
        <f t="shared" ref="U46:U47" si="28">+R46*T46</f>
        <v>1932</v>
      </c>
      <c r="V46" s="2"/>
      <c r="W46" s="2"/>
      <c r="X46" s="2"/>
      <c r="Y46" s="2"/>
      <c r="Z46" s="2"/>
      <c r="AA46" s="2"/>
      <c r="AB46" s="2"/>
      <c r="AC46" s="2"/>
    </row>
    <row r="47" spans="1:29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492</v>
      </c>
      <c r="F47" s="13">
        <v>26652</v>
      </c>
      <c r="G47" s="17">
        <v>4982.3999999999996</v>
      </c>
      <c r="H47" s="23">
        <v>189.6</v>
      </c>
      <c r="I47" s="13"/>
      <c r="J47" s="33"/>
      <c r="K47" s="33"/>
      <c r="L47" s="33"/>
      <c r="M47" s="33">
        <v>4.8</v>
      </c>
      <c r="N47" s="33">
        <f>21.6+2138.4</f>
        <v>2160</v>
      </c>
      <c r="O47" s="5">
        <f t="shared" si="24"/>
        <v>34480.800000000003</v>
      </c>
      <c r="P47" s="5">
        <f t="shared" si="25"/>
        <v>31633.761467889908</v>
      </c>
      <c r="Q47" s="5">
        <f t="shared" si="26"/>
        <v>2847.0385321100948</v>
      </c>
      <c r="R47" s="31">
        <f t="shared" si="27"/>
        <v>14367.000000000002</v>
      </c>
      <c r="S47" s="71"/>
      <c r="T47" s="61">
        <v>9.6</v>
      </c>
      <c r="U47" s="13">
        <f t="shared" si="28"/>
        <v>137923.20000000001</v>
      </c>
      <c r="V47" s="2"/>
      <c r="W47" s="2"/>
      <c r="X47" s="2"/>
      <c r="Y47" s="2"/>
      <c r="Z47" s="2"/>
      <c r="AA47" s="2"/>
      <c r="AB47" s="2"/>
      <c r="AC47" s="2"/>
    </row>
    <row r="48" spans="1:29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189</v>
      </c>
      <c r="F48" s="13">
        <v>11802</v>
      </c>
      <c r="G48" s="17">
        <v>1323</v>
      </c>
      <c r="H48" s="13">
        <v>840</v>
      </c>
      <c r="I48" s="13"/>
      <c r="J48" s="33"/>
      <c r="K48" s="33"/>
      <c r="L48" s="33"/>
      <c r="M48" s="33">
        <v>21</v>
      </c>
      <c r="N48" s="33">
        <v>798</v>
      </c>
      <c r="O48" s="5">
        <f t="shared" si="24"/>
        <v>14973</v>
      </c>
      <c r="P48" s="5">
        <f t="shared" si="25"/>
        <v>13736.697247706421</v>
      </c>
      <c r="Q48" s="5">
        <f t="shared" si="26"/>
        <v>1236.302752293579</v>
      </c>
      <c r="R48" s="31">
        <f t="shared" si="27"/>
        <v>713</v>
      </c>
      <c r="S48" s="71"/>
      <c r="T48" s="61"/>
      <c r="U48" s="13"/>
      <c r="V48" s="2"/>
      <c r="W48" s="2"/>
      <c r="X48" s="2"/>
      <c r="Y48" s="2"/>
      <c r="Z48" s="2"/>
      <c r="AA48" s="2"/>
      <c r="AB48" s="2"/>
      <c r="AC48" s="2"/>
    </row>
    <row r="49" spans="1:29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21</v>
      </c>
      <c r="F49" s="13">
        <v>1186.5</v>
      </c>
      <c r="G49" s="17">
        <v>220.5</v>
      </c>
      <c r="H49" s="13"/>
      <c r="I49" s="13"/>
      <c r="J49" s="33"/>
      <c r="K49" s="33"/>
      <c r="L49" s="33"/>
      <c r="M49" s="33"/>
      <c r="N49" s="33">
        <v>115.5</v>
      </c>
      <c r="O49" s="5">
        <f t="shared" si="24"/>
        <v>1543.5</v>
      </c>
      <c r="P49" s="5">
        <f t="shared" si="25"/>
        <v>1416.0550458715595</v>
      </c>
      <c r="Q49" s="5">
        <f t="shared" si="26"/>
        <v>127.44495412844049</v>
      </c>
      <c r="R49" s="21">
        <f t="shared" si="27"/>
        <v>147</v>
      </c>
      <c r="S49" s="71"/>
      <c r="T49" s="61">
        <v>10.5</v>
      </c>
      <c r="U49" s="13">
        <f t="shared" ref="U49:U50" si="29">+R49*T49</f>
        <v>1543.5</v>
      </c>
      <c r="V49" s="2"/>
      <c r="W49" s="2"/>
      <c r="X49" s="2"/>
      <c r="Y49" s="2"/>
      <c r="Z49" s="2"/>
      <c r="AA49" s="2"/>
      <c r="AB49" s="2"/>
      <c r="AC49" s="2"/>
    </row>
    <row r="50" spans="1:29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75.599999999999994</v>
      </c>
      <c r="F50" s="13">
        <v>6169.8</v>
      </c>
      <c r="G50" s="17">
        <v>831.6</v>
      </c>
      <c r="H50" s="13">
        <v>75.599999999999994</v>
      </c>
      <c r="I50" s="13"/>
      <c r="J50" s="33"/>
      <c r="K50" s="33"/>
      <c r="L50" s="33"/>
      <c r="M50" s="33">
        <v>4.2</v>
      </c>
      <c r="N50" s="33">
        <f>25.2+1108.8</f>
        <v>1134</v>
      </c>
      <c r="O50" s="5">
        <f t="shared" si="24"/>
        <v>8290.8000000000011</v>
      </c>
      <c r="P50" s="5">
        <f t="shared" si="25"/>
        <v>7606.2385321100919</v>
      </c>
      <c r="Q50" s="5">
        <f t="shared" si="26"/>
        <v>684.56146788990918</v>
      </c>
      <c r="R50" s="21">
        <f t="shared" si="27"/>
        <v>1974.0000000000002</v>
      </c>
      <c r="S50" s="71"/>
      <c r="T50" s="61">
        <v>16.8</v>
      </c>
      <c r="U50" s="13">
        <f t="shared" si="29"/>
        <v>33163.200000000004</v>
      </c>
      <c r="V50" s="2"/>
      <c r="W50" s="2"/>
      <c r="X50" s="2"/>
      <c r="Y50" s="2"/>
      <c r="Z50" s="2"/>
      <c r="AA50" s="2"/>
      <c r="AB50" s="2"/>
      <c r="AC50" s="2"/>
    </row>
    <row r="51" spans="1:29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1681</v>
      </c>
      <c r="F51" s="13">
        <v>44444</v>
      </c>
      <c r="G51" s="17">
        <v>7831</v>
      </c>
      <c r="H51" s="13">
        <v>1353</v>
      </c>
      <c r="I51" s="13"/>
      <c r="J51" s="33"/>
      <c r="K51" s="33"/>
      <c r="L51" s="33"/>
      <c r="M51" s="33"/>
      <c r="N51" s="33">
        <v>4428</v>
      </c>
      <c r="O51" s="5">
        <f t="shared" si="24"/>
        <v>59737</v>
      </c>
      <c r="P51" s="5">
        <f t="shared" si="25"/>
        <v>54804.587155963301</v>
      </c>
      <c r="Q51" s="5">
        <f t="shared" si="26"/>
        <v>4932.4128440366985</v>
      </c>
      <c r="R51" s="21">
        <f t="shared" si="27"/>
        <v>1457</v>
      </c>
      <c r="S51" s="71"/>
      <c r="T51" s="61"/>
      <c r="U51" s="13"/>
      <c r="V51" s="2"/>
      <c r="W51" s="2"/>
      <c r="X51" s="2"/>
      <c r="Y51" s="2"/>
      <c r="Z51" s="2"/>
      <c r="AA51" s="2"/>
      <c r="AB51" s="2"/>
      <c r="AC51" s="2"/>
    </row>
    <row r="52" spans="1:29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61.5</v>
      </c>
      <c r="F52" s="13">
        <v>3526</v>
      </c>
      <c r="G52" s="17">
        <v>492</v>
      </c>
      <c r="H52" s="13">
        <v>61.5</v>
      </c>
      <c r="I52" s="13"/>
      <c r="J52" s="33"/>
      <c r="K52" s="33"/>
      <c r="L52" s="33"/>
      <c r="M52" s="33"/>
      <c r="N52" s="33">
        <v>102.5</v>
      </c>
      <c r="O52" s="5">
        <f t="shared" si="24"/>
        <v>4243.5</v>
      </c>
      <c r="P52" s="5">
        <f t="shared" si="25"/>
        <v>3893.1192660550455</v>
      </c>
      <c r="Q52" s="5">
        <f t="shared" si="26"/>
        <v>350.3807339449545</v>
      </c>
      <c r="R52" s="21">
        <f t="shared" si="27"/>
        <v>207</v>
      </c>
      <c r="S52" s="71"/>
      <c r="T52" s="61">
        <v>20.5</v>
      </c>
      <c r="U52" s="13">
        <f t="shared" ref="U52:U53" si="30">+R52*T52</f>
        <v>4243.5</v>
      </c>
      <c r="V52" s="2"/>
      <c r="W52" s="2"/>
      <c r="X52" s="2"/>
      <c r="Y52" s="2"/>
      <c r="Z52" s="2"/>
      <c r="AA52" s="2"/>
      <c r="AB52" s="2"/>
      <c r="AC52" s="2"/>
    </row>
    <row r="53" spans="1:29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106.6</v>
      </c>
      <c r="F53" s="14">
        <v>5838.4</v>
      </c>
      <c r="G53" s="51">
        <v>738</v>
      </c>
      <c r="H53" s="14">
        <v>82</v>
      </c>
      <c r="I53" s="14"/>
      <c r="J53" s="76"/>
      <c r="K53" s="76"/>
      <c r="L53" s="76"/>
      <c r="M53" s="76"/>
      <c r="N53" s="76">
        <f>8.2+1107</f>
        <v>1115.2</v>
      </c>
      <c r="O53" s="26">
        <f t="shared" si="24"/>
        <v>7880.2</v>
      </c>
      <c r="P53" s="6">
        <f t="shared" si="25"/>
        <v>7229.5412844036691</v>
      </c>
      <c r="Q53" s="6">
        <f t="shared" si="26"/>
        <v>650.65871559633069</v>
      </c>
      <c r="R53" s="22">
        <f t="shared" si="27"/>
        <v>961.00000000000011</v>
      </c>
      <c r="S53" s="35"/>
      <c r="T53" s="61">
        <v>32.799999999999997</v>
      </c>
      <c r="U53" s="13">
        <f t="shared" si="30"/>
        <v>31520.799999999999</v>
      </c>
      <c r="V53" s="2"/>
      <c r="W53" s="2"/>
      <c r="X53" s="2"/>
      <c r="Y53" s="2"/>
      <c r="Z53" s="2"/>
      <c r="AA53" s="2"/>
      <c r="AB53" s="2"/>
      <c r="AC53" s="2"/>
    </row>
    <row r="54" spans="1:29" x14ac:dyDescent="0.25">
      <c r="C54" s="1" t="s">
        <v>150</v>
      </c>
      <c r="D54" s="4">
        <v>4</v>
      </c>
      <c r="E54" s="125"/>
      <c r="F54" s="112">
        <v>38840</v>
      </c>
      <c r="G54" s="112">
        <v>5676</v>
      </c>
      <c r="H54" s="112">
        <v>2604</v>
      </c>
      <c r="I54" s="112"/>
      <c r="J54" s="112"/>
      <c r="K54" s="112"/>
      <c r="L54" s="112"/>
      <c r="M54" s="1">
        <v>500</v>
      </c>
      <c r="O54" s="230">
        <f>+SUM(E54:N54)+N59</f>
        <v>47620</v>
      </c>
      <c r="P54" s="6">
        <f>+O54/1.21</f>
        <v>39355.371900826445</v>
      </c>
      <c r="Q54" s="6">
        <f t="shared" si="26"/>
        <v>8264.6280991735548</v>
      </c>
      <c r="R54" s="22">
        <f t="shared" si="27"/>
        <v>11905</v>
      </c>
      <c r="V54" s="2"/>
      <c r="W54" s="138"/>
    </row>
    <row r="55" spans="1:29" x14ac:dyDescent="0.25">
      <c r="C55" s="1" t="s">
        <v>143</v>
      </c>
      <c r="E55" s="2">
        <v>22285.98</v>
      </c>
      <c r="F55" s="2">
        <v>762695.51</v>
      </c>
      <c r="G55" s="2">
        <v>116588.73</v>
      </c>
      <c r="H55" s="2">
        <v>15485.98</v>
      </c>
      <c r="I55" s="2"/>
      <c r="J55" s="2"/>
      <c r="K55" s="2"/>
      <c r="L55" s="2"/>
      <c r="M55" s="1">
        <v>897</v>
      </c>
      <c r="O55" s="6">
        <f t="shared" si="24"/>
        <v>917953.2</v>
      </c>
      <c r="P55" s="6">
        <f>+O55</f>
        <v>917953.2</v>
      </c>
      <c r="Q55" s="6">
        <f t="shared" si="26"/>
        <v>0</v>
      </c>
      <c r="R55" s="6">
        <f t="shared" si="26"/>
        <v>917953.2</v>
      </c>
      <c r="V55" s="2"/>
      <c r="W55" s="138"/>
    </row>
    <row r="57" spans="1:29" x14ac:dyDescent="0.25">
      <c r="D57" s="4" t="s">
        <v>151</v>
      </c>
      <c r="E57" s="136">
        <f>+E5+E54+E55</f>
        <v>166254.16000000003</v>
      </c>
      <c r="F57" s="136">
        <f t="shared" ref="F57:N57" si="31">+F5+F54+F55</f>
        <v>6979032.4900000002</v>
      </c>
      <c r="G57" s="136">
        <f t="shared" si="31"/>
        <v>1064653.81</v>
      </c>
      <c r="H57" s="136">
        <f t="shared" si="31"/>
        <v>164024.10000000003</v>
      </c>
      <c r="I57" s="136">
        <f t="shared" si="31"/>
        <v>550200</v>
      </c>
      <c r="J57" s="136">
        <f t="shared" si="31"/>
        <v>882339.85</v>
      </c>
      <c r="K57" s="136">
        <f t="shared" si="31"/>
        <v>889301.82000000018</v>
      </c>
      <c r="L57" s="136">
        <f t="shared" si="31"/>
        <v>2609.7200000001126</v>
      </c>
      <c r="M57" s="136">
        <f t="shared" si="31"/>
        <v>6024.38</v>
      </c>
      <c r="N57" s="136">
        <f t="shared" si="31"/>
        <v>634945.37999999989</v>
      </c>
      <c r="O57" s="103">
        <f>+SUM(E57:N57)</f>
        <v>11339385.710000001</v>
      </c>
      <c r="P57" s="150">
        <f>+P54+P55+P5-((K5+L5)/1.09)</f>
        <v>9656300.2874971535</v>
      </c>
      <c r="Q57" s="150"/>
    </row>
    <row r="59" spans="1:29" x14ac:dyDescent="0.25">
      <c r="M59" s="561"/>
      <c r="N59" s="560"/>
    </row>
    <row r="60" spans="1:29" x14ac:dyDescent="0.25">
      <c r="E60" s="136"/>
    </row>
    <row r="73" spans="2:2" x14ac:dyDescent="0.25">
      <c r="B73" s="1"/>
    </row>
  </sheetData>
  <mergeCells count="18">
    <mergeCell ref="F3:F4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10"/>
  <sheetViews>
    <sheetView workbookViewId="0">
      <selection activeCell="A2" sqref="A2"/>
    </sheetView>
  </sheetViews>
  <sheetFormatPr defaultRowHeight="14.4" x14ac:dyDescent="0.3"/>
  <cols>
    <col min="1" max="1" width="50.6640625" bestFit="1" customWidth="1"/>
    <col min="3" max="3" width="13.6640625" customWidth="1"/>
    <col min="4" max="4" width="13.5546875" customWidth="1"/>
    <col min="5" max="5" width="11.5546875" customWidth="1"/>
  </cols>
  <sheetData>
    <row r="1" spans="1:5" x14ac:dyDescent="0.3">
      <c r="A1" t="s">
        <v>257</v>
      </c>
    </row>
    <row r="3" spans="1:5" x14ac:dyDescent="0.3">
      <c r="A3" s="266" t="s">
        <v>46</v>
      </c>
      <c r="B3" s="268" t="s">
        <v>208</v>
      </c>
      <c r="C3" s="267" t="s">
        <v>256</v>
      </c>
      <c r="D3" s="267" t="s">
        <v>205</v>
      </c>
      <c r="E3" s="267" t="s">
        <v>206</v>
      </c>
    </row>
    <row r="4" spans="1:5" x14ac:dyDescent="0.3">
      <c r="A4" s="263" t="s">
        <v>54</v>
      </c>
      <c r="B4" s="91">
        <v>2.2000000000000002</v>
      </c>
      <c r="C4" s="264">
        <v>696636.60000000009</v>
      </c>
      <c r="D4" s="264">
        <v>697804.80000000005</v>
      </c>
      <c r="E4" s="265">
        <f>+D4-C4</f>
        <v>1168.1999999999534</v>
      </c>
    </row>
    <row r="5" spans="1:5" x14ac:dyDescent="0.3">
      <c r="A5" s="255" t="s">
        <v>92</v>
      </c>
      <c r="B5" s="60">
        <v>1.1000000000000001</v>
      </c>
      <c r="C5" s="106">
        <v>72081.900000000009</v>
      </c>
      <c r="D5" s="106">
        <v>72201.8</v>
      </c>
      <c r="E5" s="257">
        <f t="shared" ref="E5:E9" si="0">+D5-C5</f>
        <v>119.89999999999418</v>
      </c>
    </row>
    <row r="6" spans="1:5" x14ac:dyDescent="0.3">
      <c r="A6" s="255" t="s">
        <v>93</v>
      </c>
      <c r="B6" s="62">
        <v>0.44</v>
      </c>
      <c r="C6" s="106">
        <v>1336.28</v>
      </c>
      <c r="D6" s="106">
        <v>1338.92</v>
      </c>
      <c r="E6" s="257">
        <f t="shared" si="0"/>
        <v>2.6400000000001</v>
      </c>
    </row>
    <row r="7" spans="1:5" x14ac:dyDescent="0.3">
      <c r="A7" s="255" t="s">
        <v>58</v>
      </c>
      <c r="B7" s="62">
        <v>3.2</v>
      </c>
      <c r="C7" s="106">
        <v>107008</v>
      </c>
      <c r="D7" s="106">
        <v>107289.60000000001</v>
      </c>
      <c r="E7" s="257">
        <f t="shared" si="0"/>
        <v>281.60000000000582</v>
      </c>
    </row>
    <row r="8" spans="1:5" x14ac:dyDescent="0.3">
      <c r="A8" s="255" t="s">
        <v>94</v>
      </c>
      <c r="B8" s="62">
        <v>1.6</v>
      </c>
      <c r="C8" s="106">
        <v>11992</v>
      </c>
      <c r="D8" s="106">
        <v>12011.2</v>
      </c>
      <c r="E8" s="257">
        <f t="shared" si="0"/>
        <v>19.200000000000728</v>
      </c>
    </row>
    <row r="9" spans="1:5" x14ac:dyDescent="0.3">
      <c r="A9" s="256" t="s">
        <v>95</v>
      </c>
      <c r="B9" s="63">
        <v>0.64</v>
      </c>
      <c r="C9" s="258">
        <v>247.04</v>
      </c>
      <c r="D9" s="258">
        <v>247.04</v>
      </c>
      <c r="E9" s="259">
        <f t="shared" si="0"/>
        <v>0</v>
      </c>
    </row>
    <row r="10" spans="1:5" ht="15" x14ac:dyDescent="0.25">
      <c r="A10" s="260" t="s">
        <v>151</v>
      </c>
      <c r="B10" s="261"/>
      <c r="C10" s="262">
        <f>+SUM(C4:C9)</f>
        <v>889301.82000000018</v>
      </c>
      <c r="D10" s="262">
        <f t="shared" ref="D10:E10" si="1">+SUM(D4:D9)</f>
        <v>890893.3600000001</v>
      </c>
      <c r="E10" s="262">
        <f t="shared" si="1"/>
        <v>1591.5399999999543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Y66"/>
  <sheetViews>
    <sheetView zoomScaleNormal="100" workbookViewId="0">
      <pane xSplit="4" ySplit="4" topLeftCell="E23" activePane="bottomRight" state="frozen"/>
      <selection pane="topRight" activeCell="E1" sqref="E1"/>
      <selection pane="bottomLeft" activeCell="A5" sqref="A5"/>
      <selection pane="bottomRight" activeCell="V42" sqref="V42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50.6640625" style="1" bestFit="1" customWidth="1"/>
    <col min="4" max="4" width="9.88671875" style="4" customWidth="1"/>
    <col min="5" max="5" width="14.33203125" style="4" customWidth="1" outlineLevel="1"/>
    <col min="6" max="6" width="12.441406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2" width="12.109375" style="1" customWidth="1" outlineLevel="1"/>
    <col min="13" max="14" width="13" style="1" customWidth="1" outlineLevel="1"/>
    <col min="15" max="15" width="12.33203125" style="1" bestFit="1" customWidth="1"/>
    <col min="16" max="17" width="12.33203125" style="1" customWidth="1"/>
    <col min="18" max="18" width="11.33203125" style="1" customWidth="1" outlineLevel="1"/>
    <col min="19" max="19" width="3.109375" style="1" customWidth="1"/>
    <col min="20" max="20" width="5.109375" style="1" customWidth="1"/>
    <col min="21" max="21" width="13.33203125" style="2" customWidth="1"/>
    <col min="22" max="22" width="11.33203125" style="2" bestFit="1" customWidth="1"/>
    <col min="23" max="23" width="11.6640625" style="1" customWidth="1"/>
    <col min="24" max="16384" width="8.88671875" style="1"/>
  </cols>
  <sheetData>
    <row r="1" spans="1:24" ht="15.6" customHeight="1" x14ac:dyDescent="0.3">
      <c r="A1" s="40" t="s">
        <v>255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"/>
    </row>
    <row r="2" spans="1:24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139"/>
      <c r="P2" s="2"/>
      <c r="Q2" s="2"/>
    </row>
    <row r="3" spans="1:24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4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47336.799999999996</v>
      </c>
      <c r="F5" s="187">
        <f t="shared" si="0"/>
        <v>2122036.0199999996</v>
      </c>
      <c r="G5" s="82">
        <f t="shared" si="0"/>
        <v>323038.95999999996</v>
      </c>
      <c r="H5" s="82">
        <f t="shared" si="0"/>
        <v>60419.839999999989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2402.0700000000002</v>
      </c>
      <c r="N5" s="19">
        <f>+N6+N18+N44</f>
        <v>234698.35000000003</v>
      </c>
      <c r="O5" s="113">
        <f>+SUM(E5:N5)</f>
        <v>2789932.0399999991</v>
      </c>
      <c r="P5" s="114">
        <f>+P6+P18+P44</f>
        <v>2559570.6788990833</v>
      </c>
      <c r="Q5" s="115">
        <f>+Q6+Q18+Q44</f>
        <v>230361.36110091762</v>
      </c>
      <c r="R5" s="197">
        <f>+R6+R18+R44</f>
        <v>52560.063453703704</v>
      </c>
      <c r="S5" s="71"/>
      <c r="T5" s="87"/>
      <c r="U5" s="135">
        <f>+U7+U18+U44</f>
        <v>2422067.4699999997</v>
      </c>
      <c r="W5" s="2"/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1">+E7+E11</f>
        <v>0</v>
      </c>
      <c r="F6" s="187">
        <f t="shared" si="1"/>
        <v>0</v>
      </c>
      <c r="G6" s="82">
        <f t="shared" si="1"/>
        <v>0</v>
      </c>
      <c r="H6" s="82">
        <f t="shared" si="1"/>
        <v>0</v>
      </c>
      <c r="I6" s="82">
        <f t="shared" si="1"/>
        <v>0</v>
      </c>
      <c r="J6" s="82">
        <f t="shared" si="1"/>
        <v>0</v>
      </c>
      <c r="K6" s="100">
        <f t="shared" si="1"/>
        <v>0</v>
      </c>
      <c r="L6" s="100">
        <f t="shared" si="1"/>
        <v>0</v>
      </c>
      <c r="M6" s="192">
        <f>+M7+M11</f>
        <v>0</v>
      </c>
      <c r="N6" s="19">
        <f>+N7+N11</f>
        <v>0</v>
      </c>
      <c r="O6" s="42">
        <f>+SUM(E6:N6)</f>
        <v>0</v>
      </c>
      <c r="P6" s="77">
        <f>+P7+P11</f>
        <v>0</v>
      </c>
      <c r="Q6" s="42">
        <f>+Q7+Q11</f>
        <v>0</v>
      </c>
      <c r="R6" s="44">
        <f>+R7+R11</f>
        <v>0</v>
      </c>
      <c r="T6" s="61"/>
      <c r="U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7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0</v>
      </c>
      <c r="J7" s="126">
        <f t="shared" si="2"/>
        <v>0</v>
      </c>
      <c r="K7" s="126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225">
        <f t="shared" si="3"/>
        <v>0</v>
      </c>
      <c r="P7" s="79">
        <f t="shared" si="3"/>
        <v>0</v>
      </c>
      <c r="Q7" s="79">
        <f t="shared" si="3"/>
        <v>0</v>
      </c>
      <c r="R7" s="240">
        <f t="shared" si="3"/>
        <v>0</v>
      </c>
      <c r="S7" s="71"/>
      <c r="T7" s="134"/>
      <c r="U7" s="105">
        <f>+SUM(U8:U17)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24">
        <f>+SUM(E8:N8)</f>
        <v>0</v>
      </c>
      <c r="P8" s="127">
        <f t="shared" ref="P8:P53" si="4">+O8/1.09</f>
        <v>0</v>
      </c>
      <c r="Q8" s="5">
        <f t="shared" ref="Q8:Q17" si="5">+O8-P8</f>
        <v>0</v>
      </c>
      <c r="R8" s="94">
        <f>+O8/D8</f>
        <v>0</v>
      </c>
      <c r="S8" s="71"/>
      <c r="T8" s="61"/>
      <c r="U8" s="13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6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24">
        <f>+SUM(E9:N9)</f>
        <v>0</v>
      </c>
      <c r="P9" s="127">
        <f t="shared" si="4"/>
        <v>0</v>
      </c>
      <c r="Q9" s="26">
        <f t="shared" si="5"/>
        <v>0</v>
      </c>
      <c r="R9" s="94">
        <f>+O9/D9</f>
        <v>0</v>
      </c>
      <c r="S9" s="71"/>
      <c r="T9" s="61">
        <v>1.75</v>
      </c>
      <c r="U9" s="13">
        <f>+R9*T9</f>
        <v>0</v>
      </c>
    </row>
    <row r="10" spans="1:24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26">
        <f>+SUM(E10:N10)</f>
        <v>0</v>
      </c>
      <c r="P10" s="26">
        <f t="shared" si="4"/>
        <v>0</v>
      </c>
      <c r="Q10" s="26">
        <f t="shared" si="5"/>
        <v>0</v>
      </c>
      <c r="R10" s="39">
        <f>O10/D10</f>
        <v>0</v>
      </c>
      <c r="S10" s="71"/>
      <c r="T10" s="107">
        <v>2.8</v>
      </c>
      <c r="U10" s="13">
        <f>+R10*T10</f>
        <v>0</v>
      </c>
      <c r="W10" s="138"/>
      <c r="X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R11" si="7">+SUM(E12:E17)</f>
        <v>0</v>
      </c>
      <c r="F11" s="84">
        <f t="shared" si="7"/>
        <v>0</v>
      </c>
      <c r="G11" s="84">
        <f t="shared" si="7"/>
        <v>0</v>
      </c>
      <c r="H11" s="84">
        <f t="shared" si="7"/>
        <v>0</v>
      </c>
      <c r="I11" s="84">
        <f t="shared" si="7"/>
        <v>0</v>
      </c>
      <c r="J11" s="74">
        <f t="shared" si="7"/>
        <v>0</v>
      </c>
      <c r="K11" s="101">
        <f t="shared" si="7"/>
        <v>0</v>
      </c>
      <c r="L11" s="101">
        <f t="shared" si="7"/>
        <v>0</v>
      </c>
      <c r="M11" s="101">
        <f t="shared" si="7"/>
        <v>0</v>
      </c>
      <c r="N11" s="101">
        <f t="shared" si="7"/>
        <v>0</v>
      </c>
      <c r="O11" s="43">
        <f t="shared" si="7"/>
        <v>0</v>
      </c>
      <c r="P11" s="72">
        <f t="shared" si="7"/>
        <v>0</v>
      </c>
      <c r="Q11" s="43">
        <f t="shared" si="7"/>
        <v>0</v>
      </c>
      <c r="R11" s="45">
        <f t="shared" si="7"/>
        <v>0</v>
      </c>
      <c r="S11" s="71"/>
      <c r="T11" s="61"/>
      <c r="U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24">
        <f t="shared" ref="O12:O17" si="8">+SUM(E12:N12)</f>
        <v>0</v>
      </c>
      <c r="P12" s="127">
        <f t="shared" si="4"/>
        <v>0</v>
      </c>
      <c r="Q12" s="5">
        <f t="shared" si="5"/>
        <v>0</v>
      </c>
      <c r="R12" s="94">
        <f t="shared" ref="R12:R17" si="9">+O12/D12</f>
        <v>0</v>
      </c>
      <c r="S12" s="71"/>
      <c r="T12" s="61"/>
      <c r="U12" s="13"/>
      <c r="X12" s="104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24">
        <f t="shared" si="8"/>
        <v>0</v>
      </c>
      <c r="P13" s="127">
        <f t="shared" si="4"/>
        <v>0</v>
      </c>
      <c r="Q13" s="5">
        <f t="shared" si="5"/>
        <v>0</v>
      </c>
      <c r="R13" s="94">
        <f t="shared" si="9"/>
        <v>0</v>
      </c>
      <c r="S13" s="71"/>
      <c r="T13" s="107">
        <v>1.1000000000000001</v>
      </c>
      <c r="U13" s="13">
        <f t="shared" ref="U13:U14" si="10">+R13*T13</f>
        <v>0</v>
      </c>
      <c r="X13" s="104"/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24">
        <f t="shared" si="8"/>
        <v>0</v>
      </c>
      <c r="P14" s="127">
        <f t="shared" si="4"/>
        <v>0</v>
      </c>
      <c r="Q14" s="5">
        <f t="shared" si="5"/>
        <v>0</v>
      </c>
      <c r="R14" s="94">
        <f t="shared" si="9"/>
        <v>0</v>
      </c>
      <c r="S14" s="71"/>
      <c r="T14" s="61">
        <v>1.76</v>
      </c>
      <c r="U14" s="13">
        <f t="shared" si="10"/>
        <v>0</v>
      </c>
      <c r="X14" s="104"/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4">
        <f t="shared" si="8"/>
        <v>0</v>
      </c>
      <c r="P15" s="127">
        <f t="shared" si="4"/>
        <v>0</v>
      </c>
      <c r="Q15" s="5">
        <f t="shared" si="5"/>
        <v>0</v>
      </c>
      <c r="R15" s="94">
        <f t="shared" si="9"/>
        <v>0</v>
      </c>
      <c r="S15" s="71"/>
      <c r="T15" s="61"/>
      <c r="U15" s="13"/>
      <c r="X15" s="104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24">
        <f t="shared" si="8"/>
        <v>0</v>
      </c>
      <c r="P16" s="127">
        <f t="shared" si="4"/>
        <v>0</v>
      </c>
      <c r="Q16" s="5">
        <f t="shared" si="5"/>
        <v>0</v>
      </c>
      <c r="R16" s="94">
        <f t="shared" si="9"/>
        <v>0</v>
      </c>
      <c r="S16" s="71"/>
      <c r="T16" s="61">
        <v>1.6</v>
      </c>
      <c r="U16" s="13">
        <f t="shared" ref="U16:U17" si="11">+R16*T16</f>
        <v>0</v>
      </c>
      <c r="X16" s="104"/>
    </row>
    <row r="17" spans="1:25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24">
        <f t="shared" si="8"/>
        <v>0</v>
      </c>
      <c r="P17" s="127">
        <f t="shared" si="4"/>
        <v>0</v>
      </c>
      <c r="Q17" s="5">
        <f t="shared" si="5"/>
        <v>0</v>
      </c>
      <c r="R17" s="94">
        <f t="shared" si="9"/>
        <v>0</v>
      </c>
      <c r="S17" s="71"/>
      <c r="T17" s="61">
        <v>2.56</v>
      </c>
      <c r="U17" s="13">
        <f t="shared" si="11"/>
        <v>0</v>
      </c>
      <c r="X17" s="104"/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47234.299999999996</v>
      </c>
      <c r="F18" s="231">
        <f t="shared" ref="F18:N18" si="12">+SUM(F19:F43)</f>
        <v>2113338.4499999997</v>
      </c>
      <c r="G18" s="231">
        <f t="shared" si="12"/>
        <v>321315.95999999996</v>
      </c>
      <c r="H18" s="231">
        <f t="shared" si="12"/>
        <v>59977.249999999993</v>
      </c>
      <c r="I18" s="231">
        <f t="shared" si="12"/>
        <v>0</v>
      </c>
      <c r="J18" s="231">
        <f t="shared" si="12"/>
        <v>0</v>
      </c>
      <c r="K18" s="231">
        <f t="shared" si="12"/>
        <v>0</v>
      </c>
      <c r="L18" s="231">
        <f t="shared" si="12"/>
        <v>0</v>
      </c>
      <c r="M18" s="231">
        <f t="shared" si="12"/>
        <v>2402.0700000000002</v>
      </c>
      <c r="N18" s="238">
        <f t="shared" si="12"/>
        <v>233782.25000000003</v>
      </c>
      <c r="O18" s="42">
        <f>+SUM(O19:O43)</f>
        <v>2778050.2800000003</v>
      </c>
      <c r="P18" s="42">
        <f t="shared" ref="P18:R18" si="13">+SUM(P19:P43)</f>
        <v>2548669.9816513769</v>
      </c>
      <c r="Q18" s="42">
        <f t="shared" si="13"/>
        <v>229380.29834862406</v>
      </c>
      <c r="R18" s="42">
        <f t="shared" si="13"/>
        <v>52073.363453703707</v>
      </c>
      <c r="S18" s="71"/>
      <c r="T18" s="61"/>
      <c r="U18" s="105">
        <f>+SUM(U19:U42)</f>
        <v>2416474.5299999998</v>
      </c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28480</v>
      </c>
      <c r="F19" s="127">
        <v>1218600</v>
      </c>
      <c r="G19" s="127">
        <v>178660</v>
      </c>
      <c r="H19" s="127">
        <f>31383.33+180</f>
        <v>31563.33</v>
      </c>
      <c r="I19" s="127"/>
      <c r="J19" s="127"/>
      <c r="K19" s="127"/>
      <c r="L19" s="127"/>
      <c r="M19" s="127">
        <v>1330</v>
      </c>
      <c r="N19" s="127">
        <v>113886.67</v>
      </c>
      <c r="O19" s="24">
        <f t="shared" ref="O19:O43" si="14">+SUM(E19:N19)</f>
        <v>1572520</v>
      </c>
      <c r="P19" s="127">
        <f t="shared" si="4"/>
        <v>1442678.8990825687</v>
      </c>
      <c r="Q19" s="24">
        <f>+O19-P19</f>
        <v>129841.10091743129</v>
      </c>
      <c r="R19" s="94">
        <f t="shared" ref="R19:R43" si="15">+O19/D19</f>
        <v>15725.2</v>
      </c>
      <c r="S19" s="71"/>
      <c r="T19" s="61"/>
      <c r="U19" s="106"/>
      <c r="V19" s="112"/>
      <c r="W19" s="102"/>
      <c r="X19"/>
      <c r="Y19" s="2"/>
    </row>
    <row r="20" spans="1:25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v>4436.67</v>
      </c>
      <c r="F20" s="127">
        <v>337641.67</v>
      </c>
      <c r="G20" s="127">
        <v>46801.67</v>
      </c>
      <c r="H20" s="127">
        <f>10613.33+36.67</f>
        <v>10650</v>
      </c>
      <c r="I20" s="127"/>
      <c r="J20" s="127"/>
      <c r="K20" s="127"/>
      <c r="L20" s="127"/>
      <c r="M20" s="127">
        <v>691.67</v>
      </c>
      <c r="N20" s="127">
        <v>6468.33</v>
      </c>
      <c r="O20" s="24">
        <f t="shared" si="14"/>
        <v>406690.00999999995</v>
      </c>
      <c r="P20" s="127">
        <f t="shared" si="4"/>
        <v>373110.10091743112</v>
      </c>
      <c r="Q20" s="5">
        <f t="shared" ref="Q20:Q43" si="16">+O20-P20</f>
        <v>33579.909082568833</v>
      </c>
      <c r="R20" s="94">
        <f t="shared" si="15"/>
        <v>8133.8001999999988</v>
      </c>
      <c r="S20" s="71"/>
      <c r="T20" s="61">
        <v>50</v>
      </c>
      <c r="U20" s="13">
        <f t="shared" ref="U20:U21" si="17">+R20*T20</f>
        <v>406690.00999999995</v>
      </c>
      <c r="V20" s="112"/>
      <c r="W20" s="102"/>
      <c r="Y20" s="2"/>
    </row>
    <row r="21" spans="1:25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854+7588</f>
        <v>8442</v>
      </c>
      <c r="F21" s="127">
        <f>4444+336907.33</f>
        <v>341351.33</v>
      </c>
      <c r="G21" s="127">
        <f>727.33+61013.33</f>
        <v>61740.66</v>
      </c>
      <c r="H21" s="127">
        <f>5184+10</f>
        <v>5194</v>
      </c>
      <c r="I21" s="2"/>
      <c r="J21" s="127"/>
      <c r="K21" s="127"/>
      <c r="L21" s="127"/>
      <c r="M21" s="127">
        <v>111.33</v>
      </c>
      <c r="N21" s="127">
        <f>421.33+35176</f>
        <v>35597.33</v>
      </c>
      <c r="O21" s="24">
        <f t="shared" si="14"/>
        <v>452436.65</v>
      </c>
      <c r="P21" s="127">
        <f t="shared" si="4"/>
        <v>415079.495412844</v>
      </c>
      <c r="Q21" s="5">
        <f t="shared" si="16"/>
        <v>37357.154587156023</v>
      </c>
      <c r="R21" s="94">
        <f t="shared" si="15"/>
        <v>22621.8325</v>
      </c>
      <c r="S21" s="71"/>
      <c r="T21" s="61">
        <v>80</v>
      </c>
      <c r="U21" s="13">
        <f t="shared" si="17"/>
        <v>1809746.6</v>
      </c>
      <c r="V21" s="112"/>
      <c r="W21" s="102"/>
      <c r="Y21" s="2"/>
    </row>
    <row r="22" spans="1:25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v>4041</v>
      </c>
      <c r="F22" s="127">
        <v>165627</v>
      </c>
      <c r="G22" s="127">
        <v>27234</v>
      </c>
      <c r="H22" s="127">
        <f>7137+42</f>
        <v>7179</v>
      </c>
      <c r="I22" s="127"/>
      <c r="J22" s="127"/>
      <c r="K22" s="127"/>
      <c r="L22" s="127"/>
      <c r="M22" s="127">
        <v>171</v>
      </c>
      <c r="N22" s="127">
        <v>48561</v>
      </c>
      <c r="O22" s="24">
        <f t="shared" si="14"/>
        <v>252813</v>
      </c>
      <c r="P22" s="127">
        <f t="shared" si="4"/>
        <v>231938.53211009174</v>
      </c>
      <c r="Q22" s="5">
        <f t="shared" si="16"/>
        <v>20874.467889908265</v>
      </c>
      <c r="R22" s="94">
        <f t="shared" si="15"/>
        <v>2809.0333333333333</v>
      </c>
      <c r="S22" s="71"/>
      <c r="T22" s="61"/>
      <c r="U22" s="13"/>
      <c r="V22" s="112"/>
      <c r="W22" s="102"/>
      <c r="Y22" s="2"/>
    </row>
    <row r="23" spans="1:25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v>166.5</v>
      </c>
      <c r="F23" s="127">
        <v>9063</v>
      </c>
      <c r="G23" s="127">
        <v>1557</v>
      </c>
      <c r="H23" s="127">
        <f>522+4.5</f>
        <v>526.5</v>
      </c>
      <c r="I23" s="127"/>
      <c r="J23" s="127"/>
      <c r="K23" s="127"/>
      <c r="L23" s="127"/>
      <c r="M23" s="127"/>
      <c r="N23" s="127">
        <v>2118</v>
      </c>
      <c r="O23" s="24">
        <f t="shared" si="14"/>
        <v>13431</v>
      </c>
      <c r="P23" s="127">
        <f t="shared" si="4"/>
        <v>12322.018348623853</v>
      </c>
      <c r="Q23" s="5">
        <f t="shared" si="16"/>
        <v>1108.9816513761471</v>
      </c>
      <c r="R23" s="94">
        <f t="shared" si="15"/>
        <v>298.46666666666664</v>
      </c>
      <c r="S23" s="71"/>
      <c r="T23" s="61">
        <v>45</v>
      </c>
      <c r="U23" s="13">
        <f t="shared" ref="U23:U24" si="18">+R23*T23</f>
        <v>13430.999999999998</v>
      </c>
      <c r="V23" s="112"/>
      <c r="W23" s="102"/>
      <c r="Y23" s="2"/>
    </row>
    <row r="24" spans="1:25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55.2+308.4</f>
        <v>363.59999999999997</v>
      </c>
      <c r="F24" s="127">
        <f>102.6+7745.4</f>
        <v>7848</v>
      </c>
      <c r="G24" s="127">
        <v>1248.5999999999999</v>
      </c>
      <c r="H24" s="127">
        <f>147.6+0.6</f>
        <v>148.19999999999999</v>
      </c>
      <c r="I24" s="127"/>
      <c r="J24" s="127"/>
      <c r="K24" s="127"/>
      <c r="L24" s="127"/>
      <c r="M24" s="127">
        <f>15.6+61.8</f>
        <v>77.399999999999991</v>
      </c>
      <c r="N24" s="127">
        <f>100.2+2643</f>
        <v>2743.2</v>
      </c>
      <c r="O24" s="24">
        <f t="shared" si="14"/>
        <v>12429</v>
      </c>
      <c r="P24" s="127">
        <f t="shared" si="4"/>
        <v>11402.752293577982</v>
      </c>
      <c r="Q24" s="5">
        <f t="shared" si="16"/>
        <v>1026.2477064220184</v>
      </c>
      <c r="R24" s="94">
        <f t="shared" si="15"/>
        <v>690.5</v>
      </c>
      <c r="S24" s="71"/>
      <c r="T24" s="61">
        <v>72</v>
      </c>
      <c r="U24" s="13">
        <f t="shared" si="18"/>
        <v>49716</v>
      </c>
      <c r="V24" s="112"/>
      <c r="W24" s="102"/>
      <c r="Y24" s="2"/>
    </row>
    <row r="25" spans="1:25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7">
        <v>103.33</v>
      </c>
      <c r="F25" s="127">
        <v>3340</v>
      </c>
      <c r="G25" s="127">
        <v>303.33</v>
      </c>
      <c r="H25" s="127">
        <f>206.67+30</f>
        <v>236.67</v>
      </c>
      <c r="I25" s="127"/>
      <c r="J25" s="127"/>
      <c r="K25" s="127"/>
      <c r="L25" s="127"/>
      <c r="M25" s="127"/>
      <c r="N25" s="127">
        <v>3246.67</v>
      </c>
      <c r="O25" s="24">
        <f t="shared" si="14"/>
        <v>7230</v>
      </c>
      <c r="P25" s="127">
        <f t="shared" si="4"/>
        <v>6633.0275229357794</v>
      </c>
      <c r="Q25" s="5">
        <f t="shared" si="16"/>
        <v>596.97247706422058</v>
      </c>
      <c r="R25" s="94">
        <f t="shared" si="15"/>
        <v>24.1</v>
      </c>
      <c r="S25" s="71"/>
      <c r="T25" s="61"/>
      <c r="U25" s="13"/>
      <c r="V25" s="112"/>
      <c r="W25" s="102"/>
    </row>
    <row r="26" spans="1:25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3586.67</v>
      </c>
      <c r="G26" s="127">
        <v>273.33</v>
      </c>
      <c r="H26" s="127">
        <f>258.33+155+180</f>
        <v>593.32999999999993</v>
      </c>
      <c r="I26" s="127"/>
      <c r="J26" s="127"/>
      <c r="K26" s="127"/>
      <c r="L26" s="127"/>
      <c r="M26" s="127"/>
      <c r="N26" s="127">
        <v>661.67</v>
      </c>
      <c r="O26" s="24">
        <f t="shared" si="14"/>
        <v>5115</v>
      </c>
      <c r="P26" s="127">
        <f t="shared" si="4"/>
        <v>4692.6605504587151</v>
      </c>
      <c r="Q26" s="5">
        <f t="shared" si="16"/>
        <v>422.33944954128492</v>
      </c>
      <c r="R26" s="94">
        <f t="shared" si="15"/>
        <v>34.1</v>
      </c>
      <c r="S26" s="71"/>
      <c r="T26" s="61">
        <v>150</v>
      </c>
      <c r="U26" s="13">
        <f t="shared" ref="U26:U42" si="19">+R26*T26</f>
        <v>5115</v>
      </c>
      <c r="V26" s="112"/>
      <c r="W26" s="102"/>
    </row>
    <row r="27" spans="1:2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81.33+274</f>
        <v>355.33</v>
      </c>
      <c r="F27" s="127">
        <f>170.67+10566.67</f>
        <v>10737.34</v>
      </c>
      <c r="G27" s="127">
        <f>0.67+1660.67</f>
        <v>1661.3400000000001</v>
      </c>
      <c r="H27" s="127">
        <f>268.67+330.67+59.33</f>
        <v>658.67000000000007</v>
      </c>
      <c r="I27" s="127"/>
      <c r="J27" s="127"/>
      <c r="K27" s="127"/>
      <c r="L27" s="127"/>
      <c r="M27" s="127">
        <v>20.67</v>
      </c>
      <c r="N27" s="127">
        <f>156+9202.67</f>
        <v>9358.67</v>
      </c>
      <c r="O27" s="24">
        <f t="shared" si="14"/>
        <v>22792.02</v>
      </c>
      <c r="P27" s="127">
        <f t="shared" si="4"/>
        <v>20910.110091743118</v>
      </c>
      <c r="Q27" s="5">
        <f t="shared" si="16"/>
        <v>1881.9099082568828</v>
      </c>
      <c r="R27" s="94">
        <f t="shared" si="15"/>
        <v>379.86700000000002</v>
      </c>
      <c r="S27" s="71"/>
      <c r="T27" s="61">
        <v>240</v>
      </c>
      <c r="U27" s="13">
        <f t="shared" si="19"/>
        <v>91168.08</v>
      </c>
    </row>
    <row r="28" spans="1:25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621</v>
      </c>
      <c r="G28" s="127">
        <v>93</v>
      </c>
      <c r="H28" s="127">
        <f>279+372</f>
        <v>651</v>
      </c>
      <c r="I28" s="127"/>
      <c r="J28" s="127"/>
      <c r="K28" s="127"/>
      <c r="L28" s="127"/>
      <c r="M28" s="127"/>
      <c r="N28" s="127">
        <v>4401</v>
      </c>
      <c r="O28" s="24">
        <f t="shared" si="14"/>
        <v>5766</v>
      </c>
      <c r="P28" s="127">
        <f t="shared" si="4"/>
        <v>5289.9082568807335</v>
      </c>
      <c r="Q28" s="5">
        <f t="shared" si="16"/>
        <v>476.09174311926654</v>
      </c>
      <c r="R28" s="94">
        <f t="shared" si="15"/>
        <v>21.355555555555554</v>
      </c>
      <c r="S28" s="71"/>
      <c r="T28" s="61"/>
      <c r="U28" s="13"/>
    </row>
    <row r="29" spans="1:25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84</v>
      </c>
      <c r="G29" s="127"/>
      <c r="H29" s="127">
        <v>46.5</v>
      </c>
      <c r="I29" s="127"/>
      <c r="J29" s="127"/>
      <c r="K29" s="127"/>
      <c r="L29" s="127"/>
      <c r="M29" s="127"/>
      <c r="N29" s="127">
        <v>93</v>
      </c>
      <c r="O29" s="24">
        <f t="shared" si="14"/>
        <v>223.5</v>
      </c>
      <c r="P29" s="127">
        <f t="shared" si="4"/>
        <v>205.04587155963301</v>
      </c>
      <c r="Q29" s="5">
        <f t="shared" si="16"/>
        <v>18.454128440366986</v>
      </c>
      <c r="R29" s="94">
        <f t="shared" si="15"/>
        <v>1.6555555555555554</v>
      </c>
      <c r="S29" s="71"/>
      <c r="T29" s="61">
        <v>135</v>
      </c>
      <c r="U29" s="13">
        <f t="shared" si="19"/>
        <v>223.49999999999997</v>
      </c>
    </row>
    <row r="30" spans="1:25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56.4</v>
      </c>
      <c r="F30" s="127">
        <v>259.8</v>
      </c>
      <c r="G30" s="127">
        <v>19.8</v>
      </c>
      <c r="H30" s="127">
        <f>18.6+55.8</f>
        <v>74.400000000000006</v>
      </c>
      <c r="I30" s="127"/>
      <c r="J30" s="127"/>
      <c r="K30" s="127"/>
      <c r="L30" s="127"/>
      <c r="M30" s="127"/>
      <c r="N30" s="127">
        <f>55.8+903.6</f>
        <v>959.4</v>
      </c>
      <c r="O30" s="24">
        <f t="shared" si="14"/>
        <v>1369.8</v>
      </c>
      <c r="P30" s="127">
        <f t="shared" si="4"/>
        <v>1256.6972477064219</v>
      </c>
      <c r="Q30" s="5">
        <f t="shared" si="16"/>
        <v>113.10275229357808</v>
      </c>
      <c r="R30" s="94">
        <f t="shared" si="15"/>
        <v>25.366666666666667</v>
      </c>
      <c r="S30" s="71"/>
      <c r="T30" s="61">
        <v>216</v>
      </c>
      <c r="U30" s="13">
        <f t="shared" si="19"/>
        <v>5479.2</v>
      </c>
    </row>
    <row r="31" spans="1:2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103.33</v>
      </c>
      <c r="F31" s="127">
        <v>280</v>
      </c>
      <c r="G31" s="127">
        <v>103.33</v>
      </c>
      <c r="H31" s="127">
        <v>206.67</v>
      </c>
      <c r="I31" s="127"/>
      <c r="J31" s="127"/>
      <c r="K31" s="127"/>
      <c r="L31" s="127"/>
      <c r="M31" s="127"/>
      <c r="N31" s="127">
        <v>176.67</v>
      </c>
      <c r="O31" s="24">
        <f t="shared" si="14"/>
        <v>869.99999999999989</v>
      </c>
      <c r="P31" s="127">
        <f t="shared" si="4"/>
        <v>798.16513761467877</v>
      </c>
      <c r="Q31" s="5">
        <f t="shared" si="16"/>
        <v>71.834862385321117</v>
      </c>
      <c r="R31" s="94">
        <f t="shared" si="15"/>
        <v>1.4499999999999997</v>
      </c>
      <c r="S31" s="71"/>
      <c r="T31" s="61"/>
      <c r="U31" s="13"/>
    </row>
    <row r="32" spans="1:2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511.67</v>
      </c>
      <c r="G32" s="127">
        <v>51.67</v>
      </c>
      <c r="H32" s="127">
        <f>51.67+30+51.67+51.67</f>
        <v>185.01</v>
      </c>
      <c r="I32" s="127"/>
      <c r="J32" s="127"/>
      <c r="K32" s="127"/>
      <c r="L32" s="127"/>
      <c r="M32" s="127"/>
      <c r="N32" s="127">
        <v>206.67</v>
      </c>
      <c r="O32" s="24">
        <f t="shared" si="14"/>
        <v>955.02</v>
      </c>
      <c r="P32" s="127">
        <f t="shared" si="4"/>
        <v>876.16513761467877</v>
      </c>
      <c r="Q32" s="5">
        <f t="shared" si="16"/>
        <v>78.854862385321212</v>
      </c>
      <c r="R32" s="94">
        <f t="shared" si="15"/>
        <v>3.1833999999999998</v>
      </c>
      <c r="S32" s="71"/>
      <c r="T32" s="61">
        <v>300</v>
      </c>
      <c r="U32" s="13">
        <f t="shared" si="19"/>
        <v>955.02</v>
      </c>
    </row>
    <row r="33" spans="1:2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41.33</v>
      </c>
      <c r="F33" s="127">
        <f>101.33+1528</f>
        <v>1629.33</v>
      </c>
      <c r="G33" s="127">
        <v>192.67</v>
      </c>
      <c r="H33" s="127">
        <f>4.67+20.67+41.33</f>
        <v>66.67</v>
      </c>
      <c r="I33" s="127"/>
      <c r="J33" s="127"/>
      <c r="K33" s="127"/>
      <c r="L33" s="127"/>
      <c r="M33" s="127"/>
      <c r="N33" s="127">
        <f>48+1621.33</f>
        <v>1669.33</v>
      </c>
      <c r="O33" s="24">
        <f t="shared" si="14"/>
        <v>3599.33</v>
      </c>
      <c r="P33" s="127">
        <f t="shared" si="4"/>
        <v>3302.1376146788989</v>
      </c>
      <c r="Q33" s="5">
        <f t="shared" si="16"/>
        <v>297.19238532110103</v>
      </c>
      <c r="R33" s="94">
        <f t="shared" si="15"/>
        <v>29.994416666666666</v>
      </c>
      <c r="S33" s="71"/>
      <c r="T33" s="61">
        <v>480</v>
      </c>
      <c r="U33" s="13">
        <f t="shared" si="19"/>
        <v>14397.32</v>
      </c>
    </row>
    <row r="34" spans="1:2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1302</v>
      </c>
      <c r="O34" s="24">
        <f t="shared" si="14"/>
        <v>1302</v>
      </c>
      <c r="P34" s="127">
        <f t="shared" si="4"/>
        <v>1194.4954128440365</v>
      </c>
      <c r="Q34" s="5">
        <f t="shared" si="16"/>
        <v>107.50458715596346</v>
      </c>
      <c r="R34" s="94">
        <f t="shared" si="15"/>
        <v>2.411111111111111</v>
      </c>
      <c r="S34" s="71"/>
      <c r="T34" s="61"/>
      <c r="U34" s="13"/>
    </row>
    <row r="35" spans="1:2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24">
        <f t="shared" si="14"/>
        <v>0</v>
      </c>
      <c r="P35" s="127">
        <f t="shared" si="4"/>
        <v>0</v>
      </c>
      <c r="Q35" s="5">
        <f t="shared" si="16"/>
        <v>0</v>
      </c>
      <c r="R35" s="94">
        <f t="shared" si="15"/>
        <v>0</v>
      </c>
      <c r="S35" s="71"/>
      <c r="T35" s="61">
        <v>270</v>
      </c>
      <c r="U35" s="13">
        <f t="shared" si="19"/>
        <v>0</v>
      </c>
    </row>
    <row r="36" spans="1:2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37.200000000000003</v>
      </c>
      <c r="F36" s="127">
        <v>75</v>
      </c>
      <c r="G36" s="127">
        <v>6</v>
      </c>
      <c r="H36" s="127"/>
      <c r="I36" s="127"/>
      <c r="J36" s="127"/>
      <c r="K36" s="127"/>
      <c r="L36" s="127"/>
      <c r="M36" s="127"/>
      <c r="N36" s="127">
        <v>220.8</v>
      </c>
      <c r="O36" s="24">
        <f t="shared" si="14"/>
        <v>339</v>
      </c>
      <c r="P36" s="127">
        <f t="shared" si="4"/>
        <v>311.00917431192659</v>
      </c>
      <c r="Q36" s="5">
        <f t="shared" si="16"/>
        <v>27.990825688073414</v>
      </c>
      <c r="R36" s="94">
        <f t="shared" si="15"/>
        <v>3.1388888888888888</v>
      </c>
      <c r="S36" s="71"/>
      <c r="T36" s="61">
        <v>432</v>
      </c>
      <c r="U36" s="13">
        <f t="shared" si="19"/>
        <v>1356</v>
      </c>
    </row>
    <row r="37" spans="1:2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310</v>
      </c>
      <c r="F37" s="127">
        <v>103.33</v>
      </c>
      <c r="G37" s="127"/>
      <c r="H37" s="127">
        <v>90</v>
      </c>
      <c r="I37" s="127"/>
      <c r="J37" s="127"/>
      <c r="K37" s="127"/>
      <c r="L37" s="127"/>
      <c r="M37" s="127"/>
      <c r="N37" s="127">
        <v>103.33</v>
      </c>
      <c r="O37" s="24">
        <f t="shared" si="14"/>
        <v>606.66</v>
      </c>
      <c r="P37" s="127">
        <f t="shared" si="4"/>
        <v>556.56880733944945</v>
      </c>
      <c r="Q37" s="5">
        <f t="shared" si="16"/>
        <v>50.091192660550519</v>
      </c>
      <c r="R37" s="94">
        <f t="shared" si="15"/>
        <v>0.67406666666666659</v>
      </c>
      <c r="S37" s="71"/>
      <c r="T37" s="61"/>
      <c r="U37" s="13"/>
    </row>
    <row r="38" spans="1:2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51.67</v>
      </c>
      <c r="F38" s="127">
        <v>88.33</v>
      </c>
      <c r="G38" s="127">
        <v>45</v>
      </c>
      <c r="H38" s="127"/>
      <c r="I38" s="127"/>
      <c r="J38" s="127"/>
      <c r="K38" s="127"/>
      <c r="L38" s="127"/>
      <c r="M38" s="127"/>
      <c r="N38" s="127"/>
      <c r="O38" s="24">
        <f t="shared" si="14"/>
        <v>185</v>
      </c>
      <c r="P38" s="127">
        <f t="shared" si="4"/>
        <v>169.72477064220183</v>
      </c>
      <c r="Q38" s="5">
        <f t="shared" si="16"/>
        <v>15.275229357798167</v>
      </c>
      <c r="R38" s="94">
        <f t="shared" si="15"/>
        <v>0.41111111111111109</v>
      </c>
      <c r="S38" s="71"/>
      <c r="T38" s="61">
        <v>450</v>
      </c>
      <c r="U38" s="13">
        <f t="shared" si="19"/>
        <v>185</v>
      </c>
    </row>
    <row r="39" spans="1:2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20.67+82.67</f>
        <v>103.34</v>
      </c>
      <c r="F39" s="127">
        <f>82.67+2221.33</f>
        <v>2304</v>
      </c>
      <c r="G39" s="127">
        <v>103.33</v>
      </c>
      <c r="H39" s="127">
        <f>20.67+20.67+82.67+62+20.67+20.67</f>
        <v>227.35000000000002</v>
      </c>
      <c r="I39" s="127"/>
      <c r="J39" s="127"/>
      <c r="K39" s="127"/>
      <c r="L39" s="127"/>
      <c r="M39" s="127"/>
      <c r="N39" s="127">
        <f>62+1219.33</f>
        <v>1281.33</v>
      </c>
      <c r="O39" s="24">
        <f t="shared" si="14"/>
        <v>4019.35</v>
      </c>
      <c r="P39" s="127">
        <f t="shared" si="4"/>
        <v>3687.4770642201829</v>
      </c>
      <c r="Q39" s="5">
        <f t="shared" si="16"/>
        <v>331.872935779817</v>
      </c>
      <c r="R39" s="94">
        <f t="shared" si="15"/>
        <v>22.329722222222223</v>
      </c>
      <c r="S39" s="71"/>
      <c r="T39" s="61">
        <v>720</v>
      </c>
      <c r="U39" s="13">
        <f t="shared" si="19"/>
        <v>16077.400000000001</v>
      </c>
    </row>
    <row r="40" spans="1:2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465</v>
      </c>
      <c r="O40" s="24">
        <f t="shared" si="14"/>
        <v>465</v>
      </c>
      <c r="P40" s="127">
        <f t="shared" si="4"/>
        <v>426.60550458715591</v>
      </c>
      <c r="Q40" s="5">
        <f t="shared" si="16"/>
        <v>38.394495412844094</v>
      </c>
      <c r="R40" s="94">
        <f t="shared" si="15"/>
        <v>0.57407407407407407</v>
      </c>
      <c r="S40" s="71"/>
      <c r="T40" s="61"/>
      <c r="U40" s="13"/>
    </row>
    <row r="41" spans="1:2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24">
        <f t="shared" si="14"/>
        <v>0</v>
      </c>
      <c r="P41" s="127">
        <f t="shared" si="4"/>
        <v>0</v>
      </c>
      <c r="Q41" s="5">
        <f t="shared" si="16"/>
        <v>0</v>
      </c>
      <c r="R41" s="94">
        <f t="shared" si="15"/>
        <v>0</v>
      </c>
      <c r="S41" s="71"/>
      <c r="T41" s="61">
        <v>405</v>
      </c>
      <c r="U41" s="13">
        <f t="shared" si="19"/>
        <v>0</v>
      </c>
    </row>
    <row r="42" spans="1:2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>
        <v>18.600000000000001</v>
      </c>
      <c r="F42" s="221">
        <v>204.6</v>
      </c>
      <c r="G42" s="221">
        <v>18.600000000000001</v>
      </c>
      <c r="H42" s="221"/>
      <c r="I42" s="221"/>
      <c r="J42" s="221"/>
      <c r="K42" s="221"/>
      <c r="L42" s="221"/>
      <c r="M42" s="221"/>
      <c r="N42" s="221">
        <f>18.6+223.2</f>
        <v>241.79999999999998</v>
      </c>
      <c r="O42" s="243">
        <f t="shared" si="14"/>
        <v>483.59999999999997</v>
      </c>
      <c r="P42" s="221">
        <f t="shared" si="4"/>
        <v>443.66972477064212</v>
      </c>
      <c r="Q42" s="26">
        <f t="shared" si="16"/>
        <v>39.930275229357846</v>
      </c>
      <c r="R42" s="244">
        <f t="shared" si="15"/>
        <v>2.9851851851851849</v>
      </c>
      <c r="S42" s="71"/>
      <c r="T42" s="61">
        <v>648</v>
      </c>
      <c r="U42" s="13">
        <f t="shared" si="19"/>
        <v>1934.3999999999999</v>
      </c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124</v>
      </c>
      <c r="F43" s="124">
        <v>9382.3799999999992</v>
      </c>
      <c r="G43" s="124">
        <v>1202.6300000000001</v>
      </c>
      <c r="H43" s="124">
        <f>262.44+1417.51</f>
        <v>1679.95</v>
      </c>
      <c r="I43" s="124"/>
      <c r="J43" s="124"/>
      <c r="K43" s="124"/>
      <c r="L43" s="124"/>
      <c r="M43" s="124"/>
      <c r="N43" s="124">
        <v>20.38</v>
      </c>
      <c r="O43" s="6">
        <f t="shared" si="14"/>
        <v>12409.339999999998</v>
      </c>
      <c r="P43" s="124">
        <f t="shared" si="4"/>
        <v>11384.715596330272</v>
      </c>
      <c r="Q43" s="6">
        <f t="shared" si="16"/>
        <v>1024.6244036697262</v>
      </c>
      <c r="R43" s="22">
        <f t="shared" si="15"/>
        <v>1240.9339999999997</v>
      </c>
      <c r="S43" s="71"/>
      <c r="T43" s="61"/>
      <c r="U43" s="13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102.5</v>
      </c>
      <c r="F44" s="82">
        <f>+SUM(F45:F53)</f>
        <v>8697.57</v>
      </c>
      <c r="G44" s="82">
        <f t="shared" ref="G44:R44" si="20">+SUM(G45:G53)</f>
        <v>1723</v>
      </c>
      <c r="H44" s="82">
        <f t="shared" si="20"/>
        <v>442.59000000000003</v>
      </c>
      <c r="I44" s="82">
        <f t="shared" si="20"/>
        <v>0</v>
      </c>
      <c r="J44" s="82">
        <f t="shared" si="20"/>
        <v>0</v>
      </c>
      <c r="K44" s="82">
        <f t="shared" si="20"/>
        <v>0</v>
      </c>
      <c r="L44" s="82">
        <f t="shared" si="20"/>
        <v>0</v>
      </c>
      <c r="M44" s="100">
        <f t="shared" si="20"/>
        <v>0</v>
      </c>
      <c r="N44" s="100">
        <f t="shared" si="20"/>
        <v>916.1</v>
      </c>
      <c r="O44" s="42">
        <f>+SUM(O45:O53)</f>
        <v>11881.76</v>
      </c>
      <c r="P44" s="82">
        <f t="shared" si="20"/>
        <v>10900.697247706421</v>
      </c>
      <c r="Q44" s="77">
        <f t="shared" si="20"/>
        <v>981.06275229357857</v>
      </c>
      <c r="R44" s="44">
        <f t="shared" si="20"/>
        <v>486.69999999999993</v>
      </c>
      <c r="S44" s="71"/>
      <c r="T44" s="61"/>
      <c r="U44" s="105">
        <f>+SUM(U45:U61)</f>
        <v>5592.9400000000005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24">
        <f t="shared" ref="O45:O53" si="21">+SUM(E45:N45)</f>
        <v>0</v>
      </c>
      <c r="P45" s="127">
        <f t="shared" si="4"/>
        <v>0</v>
      </c>
      <c r="Q45" s="24">
        <f t="shared" ref="Q45:Q53" si="22">+O45-P45</f>
        <v>0</v>
      </c>
      <c r="R45" s="94">
        <f t="shared" ref="R45:R53" si="23">+O45/D45</f>
        <v>0</v>
      </c>
      <c r="S45" s="71"/>
      <c r="T45" s="61"/>
      <c r="U45" s="13"/>
      <c r="W45"/>
      <c r="X45"/>
    </row>
    <row r="46" spans="1:2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24">
        <f t="shared" si="21"/>
        <v>0</v>
      </c>
      <c r="P46" s="127">
        <f t="shared" si="4"/>
        <v>0</v>
      </c>
      <c r="Q46" s="5">
        <f t="shared" si="22"/>
        <v>0</v>
      </c>
      <c r="R46" s="94">
        <f t="shared" si="23"/>
        <v>0</v>
      </c>
      <c r="S46" s="71"/>
      <c r="T46" s="61">
        <v>6</v>
      </c>
      <c r="U46" s="13">
        <f t="shared" ref="U46:U47" si="24">+R46*T46</f>
        <v>0</v>
      </c>
    </row>
    <row r="47" spans="1:2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24">
        <f t="shared" si="21"/>
        <v>0</v>
      </c>
      <c r="P47" s="127">
        <f t="shared" si="4"/>
        <v>0</v>
      </c>
      <c r="Q47" s="5">
        <f t="shared" si="22"/>
        <v>0</v>
      </c>
      <c r="R47" s="94">
        <f t="shared" si="23"/>
        <v>0</v>
      </c>
      <c r="S47" s="71"/>
      <c r="T47" s="61">
        <v>9.6</v>
      </c>
      <c r="U47" s="13">
        <f t="shared" si="24"/>
        <v>0</v>
      </c>
    </row>
    <row r="48" spans="1:2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/>
      <c r="F48" s="127">
        <v>441</v>
      </c>
      <c r="G48" s="127">
        <v>49</v>
      </c>
      <c r="H48" s="127">
        <v>56</v>
      </c>
      <c r="I48" s="127"/>
      <c r="J48" s="127"/>
      <c r="K48" s="127"/>
      <c r="L48" s="127"/>
      <c r="M48" s="127"/>
      <c r="N48" s="127">
        <v>14</v>
      </c>
      <c r="O48" s="24">
        <f t="shared" si="21"/>
        <v>560</v>
      </c>
      <c r="P48" s="127">
        <f t="shared" si="4"/>
        <v>513.7614678899082</v>
      </c>
      <c r="Q48" s="5">
        <f t="shared" si="22"/>
        <v>46.238532110091796</v>
      </c>
      <c r="R48" s="94">
        <f t="shared" si="23"/>
        <v>26.666666666666668</v>
      </c>
      <c r="S48" s="71"/>
      <c r="T48" s="61"/>
      <c r="U48" s="13"/>
      <c r="W48" s="2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17.5</v>
      </c>
      <c r="G49" s="127">
        <v>3.5</v>
      </c>
      <c r="H49" s="127"/>
      <c r="I49" s="127"/>
      <c r="J49" s="127"/>
      <c r="K49" s="127"/>
      <c r="L49" s="127"/>
      <c r="M49" s="127"/>
      <c r="N49" s="127">
        <v>7</v>
      </c>
      <c r="O49" s="24">
        <f t="shared" si="21"/>
        <v>28</v>
      </c>
      <c r="P49" s="127">
        <f t="shared" si="4"/>
        <v>25.688073394495412</v>
      </c>
      <c r="Q49" s="5">
        <f t="shared" si="22"/>
        <v>2.3119266055045884</v>
      </c>
      <c r="R49" s="94">
        <f t="shared" si="23"/>
        <v>2.6666666666666665</v>
      </c>
      <c r="S49" s="71"/>
      <c r="T49" s="61">
        <v>10.5</v>
      </c>
      <c r="U49" s="13">
        <f t="shared" ref="U49:U50" si="25">+R49*T49</f>
        <v>28</v>
      </c>
      <c r="W49" s="2"/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/>
      <c r="F50" s="127">
        <v>315</v>
      </c>
      <c r="G50" s="127">
        <f>1.4+16.8</f>
        <v>18.2</v>
      </c>
      <c r="H50" s="127">
        <v>9.8000000000000007</v>
      </c>
      <c r="I50" s="127"/>
      <c r="J50" s="127"/>
      <c r="K50" s="127"/>
      <c r="L50" s="127"/>
      <c r="M50" s="127"/>
      <c r="N50" s="127">
        <f>1.4+53.2</f>
        <v>54.6</v>
      </c>
      <c r="O50" s="24">
        <f t="shared" si="21"/>
        <v>397.6</v>
      </c>
      <c r="P50" s="127">
        <f t="shared" si="4"/>
        <v>364.77064220183485</v>
      </c>
      <c r="Q50" s="5">
        <f t="shared" si="22"/>
        <v>32.829357798165177</v>
      </c>
      <c r="R50" s="94">
        <f t="shared" si="23"/>
        <v>94.666666666666671</v>
      </c>
      <c r="S50" s="71"/>
      <c r="T50" s="61">
        <v>16.8</v>
      </c>
      <c r="U50" s="13">
        <f t="shared" si="25"/>
        <v>1590.4</v>
      </c>
      <c r="W50" s="2"/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90.2</v>
      </c>
      <c r="F51" s="127">
        <v>6769.1</v>
      </c>
      <c r="G51" s="127">
        <v>1476</v>
      </c>
      <c r="H51" s="127">
        <v>348.5</v>
      </c>
      <c r="I51" s="127"/>
      <c r="J51" s="127"/>
      <c r="K51" s="127"/>
      <c r="L51" s="127"/>
      <c r="M51" s="127"/>
      <c r="N51" s="127">
        <v>692.9</v>
      </c>
      <c r="O51" s="24">
        <f t="shared" si="21"/>
        <v>9376.6999999999989</v>
      </c>
      <c r="P51" s="127">
        <f t="shared" si="4"/>
        <v>8602.477064220182</v>
      </c>
      <c r="Q51" s="5">
        <f t="shared" si="22"/>
        <v>774.22293577981691</v>
      </c>
      <c r="R51" s="94">
        <f t="shared" si="23"/>
        <v>228.69999999999996</v>
      </c>
      <c r="S51" s="71"/>
      <c r="T51" s="61"/>
      <c r="U51" s="13"/>
      <c r="W51" s="2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4.0999999999999996</v>
      </c>
      <c r="F52" s="123">
        <v>576.04999999999995</v>
      </c>
      <c r="G52" s="123">
        <v>106.6</v>
      </c>
      <c r="H52" s="123">
        <v>14.35</v>
      </c>
      <c r="I52" s="123"/>
      <c r="J52" s="123"/>
      <c r="K52" s="123"/>
      <c r="L52" s="127"/>
      <c r="M52" s="127"/>
      <c r="N52" s="123"/>
      <c r="O52" s="24">
        <f t="shared" si="21"/>
        <v>701.1</v>
      </c>
      <c r="P52" s="127">
        <f t="shared" si="4"/>
        <v>643.21100917431193</v>
      </c>
      <c r="Q52" s="5">
        <f t="shared" si="22"/>
        <v>57.888990825688097</v>
      </c>
      <c r="R52" s="94">
        <f t="shared" si="23"/>
        <v>34.200000000000003</v>
      </c>
      <c r="S52" s="71"/>
      <c r="T52" s="61">
        <v>20.5</v>
      </c>
      <c r="U52" s="13">
        <f t="shared" ref="U52:U53" si="26">+R52*T52</f>
        <v>701.1</v>
      </c>
      <c r="W52" s="2"/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8.1999999999999993</v>
      </c>
      <c r="F53" s="199">
        <f>13.12+565.8</f>
        <v>578.91999999999996</v>
      </c>
      <c r="G53" s="199">
        <v>69.7</v>
      </c>
      <c r="H53" s="199">
        <v>13.94</v>
      </c>
      <c r="I53" s="199"/>
      <c r="J53" s="199"/>
      <c r="K53" s="199"/>
      <c r="L53" s="199"/>
      <c r="M53" s="148"/>
      <c r="N53" s="199">
        <f>3.28+144.32</f>
        <v>147.6</v>
      </c>
      <c r="O53" s="6">
        <f t="shared" si="21"/>
        <v>818.36000000000013</v>
      </c>
      <c r="P53" s="140">
        <f t="shared" si="4"/>
        <v>750.78899082568819</v>
      </c>
      <c r="Q53" s="6">
        <f t="shared" si="22"/>
        <v>67.571009174311939</v>
      </c>
      <c r="R53" s="22">
        <f t="shared" si="23"/>
        <v>99.800000000000026</v>
      </c>
      <c r="S53" s="71"/>
      <c r="T53" s="61">
        <v>32.799999999999997</v>
      </c>
      <c r="U53" s="13">
        <f t="shared" si="26"/>
        <v>3273.4400000000005</v>
      </c>
      <c r="W53" s="2"/>
    </row>
    <row r="54" spans="1:23" x14ac:dyDescent="0.25">
      <c r="F54" s="2"/>
      <c r="G54" s="2"/>
      <c r="H54" s="2"/>
      <c r="I54" s="2"/>
      <c r="J54" s="2"/>
      <c r="K54" s="2"/>
      <c r="L54" s="2"/>
      <c r="O54" s="2"/>
      <c r="P54" s="2"/>
      <c r="Q54" s="2"/>
      <c r="R54" s="2"/>
    </row>
    <row r="66" spans="2:2" x14ac:dyDescent="0.25">
      <c r="B66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X74"/>
  <sheetViews>
    <sheetView zoomScaleNormal="100" workbookViewId="0">
      <pane xSplit="4" ySplit="5" topLeftCell="E16" activePane="bottomRight" state="frozen"/>
      <selection pane="topRight" activeCell="E1" sqref="E1"/>
      <selection pane="bottomLeft" activeCell="A6" sqref="A6"/>
      <selection pane="bottomRight" activeCell="E22" sqref="E22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1093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4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24" s="141" customFormat="1" ht="19.2" customHeight="1" x14ac:dyDescent="0.3">
      <c r="A2" s="40" t="s">
        <v>255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"/>
      <c r="P2" s="1"/>
      <c r="Q2" s="1"/>
      <c r="R2" s="1"/>
      <c r="S2" s="1"/>
      <c r="T2" s="1"/>
      <c r="U2" s="2"/>
      <c r="V2" s="1"/>
      <c r="X2" s="1"/>
    </row>
    <row r="3" spans="1:24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3"/>
      <c r="Q3" s="1"/>
      <c r="R3" s="3"/>
      <c r="S3" s="1"/>
      <c r="T3" s="1"/>
      <c r="U3" s="2"/>
      <c r="V3" s="1"/>
      <c r="X3" s="1"/>
    </row>
    <row r="4" spans="1:24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80" t="s">
        <v>178</v>
      </c>
      <c r="O4" s="590" t="s">
        <v>43</v>
      </c>
      <c r="P4" s="590" t="s">
        <v>44</v>
      </c>
      <c r="Q4" s="590" t="s">
        <v>41</v>
      </c>
      <c r="R4" s="590" t="s">
        <v>149</v>
      </c>
      <c r="S4" s="1"/>
      <c r="T4" s="61"/>
      <c r="U4" s="584" t="s">
        <v>148</v>
      </c>
      <c r="V4" s="1"/>
      <c r="X4" s="1"/>
    </row>
    <row r="5" spans="1:24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207</v>
      </c>
      <c r="M5" s="575"/>
      <c r="N5" s="581"/>
      <c r="O5" s="591"/>
      <c r="P5" s="592"/>
      <c r="Q5" s="592"/>
      <c r="R5" s="592"/>
      <c r="S5" s="1"/>
      <c r="T5" s="87"/>
      <c r="U5" s="585"/>
      <c r="V5" s="1"/>
      <c r="X5" s="1"/>
    </row>
    <row r="6" spans="1:24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R6" si="0">+E7+E19+E45</f>
        <v>111170.68000000001</v>
      </c>
      <c r="F6" s="82">
        <f t="shared" si="0"/>
        <v>4704130.7600000007</v>
      </c>
      <c r="G6" s="82">
        <f t="shared" si="0"/>
        <v>700313.88</v>
      </c>
      <c r="H6" s="82">
        <f t="shared" si="0"/>
        <v>100021.39999999998</v>
      </c>
      <c r="I6" s="82">
        <f t="shared" si="0"/>
        <v>623585.55000000005</v>
      </c>
      <c r="J6" s="187">
        <f t="shared" si="0"/>
        <v>990661</v>
      </c>
      <c r="K6" s="187">
        <f t="shared" si="0"/>
        <v>979081.82000000007</v>
      </c>
      <c r="L6" s="187">
        <f t="shared" si="0"/>
        <v>1591.5399999999543</v>
      </c>
      <c r="M6" s="187">
        <f t="shared" si="0"/>
        <v>22747.88</v>
      </c>
      <c r="N6" s="19">
        <f t="shared" si="0"/>
        <v>414579.79000000004</v>
      </c>
      <c r="O6" s="42">
        <f t="shared" si="0"/>
        <v>8647884.2999999989</v>
      </c>
      <c r="P6" s="42">
        <f t="shared" si="0"/>
        <v>7933838.8073394485</v>
      </c>
      <c r="Q6" s="42">
        <f t="shared" si="0"/>
        <v>714045.4926605511</v>
      </c>
      <c r="R6" s="42">
        <f t="shared" si="0"/>
        <v>2317299.569461111</v>
      </c>
      <c r="S6" s="71"/>
      <c r="T6" s="87"/>
      <c r="U6" s="135">
        <f>+U8+U19+U45</f>
        <v>4848767.0699999994</v>
      </c>
      <c r="V6" s="1"/>
      <c r="X6" s="1"/>
    </row>
    <row r="7" spans="1:24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R7" si="1">+E8+E12</f>
        <v>35395.42</v>
      </c>
      <c r="F7" s="82">
        <f t="shared" si="1"/>
        <v>1623576.58</v>
      </c>
      <c r="G7" s="82">
        <f t="shared" si="1"/>
        <v>234183.84000000003</v>
      </c>
      <c r="H7" s="82">
        <f t="shared" si="1"/>
        <v>33962.339999999997</v>
      </c>
      <c r="I7" s="82">
        <f t="shared" si="1"/>
        <v>623585.55000000005</v>
      </c>
      <c r="J7" s="187">
        <f t="shared" si="1"/>
        <v>990661</v>
      </c>
      <c r="K7" s="187">
        <f t="shared" si="1"/>
        <v>979081.82000000007</v>
      </c>
      <c r="L7" s="187">
        <f t="shared" si="1"/>
        <v>1591.5399999999543</v>
      </c>
      <c r="M7" s="187">
        <f t="shared" si="1"/>
        <v>9323.82</v>
      </c>
      <c r="N7" s="19">
        <f t="shared" si="1"/>
        <v>148045.54</v>
      </c>
      <c r="O7" s="42">
        <f t="shared" si="1"/>
        <v>4679407.45</v>
      </c>
      <c r="P7" s="42">
        <f t="shared" si="1"/>
        <v>4293034.3577981647</v>
      </c>
      <c r="Q7" s="42">
        <f t="shared" si="1"/>
        <v>386373.0922018353</v>
      </c>
      <c r="R7" s="44">
        <f t="shared" si="1"/>
        <v>2218072</v>
      </c>
      <c r="S7" s="1"/>
      <c r="T7" s="61"/>
      <c r="U7" s="13"/>
      <c r="V7" s="1"/>
      <c r="X7" s="1"/>
    </row>
    <row r="8" spans="1:24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2">+SUM(E9:E11)</f>
        <v>0</v>
      </c>
      <c r="F8" s="219">
        <f t="shared" si="2"/>
        <v>0</v>
      </c>
      <c r="G8" s="79">
        <f t="shared" si="2"/>
        <v>0</v>
      </c>
      <c r="H8" s="79">
        <f t="shared" si="2"/>
        <v>0</v>
      </c>
      <c r="I8" s="126">
        <f t="shared" si="2"/>
        <v>623585.55000000005</v>
      </c>
      <c r="J8" s="126">
        <f t="shared" si="2"/>
        <v>990661</v>
      </c>
      <c r="K8" s="79">
        <f t="shared" si="2"/>
        <v>0</v>
      </c>
      <c r="L8" s="79">
        <f t="shared" si="2"/>
        <v>0</v>
      </c>
      <c r="M8" s="79">
        <f t="shared" ref="M8:R8" si="3">+SUM(M9:M11)</f>
        <v>0</v>
      </c>
      <c r="N8" s="79">
        <f t="shared" si="3"/>
        <v>0</v>
      </c>
      <c r="O8" s="43">
        <f t="shared" si="3"/>
        <v>1614246.55</v>
      </c>
      <c r="P8" s="43">
        <f t="shared" si="3"/>
        <v>1480960.1376146788</v>
      </c>
      <c r="Q8" s="43">
        <f t="shared" si="3"/>
        <v>133286.41238532113</v>
      </c>
      <c r="R8" s="45">
        <f t="shared" si="3"/>
        <v>584446</v>
      </c>
      <c r="S8" s="71"/>
      <c r="T8" s="134"/>
      <c r="U8" s="105">
        <f>+SUM(U9:U18)</f>
        <v>1019073.7499999999</v>
      </c>
      <c r="W8" s="138"/>
    </row>
    <row r="9" spans="1:24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456928.5</v>
      </c>
      <c r="J9" s="127">
        <v>739672.5</v>
      </c>
      <c r="K9" s="36"/>
      <c r="L9" s="36"/>
      <c r="M9" s="36"/>
      <c r="N9" s="36"/>
      <c r="O9" s="5">
        <f>+SUM(E9:N9)</f>
        <v>1196601</v>
      </c>
      <c r="P9" s="5">
        <f t="shared" ref="P9:P11" si="4">+O9/1.09</f>
        <v>1097799.0825688073</v>
      </c>
      <c r="Q9" s="5">
        <f t="shared" ref="Q9:Q11" si="5">+O9-P9</f>
        <v>98801.917431192705</v>
      </c>
      <c r="R9" s="21">
        <f>O9/D9</f>
        <v>341886</v>
      </c>
      <c r="S9" s="71"/>
      <c r="T9" s="61"/>
      <c r="U9" s="13"/>
      <c r="V9" s="2"/>
      <c r="X9" s="1"/>
    </row>
    <row r="10" spans="1:24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6">+D9*0.5</f>
        <v>1.75</v>
      </c>
      <c r="E10" s="122"/>
      <c r="F10" s="17"/>
      <c r="G10" s="13"/>
      <c r="H10" s="13"/>
      <c r="I10" s="127">
        <v>163973.25</v>
      </c>
      <c r="J10" s="127">
        <v>249116</v>
      </c>
      <c r="K10" s="143"/>
      <c r="L10" s="143"/>
      <c r="M10" s="143"/>
      <c r="N10" s="143"/>
      <c r="O10" s="5">
        <f>+SUM(E10:N10)</f>
        <v>413089.25</v>
      </c>
      <c r="P10" s="5">
        <f t="shared" si="4"/>
        <v>378980.96330275229</v>
      </c>
      <c r="Q10" s="5">
        <f t="shared" si="5"/>
        <v>34108.286697247706</v>
      </c>
      <c r="R10" s="21">
        <f>O10/D10</f>
        <v>236051</v>
      </c>
      <c r="S10" s="71"/>
      <c r="T10" s="61">
        <v>1.75</v>
      </c>
      <c r="U10" s="13">
        <f>+R10*T10</f>
        <v>413089.25</v>
      </c>
      <c r="V10" s="1"/>
      <c r="X10" s="1"/>
    </row>
    <row r="11" spans="1:24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2683.8</v>
      </c>
      <c r="J11" s="144">
        <v>1872.5</v>
      </c>
      <c r="K11" s="144"/>
      <c r="L11" s="144"/>
      <c r="M11" s="144"/>
      <c r="N11" s="144"/>
      <c r="O11" s="26">
        <f>+SUM(E11:N11)</f>
        <v>4556.3</v>
      </c>
      <c r="P11" s="243">
        <f t="shared" si="4"/>
        <v>4180.0917431192656</v>
      </c>
      <c r="Q11" s="243">
        <f t="shared" si="5"/>
        <v>376.20825688073455</v>
      </c>
      <c r="R11" s="244">
        <f>O11/D11</f>
        <v>6509.0000000000009</v>
      </c>
      <c r="S11" s="71"/>
      <c r="T11" s="107">
        <v>2.8</v>
      </c>
      <c r="U11" s="13">
        <f>+R11*T11</f>
        <v>18225.2</v>
      </c>
      <c r="V11" s="2"/>
      <c r="W11" s="138"/>
      <c r="X11" s="2"/>
    </row>
    <row r="12" spans="1:24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09">
        <f t="shared" ref="E12:R12" si="7">+SUM(E13:E18)</f>
        <v>35395.42</v>
      </c>
      <c r="F12" s="84">
        <f t="shared" si="7"/>
        <v>1623576.58</v>
      </c>
      <c r="G12" s="84">
        <f t="shared" si="7"/>
        <v>234183.84000000003</v>
      </c>
      <c r="H12" s="84">
        <f t="shared" si="7"/>
        <v>33962.339999999997</v>
      </c>
      <c r="I12" s="84">
        <f t="shared" si="7"/>
        <v>0</v>
      </c>
      <c r="J12" s="74">
        <f t="shared" si="7"/>
        <v>0</v>
      </c>
      <c r="K12" s="101">
        <f t="shared" si="7"/>
        <v>979081.82000000007</v>
      </c>
      <c r="L12" s="101">
        <f t="shared" si="7"/>
        <v>1591.5399999999543</v>
      </c>
      <c r="M12" s="101">
        <f t="shared" si="7"/>
        <v>9323.82</v>
      </c>
      <c r="N12" s="101">
        <f t="shared" si="7"/>
        <v>148045.54</v>
      </c>
      <c r="O12" s="43">
        <f t="shared" si="7"/>
        <v>3065160.9</v>
      </c>
      <c r="P12" s="43">
        <f t="shared" si="7"/>
        <v>2812074.2201834861</v>
      </c>
      <c r="Q12" s="43">
        <f t="shared" si="7"/>
        <v>253086.67981651417</v>
      </c>
      <c r="R12" s="45">
        <f t="shared" si="7"/>
        <v>1633626</v>
      </c>
      <c r="S12" s="71"/>
      <c r="T12" s="61"/>
      <c r="U12" s="13"/>
      <c r="V12" s="1"/>
      <c r="X12" s="1"/>
    </row>
    <row r="13" spans="1:24" x14ac:dyDescent="0.25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28648.400000000001</v>
      </c>
      <c r="F13" s="13">
        <v>1226231.6000000001</v>
      </c>
      <c r="G13" s="13">
        <v>171613.2</v>
      </c>
      <c r="H13" s="13">
        <v>25808.2</v>
      </c>
      <c r="I13" s="13"/>
      <c r="J13" s="33"/>
      <c r="K13" s="33">
        <v>764524.2</v>
      </c>
      <c r="L13" s="33">
        <v>1168.1999999999534</v>
      </c>
      <c r="M13" s="33">
        <v>5964.2</v>
      </c>
      <c r="N13" s="127">
        <v>129648.2</v>
      </c>
      <c r="O13" s="5">
        <f t="shared" ref="O13:O18" si="8">+SUM(E13:N13)</f>
        <v>2353606.2000000002</v>
      </c>
      <c r="P13" s="5">
        <f t="shared" ref="P13:P18" si="9">+O13/1.09</f>
        <v>2159271.7431192659</v>
      </c>
      <c r="Q13" s="5">
        <f t="shared" ref="Q13:Q18" si="10">+O13-P13</f>
        <v>194334.4568807343</v>
      </c>
      <c r="R13" s="21">
        <f t="shared" ref="R13:R18" si="11">O13/D13</f>
        <v>1069821</v>
      </c>
      <c r="S13" s="2"/>
      <c r="T13" s="61"/>
      <c r="U13" s="13"/>
    </row>
    <row r="14" spans="1:24" x14ac:dyDescent="0.25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6132.5</v>
      </c>
      <c r="F14" s="13">
        <v>371046.5</v>
      </c>
      <c r="G14" s="13">
        <v>57937</v>
      </c>
      <c r="H14" s="13">
        <v>7769.3</v>
      </c>
      <c r="I14" s="13"/>
      <c r="J14" s="33"/>
      <c r="K14" s="33">
        <v>82437.3</v>
      </c>
      <c r="L14" s="33">
        <v>119.89999999999418</v>
      </c>
      <c r="M14" s="33">
        <v>3285.7</v>
      </c>
      <c r="N14" s="127">
        <v>9412.7000000000007</v>
      </c>
      <c r="O14" s="5">
        <f t="shared" si="8"/>
        <v>538140.89999999991</v>
      </c>
      <c r="P14" s="5">
        <f t="shared" si="9"/>
        <v>493707.24770642188</v>
      </c>
      <c r="Q14" s="5">
        <f t="shared" si="10"/>
        <v>44433.652293578023</v>
      </c>
      <c r="R14" s="21">
        <f t="shared" si="11"/>
        <v>489218.99999999988</v>
      </c>
      <c r="S14" s="71"/>
      <c r="T14" s="107">
        <v>1.1000000000000001</v>
      </c>
      <c r="U14" s="13">
        <f t="shared" ref="U14:U15" si="12">+R14*T14</f>
        <v>538140.89999999991</v>
      </c>
    </row>
    <row r="15" spans="1:24" x14ac:dyDescent="0.25">
      <c r="A15" s="58" t="s">
        <v>56</v>
      </c>
      <c r="B15" s="53" t="s">
        <v>140</v>
      </c>
      <c r="C15" s="59" t="s">
        <v>93</v>
      </c>
      <c r="D15" s="62">
        <v>0.44</v>
      </c>
      <c r="E15" s="130">
        <v>130.68</v>
      </c>
      <c r="F15" s="13">
        <v>4326.96</v>
      </c>
      <c r="G15" s="13">
        <v>645.48</v>
      </c>
      <c r="H15" s="13">
        <v>172.04</v>
      </c>
      <c r="I15" s="13"/>
      <c r="J15" s="33"/>
      <c r="K15" s="33">
        <v>1450.24</v>
      </c>
      <c r="L15" s="33">
        <v>2.6400000000001</v>
      </c>
      <c r="M15" s="33">
        <v>56.32</v>
      </c>
      <c r="N15" s="127">
        <v>98.56</v>
      </c>
      <c r="O15" s="5">
        <f t="shared" si="8"/>
        <v>6882.920000000001</v>
      </c>
      <c r="P15" s="5">
        <f t="shared" si="9"/>
        <v>6314.6055045871562</v>
      </c>
      <c r="Q15" s="5">
        <f t="shared" si="10"/>
        <v>568.31449541284474</v>
      </c>
      <c r="R15" s="21">
        <f t="shared" si="11"/>
        <v>15643.000000000002</v>
      </c>
      <c r="S15" s="71"/>
      <c r="T15" s="61">
        <v>1.76</v>
      </c>
      <c r="U15" s="13">
        <f t="shared" si="12"/>
        <v>27531.680000000004</v>
      </c>
    </row>
    <row r="16" spans="1:24" x14ac:dyDescent="0.25">
      <c r="A16" s="58" t="s">
        <v>57</v>
      </c>
      <c r="B16" s="53" t="s">
        <v>192</v>
      </c>
      <c r="C16" s="59" t="s">
        <v>58</v>
      </c>
      <c r="D16" s="62">
        <v>3.2</v>
      </c>
      <c r="E16" s="130">
        <v>336</v>
      </c>
      <c r="F16" s="13">
        <v>17507.2</v>
      </c>
      <c r="G16" s="13">
        <v>3129.6</v>
      </c>
      <c r="H16" s="13">
        <v>131.19999999999999</v>
      </c>
      <c r="I16" s="13"/>
      <c r="J16" s="33"/>
      <c r="K16" s="33">
        <v>116150.39999999999</v>
      </c>
      <c r="L16" s="33">
        <v>281.60000000000582</v>
      </c>
      <c r="M16" s="33">
        <v>16</v>
      </c>
      <c r="N16" s="127">
        <v>8230.4</v>
      </c>
      <c r="O16" s="5">
        <f t="shared" si="8"/>
        <v>145782.39999999999</v>
      </c>
      <c r="P16" s="5">
        <f t="shared" si="9"/>
        <v>133745.32110091741</v>
      </c>
      <c r="Q16" s="5">
        <f t="shared" si="10"/>
        <v>12037.078899082582</v>
      </c>
      <c r="R16" s="21">
        <f t="shared" si="11"/>
        <v>45556.999999999993</v>
      </c>
      <c r="S16" s="71"/>
      <c r="T16" s="61"/>
      <c r="U16" s="13"/>
    </row>
    <row r="17" spans="1:24" x14ac:dyDescent="0.25">
      <c r="A17" s="58" t="s">
        <v>59</v>
      </c>
      <c r="B17" s="53" t="s">
        <v>193</v>
      </c>
      <c r="C17" s="59" t="s">
        <v>94</v>
      </c>
      <c r="D17" s="62">
        <v>1.6</v>
      </c>
      <c r="E17" s="130">
        <v>144</v>
      </c>
      <c r="F17" s="13">
        <v>4344</v>
      </c>
      <c r="G17" s="13">
        <v>852.8</v>
      </c>
      <c r="H17" s="13">
        <v>81.599999999999994</v>
      </c>
      <c r="I17" s="13"/>
      <c r="J17" s="33"/>
      <c r="K17" s="33">
        <v>14224</v>
      </c>
      <c r="L17" s="33">
        <v>19.200000000000728</v>
      </c>
      <c r="M17" s="33">
        <v>1.6</v>
      </c>
      <c r="N17" s="127">
        <v>635.20000000000005</v>
      </c>
      <c r="O17" s="5">
        <f t="shared" si="8"/>
        <v>20302.400000000001</v>
      </c>
      <c r="P17" s="5">
        <f t="shared" si="9"/>
        <v>18626.055045871559</v>
      </c>
      <c r="Q17" s="5">
        <f t="shared" si="10"/>
        <v>1676.3449541284426</v>
      </c>
      <c r="R17" s="21">
        <f t="shared" si="11"/>
        <v>12689</v>
      </c>
      <c r="S17" s="71"/>
      <c r="T17" s="107">
        <v>1.6</v>
      </c>
      <c r="U17" s="13">
        <f t="shared" ref="U17:U18" si="13">+R17*T17</f>
        <v>20302.400000000001</v>
      </c>
    </row>
    <row r="18" spans="1:24" x14ac:dyDescent="0.25">
      <c r="A18" s="241" t="s">
        <v>60</v>
      </c>
      <c r="B18" s="53" t="s">
        <v>194</v>
      </c>
      <c r="C18" s="63" t="s">
        <v>95</v>
      </c>
      <c r="D18" s="63">
        <v>0.64</v>
      </c>
      <c r="E18" s="132">
        <v>3.84</v>
      </c>
      <c r="F18" s="14">
        <v>120.32</v>
      </c>
      <c r="G18" s="13">
        <v>5.76</v>
      </c>
      <c r="H18" s="14"/>
      <c r="I18" s="14"/>
      <c r="J18" s="76"/>
      <c r="K18" s="76">
        <v>295.68</v>
      </c>
      <c r="L18" s="76">
        <v>0</v>
      </c>
      <c r="M18" s="76"/>
      <c r="N18" s="127">
        <v>20.48</v>
      </c>
      <c r="O18" s="5">
        <f t="shared" si="8"/>
        <v>446.08000000000004</v>
      </c>
      <c r="P18" s="5">
        <f t="shared" si="9"/>
        <v>409.24770642201838</v>
      </c>
      <c r="Q18" s="5">
        <f t="shared" si="10"/>
        <v>36.832293577981659</v>
      </c>
      <c r="R18" s="22">
        <f t="shared" si="11"/>
        <v>697</v>
      </c>
      <c r="S18" s="71"/>
      <c r="T18" s="61">
        <v>2.56</v>
      </c>
      <c r="U18" s="13">
        <f t="shared" si="13"/>
        <v>1784.32</v>
      </c>
    </row>
    <row r="19" spans="1:24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72950.69</v>
      </c>
      <c r="F19" s="118">
        <f t="shared" ref="F19:R19" si="14">+SUM(F20:F44)</f>
        <v>2958765.56</v>
      </c>
      <c r="G19" s="118">
        <f t="shared" si="14"/>
        <v>445774.67999999993</v>
      </c>
      <c r="H19" s="118">
        <f t="shared" si="14"/>
        <v>63252.52</v>
      </c>
      <c r="I19" s="118">
        <f t="shared" si="14"/>
        <v>0</v>
      </c>
      <c r="J19" s="118">
        <f t="shared" si="14"/>
        <v>0</v>
      </c>
      <c r="K19" s="118">
        <f t="shared" si="14"/>
        <v>0</v>
      </c>
      <c r="L19" s="118">
        <f t="shared" si="14"/>
        <v>0</v>
      </c>
      <c r="M19" s="118">
        <f t="shared" si="14"/>
        <v>13051.08</v>
      </c>
      <c r="N19" s="118">
        <f t="shared" si="14"/>
        <v>256120.40000000005</v>
      </c>
      <c r="O19" s="118">
        <f t="shared" si="14"/>
        <v>3809914.9299999997</v>
      </c>
      <c r="P19" s="118">
        <f t="shared" si="14"/>
        <v>3495334.7981651365</v>
      </c>
      <c r="Q19" s="118">
        <f t="shared" si="14"/>
        <v>314580.13183486258</v>
      </c>
      <c r="R19" s="253">
        <f t="shared" si="14"/>
        <v>74225.536127777756</v>
      </c>
      <c r="S19" s="71"/>
      <c r="T19" s="61"/>
      <c r="U19" s="105">
        <f>+SUM(U20:U43)</f>
        <v>3587097.5399999991</v>
      </c>
    </row>
    <row r="20" spans="1:24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43693.33</v>
      </c>
      <c r="F20" s="92">
        <v>1670356.67</v>
      </c>
      <c r="G20" s="92">
        <v>244943.33</v>
      </c>
      <c r="H20" s="92">
        <v>34546.67</v>
      </c>
      <c r="I20" s="23"/>
      <c r="J20" s="34"/>
      <c r="K20" s="34"/>
      <c r="L20" s="34"/>
      <c r="M20" s="34">
        <v>7930</v>
      </c>
      <c r="N20" s="34">
        <v>139640</v>
      </c>
      <c r="O20" s="5">
        <f t="shared" ref="O20:O44" si="15">+SUM(E20:N20)</f>
        <v>2141110</v>
      </c>
      <c r="P20" s="99">
        <f t="shared" ref="P20:P44" si="16">+O20/1.09</f>
        <v>1964321.1009174311</v>
      </c>
      <c r="Q20" s="24">
        <f>+O20-P20</f>
        <v>176788.89908256894</v>
      </c>
      <c r="R20" s="94">
        <f t="shared" ref="R20:R43" si="17">O20/D20</f>
        <v>21411.1</v>
      </c>
      <c r="S20" s="41"/>
      <c r="T20" s="61"/>
      <c r="U20" s="106"/>
      <c r="V20"/>
      <c r="W20" s="142"/>
      <c r="X20"/>
    </row>
    <row r="21" spans="1:24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6196.67</v>
      </c>
      <c r="F21" s="48">
        <v>437456.67</v>
      </c>
      <c r="G21" s="48">
        <v>58785</v>
      </c>
      <c r="H21" s="48">
        <v>10561.67</v>
      </c>
      <c r="I21" s="13"/>
      <c r="J21" s="33"/>
      <c r="K21" s="33"/>
      <c r="L21" s="33"/>
      <c r="M21" s="33">
        <v>2240</v>
      </c>
      <c r="N21" s="33">
        <v>7210</v>
      </c>
      <c r="O21" s="5">
        <f t="shared" si="15"/>
        <v>522450.00999999995</v>
      </c>
      <c r="P21" s="5">
        <f t="shared" si="16"/>
        <v>479311.93577981641</v>
      </c>
      <c r="Q21" s="5">
        <f t="shared" ref="Q21:Q44" si="18">+O21-P21</f>
        <v>43138.074220183538</v>
      </c>
      <c r="R21" s="21">
        <f t="shared" si="17"/>
        <v>10449.000199999999</v>
      </c>
      <c r="S21" s="41"/>
      <c r="T21" s="61">
        <v>50</v>
      </c>
      <c r="U21" s="13">
        <f t="shared" ref="U21:U22" si="19">+R21*T21</f>
        <v>522450.00999999995</v>
      </c>
      <c r="W21" s="142"/>
    </row>
    <row r="22" spans="1:24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f>1094.67+13234.66</f>
        <v>14329.33</v>
      </c>
      <c r="F22" s="95">
        <f>5572+552117.33</f>
        <v>557689.32999999996</v>
      </c>
      <c r="G22" s="95">
        <f>1014.67+95214.67</f>
        <v>96229.34</v>
      </c>
      <c r="H22" s="95">
        <v>8440.67</v>
      </c>
      <c r="I22" s="13"/>
      <c r="J22" s="33"/>
      <c r="K22" s="33"/>
      <c r="L22" s="33"/>
      <c r="M22" s="33">
        <f>46.67+1300.67</f>
        <v>1347.3400000000001</v>
      </c>
      <c r="N22" s="33">
        <f>495.33+57379.33</f>
        <v>57874.66</v>
      </c>
      <c r="O22" s="5">
        <f t="shared" si="15"/>
        <v>735910.66999999993</v>
      </c>
      <c r="P22" s="5">
        <f t="shared" si="16"/>
        <v>675147.40366972471</v>
      </c>
      <c r="Q22" s="5">
        <f t="shared" si="18"/>
        <v>60763.266330275219</v>
      </c>
      <c r="R22" s="21">
        <f t="shared" si="17"/>
        <v>36795.533499999998</v>
      </c>
      <c r="S22" s="41"/>
      <c r="T22" s="61">
        <v>80</v>
      </c>
      <c r="U22" s="13">
        <f t="shared" si="19"/>
        <v>2943642.6799999997</v>
      </c>
      <c r="W22" s="142"/>
    </row>
    <row r="23" spans="1:24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7566</v>
      </c>
      <c r="F23" s="95">
        <v>261060</v>
      </c>
      <c r="G23" s="95">
        <v>41325</v>
      </c>
      <c r="H23" s="95">
        <v>8679</v>
      </c>
      <c r="I23" s="13"/>
      <c r="J23" s="33"/>
      <c r="K23" s="33"/>
      <c r="L23" s="33"/>
      <c r="M23" s="33">
        <v>1413</v>
      </c>
      <c r="N23" s="33">
        <v>37992</v>
      </c>
      <c r="O23" s="5">
        <f t="shared" si="15"/>
        <v>358035</v>
      </c>
      <c r="P23" s="5">
        <f t="shared" si="16"/>
        <v>328472.47706422018</v>
      </c>
      <c r="Q23" s="5">
        <f t="shared" si="18"/>
        <v>29562.522935779823</v>
      </c>
      <c r="R23" s="21">
        <f t="shared" si="17"/>
        <v>3978.1666666666665</v>
      </c>
      <c r="S23" s="41"/>
      <c r="T23" s="61"/>
      <c r="U23" s="13"/>
      <c r="W23" s="142"/>
    </row>
    <row r="24" spans="1:24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330</v>
      </c>
      <c r="F24" s="95">
        <v>14095.5</v>
      </c>
      <c r="G24" s="95">
        <v>1900.5</v>
      </c>
      <c r="H24" s="95">
        <v>327</v>
      </c>
      <c r="I24" s="13"/>
      <c r="J24" s="33"/>
      <c r="K24" s="33"/>
      <c r="L24" s="33"/>
      <c r="M24" s="33">
        <v>79.5</v>
      </c>
      <c r="N24" s="33">
        <v>1284</v>
      </c>
      <c r="O24" s="5">
        <f t="shared" si="15"/>
        <v>18016.5</v>
      </c>
      <c r="P24" s="5">
        <f t="shared" si="16"/>
        <v>16528.899082568805</v>
      </c>
      <c r="Q24" s="5">
        <f t="shared" si="18"/>
        <v>1487.6009174311948</v>
      </c>
      <c r="R24" s="21">
        <f t="shared" si="17"/>
        <v>400.36666666666667</v>
      </c>
      <c r="S24" s="35"/>
      <c r="T24" s="61">
        <v>45</v>
      </c>
      <c r="U24" s="13">
        <f t="shared" ref="U24:U25" si="20">+R24*T24</f>
        <v>18016.5</v>
      </c>
      <c r="W24" s="142"/>
    </row>
    <row r="25" spans="1:24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f>32.4+609</f>
        <v>641.4</v>
      </c>
      <c r="F25" s="95">
        <f>55.8+11000.4</f>
        <v>11056.199999999999</v>
      </c>
      <c r="G25" s="95">
        <v>1841.4</v>
      </c>
      <c r="H25" s="95">
        <v>160.80000000000001</v>
      </c>
      <c r="I25" s="13"/>
      <c r="J25" s="33"/>
      <c r="K25" s="33"/>
      <c r="L25" s="33"/>
      <c r="M25" s="33">
        <v>9.6</v>
      </c>
      <c r="N25" s="33">
        <f>118.8+3248.4-18</f>
        <v>3349.2000000000003</v>
      </c>
      <c r="O25" s="5">
        <f t="shared" si="15"/>
        <v>17058.599999999999</v>
      </c>
      <c r="P25" s="5">
        <f t="shared" si="16"/>
        <v>15650.091743119263</v>
      </c>
      <c r="Q25" s="5">
        <f t="shared" si="18"/>
        <v>1408.5082568807356</v>
      </c>
      <c r="R25" s="21">
        <f t="shared" si="17"/>
        <v>947.69999999999993</v>
      </c>
      <c r="S25" s="35"/>
      <c r="T25" s="61">
        <v>72</v>
      </c>
      <c r="U25" s="13">
        <f t="shared" si="20"/>
        <v>68234.399999999994</v>
      </c>
      <c r="W25" s="142"/>
    </row>
    <row r="26" spans="1:24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/>
      <c r="F26" s="95">
        <v>783.33</v>
      </c>
      <c r="G26" s="95">
        <v>93.33</v>
      </c>
      <c r="H26" s="95">
        <v>26.67</v>
      </c>
      <c r="I26" s="13"/>
      <c r="J26" s="33"/>
      <c r="K26" s="33"/>
      <c r="L26" s="33"/>
      <c r="M26" s="33"/>
      <c r="N26" s="33">
        <v>1086.67</v>
      </c>
      <c r="O26" s="5">
        <f t="shared" si="15"/>
        <v>1990</v>
      </c>
      <c r="P26" s="5">
        <f t="shared" si="16"/>
        <v>1825.6880733944952</v>
      </c>
      <c r="Q26" s="5">
        <f t="shared" si="18"/>
        <v>164.31192660550482</v>
      </c>
      <c r="R26" s="21">
        <f t="shared" si="17"/>
        <v>6.6333333333333337</v>
      </c>
      <c r="S26" s="35"/>
      <c r="T26" s="61"/>
      <c r="U26" s="13"/>
      <c r="W26" s="142"/>
    </row>
    <row r="27" spans="1:24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1108.33</v>
      </c>
      <c r="G27" s="95">
        <v>100</v>
      </c>
      <c r="H27" s="95">
        <v>93.33</v>
      </c>
      <c r="I27" s="13"/>
      <c r="J27" s="33"/>
      <c r="K27" s="33"/>
      <c r="L27" s="33"/>
      <c r="M27" s="33"/>
      <c r="N27" s="33">
        <v>340</v>
      </c>
      <c r="O27" s="5">
        <f t="shared" si="15"/>
        <v>1641.6599999999999</v>
      </c>
      <c r="P27" s="5">
        <f t="shared" si="16"/>
        <v>1506.110091743119</v>
      </c>
      <c r="Q27" s="5">
        <f t="shared" si="18"/>
        <v>135.54990825688083</v>
      </c>
      <c r="R27" s="21">
        <f t="shared" si="17"/>
        <v>10.9444</v>
      </c>
      <c r="S27" s="35"/>
      <c r="T27" s="61">
        <v>150</v>
      </c>
      <c r="U27" s="13">
        <f t="shared" ref="U27:U43" si="21">+R27*T27</f>
        <v>1641.66</v>
      </c>
      <c r="W27" s="142"/>
    </row>
    <row r="28" spans="1:24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f>45.33+96</f>
        <v>141.32999999999998</v>
      </c>
      <c r="F28" s="95">
        <f>66.67+3980</f>
        <v>4046.67</v>
      </c>
      <c r="G28" s="95">
        <f>34+446.67</f>
        <v>480.67</v>
      </c>
      <c r="H28" s="95">
        <v>247.33</v>
      </c>
      <c r="I28" s="13"/>
      <c r="J28" s="33"/>
      <c r="K28" s="33"/>
      <c r="L28" s="33"/>
      <c r="M28" s="33">
        <v>11.33</v>
      </c>
      <c r="N28" s="33">
        <f>100.67+2719.33</f>
        <v>2820</v>
      </c>
      <c r="O28" s="5">
        <f t="shared" si="15"/>
        <v>7747.33</v>
      </c>
      <c r="P28" s="5">
        <f t="shared" si="16"/>
        <v>7107.6422018348621</v>
      </c>
      <c r="Q28" s="5">
        <f t="shared" si="18"/>
        <v>639.68779816513779</v>
      </c>
      <c r="R28" s="21">
        <f t="shared" si="17"/>
        <v>129.12216666666666</v>
      </c>
      <c r="S28" s="35"/>
      <c r="T28" s="61">
        <v>240</v>
      </c>
      <c r="U28" s="13">
        <f t="shared" si="21"/>
        <v>30989.32</v>
      </c>
      <c r="W28" s="142"/>
    </row>
    <row r="29" spans="1:24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207</v>
      </c>
      <c r="G29" s="95"/>
      <c r="H29" s="95"/>
      <c r="I29" s="13"/>
      <c r="J29" s="33"/>
      <c r="K29" s="33"/>
      <c r="L29" s="33"/>
      <c r="M29" s="33"/>
      <c r="N29" s="33">
        <v>4122</v>
      </c>
      <c r="O29" s="5">
        <f t="shared" si="15"/>
        <v>4329</v>
      </c>
      <c r="P29" s="5">
        <f t="shared" si="16"/>
        <v>3971.5596330275225</v>
      </c>
      <c r="Q29" s="5">
        <f t="shared" si="18"/>
        <v>357.44036697247748</v>
      </c>
      <c r="R29" s="21">
        <f t="shared" si="17"/>
        <v>16.033333333333335</v>
      </c>
      <c r="S29" s="35"/>
      <c r="T29" s="61"/>
      <c r="U29" s="13"/>
      <c r="W29" s="142"/>
    </row>
    <row r="30" spans="1:24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58.5</v>
      </c>
      <c r="G30" s="95"/>
      <c r="H30" s="95">
        <v>40.5</v>
      </c>
      <c r="I30" s="13"/>
      <c r="J30" s="33"/>
      <c r="K30" s="33"/>
      <c r="L30" s="33"/>
      <c r="M30" s="33"/>
      <c r="N30" s="33">
        <v>33</v>
      </c>
      <c r="O30" s="5">
        <f t="shared" si="15"/>
        <v>132</v>
      </c>
      <c r="P30" s="5">
        <f t="shared" si="16"/>
        <v>121.10091743119266</v>
      </c>
      <c r="Q30" s="5">
        <f t="shared" si="18"/>
        <v>10.899082568807344</v>
      </c>
      <c r="R30" s="21">
        <f t="shared" si="17"/>
        <v>0.97777777777777775</v>
      </c>
      <c r="S30" s="35"/>
      <c r="T30" s="61">
        <v>135</v>
      </c>
      <c r="U30" s="13">
        <f t="shared" si="21"/>
        <v>132</v>
      </c>
      <c r="W30" s="142"/>
    </row>
    <row r="31" spans="1:24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48.6</v>
      </c>
      <c r="F31" s="95">
        <v>97.8</v>
      </c>
      <c r="G31" s="95"/>
      <c r="H31" s="95">
        <v>25.2</v>
      </c>
      <c r="I31" s="13"/>
      <c r="J31" s="33"/>
      <c r="K31" s="33"/>
      <c r="L31" s="33"/>
      <c r="M31" s="33">
        <v>16.8</v>
      </c>
      <c r="N31" s="33">
        <v>195</v>
      </c>
      <c r="O31" s="5">
        <f t="shared" si="15"/>
        <v>383.4</v>
      </c>
      <c r="P31" s="5">
        <f t="shared" si="16"/>
        <v>351.74311926605498</v>
      </c>
      <c r="Q31" s="5">
        <f t="shared" si="18"/>
        <v>31.656880733945002</v>
      </c>
      <c r="R31" s="21">
        <f t="shared" si="17"/>
        <v>7.1</v>
      </c>
      <c r="S31" s="35"/>
      <c r="T31" s="61">
        <v>216</v>
      </c>
      <c r="U31" s="13">
        <f t="shared" si="21"/>
        <v>1533.6</v>
      </c>
      <c r="W31" s="142"/>
    </row>
    <row r="32" spans="1:24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93.33</v>
      </c>
      <c r="G32" s="95"/>
      <c r="H32" s="95"/>
      <c r="I32" s="13"/>
      <c r="J32" s="33"/>
      <c r="K32" s="33"/>
      <c r="L32" s="33"/>
      <c r="M32" s="33"/>
      <c r="N32" s="33"/>
      <c r="O32" s="5">
        <f t="shared" si="15"/>
        <v>93.33</v>
      </c>
      <c r="P32" s="5">
        <f t="shared" si="16"/>
        <v>85.623853211009163</v>
      </c>
      <c r="Q32" s="5">
        <f t="shared" si="18"/>
        <v>7.7061467889908357</v>
      </c>
      <c r="R32" s="21">
        <f t="shared" si="17"/>
        <v>0.15554999999999999</v>
      </c>
      <c r="S32" s="35"/>
      <c r="T32" s="61"/>
      <c r="U32" s="13"/>
      <c r="W32" s="142"/>
    </row>
    <row r="33" spans="1:24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51.67</v>
      </c>
      <c r="G33" s="95"/>
      <c r="H33" s="95">
        <v>6.67</v>
      </c>
      <c r="I33" s="13"/>
      <c r="J33" s="33"/>
      <c r="K33" s="33"/>
      <c r="L33" s="33"/>
      <c r="M33" s="33"/>
      <c r="N33" s="33">
        <v>1.67</v>
      </c>
      <c r="O33" s="5">
        <f t="shared" si="15"/>
        <v>60.010000000000005</v>
      </c>
      <c r="P33" s="5">
        <f t="shared" si="16"/>
        <v>55.055045871559635</v>
      </c>
      <c r="Q33" s="5">
        <f t="shared" si="18"/>
        <v>4.9549541284403702</v>
      </c>
      <c r="R33" s="21">
        <f t="shared" si="17"/>
        <v>0.20003333333333334</v>
      </c>
      <c r="S33" s="35"/>
      <c r="T33" s="61">
        <v>300</v>
      </c>
      <c r="U33" s="13">
        <f t="shared" si="21"/>
        <v>60.010000000000005</v>
      </c>
      <c r="W33" s="142"/>
    </row>
    <row r="34" spans="1:24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/>
      <c r="F34" s="95">
        <v>72.67</v>
      </c>
      <c r="G34" s="95"/>
      <c r="H34" s="95"/>
      <c r="I34" s="13"/>
      <c r="J34" s="33"/>
      <c r="K34" s="33"/>
      <c r="L34" s="33"/>
      <c r="M34" s="33"/>
      <c r="N34" s="33">
        <f>4.67+22</f>
        <v>26.67</v>
      </c>
      <c r="O34" s="5">
        <f t="shared" si="15"/>
        <v>99.34</v>
      </c>
      <c r="P34" s="5">
        <f t="shared" si="16"/>
        <v>91.137614678899084</v>
      </c>
      <c r="Q34" s="5">
        <f t="shared" si="18"/>
        <v>8.2023853211009197</v>
      </c>
      <c r="R34" s="21">
        <f t="shared" si="17"/>
        <v>0.82783333333333331</v>
      </c>
      <c r="S34" s="35"/>
      <c r="T34" s="61">
        <v>480</v>
      </c>
      <c r="U34" s="13">
        <f t="shared" si="21"/>
        <v>397.36</v>
      </c>
      <c r="W34" s="142"/>
    </row>
    <row r="35" spans="1:24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33">
        <v>144</v>
      </c>
      <c r="O35" s="5">
        <f t="shared" si="15"/>
        <v>144</v>
      </c>
      <c r="P35" s="5">
        <f t="shared" si="16"/>
        <v>132.11009174311926</v>
      </c>
      <c r="Q35" s="5">
        <f t="shared" si="18"/>
        <v>11.889908256880744</v>
      </c>
      <c r="R35" s="21">
        <f t="shared" si="17"/>
        <v>0.26666666666666666</v>
      </c>
      <c r="S35" s="35"/>
      <c r="T35" s="61"/>
      <c r="U35" s="13"/>
      <c r="W35" s="142"/>
    </row>
    <row r="36" spans="1:24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5"/>
        <v>0</v>
      </c>
      <c r="P36" s="5">
        <f t="shared" si="16"/>
        <v>0</v>
      </c>
      <c r="Q36" s="5">
        <f t="shared" si="18"/>
        <v>0</v>
      </c>
      <c r="R36" s="21">
        <f t="shared" si="17"/>
        <v>0</v>
      </c>
      <c r="S36" s="35"/>
      <c r="T36" s="61">
        <v>270</v>
      </c>
      <c r="U36" s="13">
        <f t="shared" si="21"/>
        <v>0</v>
      </c>
      <c r="W36" s="142"/>
    </row>
    <row r="37" spans="1:24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5"/>
        <v>0</v>
      </c>
      <c r="P37" s="5">
        <f t="shared" si="16"/>
        <v>0</v>
      </c>
      <c r="Q37" s="5">
        <f t="shared" si="18"/>
        <v>0</v>
      </c>
      <c r="R37" s="21">
        <f t="shared" si="17"/>
        <v>0</v>
      </c>
      <c r="S37" s="35"/>
      <c r="T37" s="61">
        <v>432</v>
      </c>
      <c r="U37" s="13">
        <f t="shared" si="21"/>
        <v>0</v>
      </c>
      <c r="W37" s="142"/>
    </row>
    <row r="38" spans="1:24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5"/>
        <v>0</v>
      </c>
      <c r="P38" s="5">
        <f t="shared" si="16"/>
        <v>0</v>
      </c>
      <c r="Q38" s="5">
        <f t="shared" si="18"/>
        <v>0</v>
      </c>
      <c r="R38" s="21">
        <f t="shared" si="17"/>
        <v>0</v>
      </c>
      <c r="S38" s="35"/>
      <c r="T38" s="61"/>
      <c r="U38" s="13"/>
      <c r="W38" s="142"/>
    </row>
    <row r="39" spans="1:24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/>
      <c r="G39" s="95"/>
      <c r="H39" s="95"/>
      <c r="I39" s="13"/>
      <c r="J39" s="33"/>
      <c r="K39" s="33"/>
      <c r="L39" s="33"/>
      <c r="M39" s="33"/>
      <c r="N39" s="33"/>
      <c r="O39" s="5">
        <f t="shared" si="15"/>
        <v>0</v>
      </c>
      <c r="P39" s="5">
        <f t="shared" si="16"/>
        <v>0</v>
      </c>
      <c r="Q39" s="5">
        <f t="shared" si="18"/>
        <v>0</v>
      </c>
      <c r="R39" s="21">
        <f t="shared" si="17"/>
        <v>0</v>
      </c>
      <c r="S39" s="35"/>
      <c r="T39" s="61">
        <v>450</v>
      </c>
      <c r="U39" s="13">
        <f t="shared" si="21"/>
        <v>0</v>
      </c>
      <c r="W39" s="142"/>
    </row>
    <row r="40" spans="1:24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95"/>
      <c r="G40" s="95"/>
      <c r="H40" s="95"/>
      <c r="I40" s="13"/>
      <c r="J40" s="33"/>
      <c r="K40" s="33"/>
      <c r="L40" s="33"/>
      <c r="M40" s="33"/>
      <c r="N40" s="33"/>
      <c r="O40" s="5">
        <f t="shared" si="15"/>
        <v>0</v>
      </c>
      <c r="P40" s="5">
        <f t="shared" si="16"/>
        <v>0</v>
      </c>
      <c r="Q40" s="5">
        <f t="shared" si="18"/>
        <v>0</v>
      </c>
      <c r="R40" s="21">
        <f t="shared" si="17"/>
        <v>0</v>
      </c>
      <c r="S40" s="35"/>
      <c r="T40" s="61">
        <v>720</v>
      </c>
      <c r="U40" s="13">
        <f t="shared" si="21"/>
        <v>0</v>
      </c>
      <c r="W40" s="142"/>
    </row>
    <row r="41" spans="1:24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15"/>
        <v>0</v>
      </c>
      <c r="P41" s="5">
        <f t="shared" si="16"/>
        <v>0</v>
      </c>
      <c r="Q41" s="5">
        <f t="shared" si="18"/>
        <v>0</v>
      </c>
      <c r="R41" s="21">
        <f t="shared" si="17"/>
        <v>0</v>
      </c>
      <c r="S41" s="71"/>
      <c r="T41" s="61"/>
      <c r="U41" s="13"/>
      <c r="W41" s="142"/>
    </row>
    <row r="42" spans="1:24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33"/>
      <c r="O42" s="5">
        <f t="shared" si="15"/>
        <v>0</v>
      </c>
      <c r="P42" s="5">
        <f t="shared" si="16"/>
        <v>0</v>
      </c>
      <c r="Q42" s="5">
        <f t="shared" si="18"/>
        <v>0</v>
      </c>
      <c r="R42" s="21">
        <f t="shared" si="17"/>
        <v>0</v>
      </c>
      <c r="S42" s="71"/>
      <c r="T42" s="61">
        <v>405</v>
      </c>
      <c r="U42" s="13">
        <f t="shared" si="21"/>
        <v>0</v>
      </c>
      <c r="W42" s="142"/>
    </row>
    <row r="43" spans="1:24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39"/>
      <c r="O43" s="26">
        <f t="shared" si="15"/>
        <v>0</v>
      </c>
      <c r="P43" s="26">
        <f t="shared" si="16"/>
        <v>0</v>
      </c>
      <c r="Q43" s="26">
        <f t="shared" si="18"/>
        <v>0</v>
      </c>
      <c r="R43" s="39">
        <f t="shared" si="17"/>
        <v>0</v>
      </c>
      <c r="S43" s="71"/>
      <c r="T43" s="61">
        <v>648</v>
      </c>
      <c r="U43" s="13">
        <f t="shared" si="21"/>
        <v>0</v>
      </c>
      <c r="W43" s="142"/>
    </row>
    <row r="44" spans="1:24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4.03</v>
      </c>
      <c r="F44" s="124">
        <v>531.89</v>
      </c>
      <c r="G44" s="124">
        <v>76.11</v>
      </c>
      <c r="H44" s="124">
        <v>97.01</v>
      </c>
      <c r="I44" s="124"/>
      <c r="J44" s="124"/>
      <c r="K44" s="124"/>
      <c r="L44" s="124"/>
      <c r="M44" s="124">
        <v>3.51</v>
      </c>
      <c r="N44" s="124">
        <v>1.53</v>
      </c>
      <c r="O44" s="6">
        <f t="shared" si="15"/>
        <v>714.07999999999993</v>
      </c>
      <c r="P44" s="124">
        <f t="shared" si="16"/>
        <v>655.11926605504573</v>
      </c>
      <c r="Q44" s="6">
        <f t="shared" si="18"/>
        <v>58.9607339449542</v>
      </c>
      <c r="R44" s="22">
        <f>+O44/D44</f>
        <v>71.407999999999987</v>
      </c>
      <c r="S44" s="71"/>
      <c r="T44" s="61"/>
      <c r="U44" s="13"/>
      <c r="V44" s="2"/>
      <c r="W44" s="1"/>
    </row>
    <row r="45" spans="1:24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2824.57</v>
      </c>
      <c r="F45" s="82">
        <f>+SUM(F46:F54)</f>
        <v>121788.62</v>
      </c>
      <c r="G45" s="82">
        <f>+SUM(G46:G54)</f>
        <v>20355.359999999997</v>
      </c>
      <c r="H45" s="82">
        <f>+SUM(H46:H54)</f>
        <v>2806.54</v>
      </c>
      <c r="I45" s="82">
        <f t="shared" ref="I45:R45" si="22">+SUM(I46:I54)</f>
        <v>0</v>
      </c>
      <c r="J45" s="82">
        <f t="shared" si="22"/>
        <v>0</v>
      </c>
      <c r="K45" s="100">
        <f t="shared" si="22"/>
        <v>0</v>
      </c>
      <c r="L45" s="100">
        <f t="shared" si="22"/>
        <v>0</v>
      </c>
      <c r="M45" s="100">
        <f t="shared" si="22"/>
        <v>372.98</v>
      </c>
      <c r="N45" s="100">
        <f t="shared" si="22"/>
        <v>10413.85</v>
      </c>
      <c r="O45" s="42">
        <f>+SUM(O46:O54)</f>
        <v>158561.92000000001</v>
      </c>
      <c r="P45" s="82">
        <f t="shared" si="22"/>
        <v>145469.65137614679</v>
      </c>
      <c r="Q45" s="82">
        <f t="shared" si="22"/>
        <v>13092.268623853222</v>
      </c>
      <c r="R45" s="19">
        <f t="shared" si="22"/>
        <v>25002.033333333329</v>
      </c>
      <c r="S45" s="71"/>
      <c r="T45" s="61"/>
      <c r="U45" s="105">
        <f>+SUM(U46:U69)</f>
        <v>242595.77999999997</v>
      </c>
    </row>
    <row r="46" spans="1:24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312</v>
      </c>
      <c r="F46" s="23">
        <v>13560</v>
      </c>
      <c r="G46" s="28">
        <v>2292</v>
      </c>
      <c r="H46" s="23">
        <v>204</v>
      </c>
      <c r="I46" s="83"/>
      <c r="J46" s="75"/>
      <c r="K46" s="75"/>
      <c r="L46" s="75"/>
      <c r="M46" s="75">
        <v>60</v>
      </c>
      <c r="N46" s="75">
        <v>1236</v>
      </c>
      <c r="O46" s="5">
        <f t="shared" ref="O46:O54" si="23">+SUM(E46:N46)</f>
        <v>17664</v>
      </c>
      <c r="P46" s="99">
        <f t="shared" ref="P46:P54" si="24">+O46/1.09</f>
        <v>16205.504587155961</v>
      </c>
      <c r="Q46" s="64">
        <f t="shared" ref="Q46:Q54" si="25">+O46-P46</f>
        <v>1458.4954128440386</v>
      </c>
      <c r="R46" s="85">
        <f t="shared" ref="R46:R54" si="26">O46/D46</f>
        <v>1472</v>
      </c>
      <c r="S46" s="71"/>
      <c r="T46" s="61"/>
      <c r="U46" s="13"/>
      <c r="V46"/>
      <c r="W46" s="142"/>
      <c r="X46"/>
    </row>
    <row r="47" spans="1:24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132</v>
      </c>
      <c r="F47" s="13">
        <v>1902</v>
      </c>
      <c r="G47" s="17">
        <v>294</v>
      </c>
      <c r="H47" s="23">
        <v>30</v>
      </c>
      <c r="I47" s="13"/>
      <c r="J47" s="33"/>
      <c r="K47" s="33"/>
      <c r="L47" s="33"/>
      <c r="M47" s="33">
        <v>42</v>
      </c>
      <c r="N47" s="33">
        <v>150</v>
      </c>
      <c r="O47" s="5">
        <f t="shared" si="23"/>
        <v>2550</v>
      </c>
      <c r="P47" s="5">
        <f t="shared" si="24"/>
        <v>2339.4495412844035</v>
      </c>
      <c r="Q47" s="5">
        <f t="shared" si="25"/>
        <v>210.55045871559651</v>
      </c>
      <c r="R47" s="31">
        <f t="shared" si="26"/>
        <v>425</v>
      </c>
      <c r="S47" s="71"/>
      <c r="T47" s="61">
        <v>6</v>
      </c>
      <c r="U47" s="13">
        <f t="shared" ref="U47:U48" si="27">+R47*T47</f>
        <v>2550</v>
      </c>
      <c r="W47" s="142"/>
    </row>
    <row r="48" spans="1:24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f>33.6+626.4</f>
        <v>660</v>
      </c>
      <c r="F48" s="13">
        <f>124.8+32419.2</f>
        <v>32544</v>
      </c>
      <c r="G48" s="17">
        <f>31.2+6009.6</f>
        <v>6040.8</v>
      </c>
      <c r="H48" s="23">
        <v>201.6</v>
      </c>
      <c r="I48" s="13"/>
      <c r="J48" s="33"/>
      <c r="K48" s="33"/>
      <c r="L48" s="33"/>
      <c r="M48" s="33">
        <f>2.4+55.2</f>
        <v>57.6</v>
      </c>
      <c r="N48" s="33">
        <f>28.8+2308.8</f>
        <v>2337.6000000000004</v>
      </c>
      <c r="O48" s="5">
        <f t="shared" si="23"/>
        <v>41841.599999999999</v>
      </c>
      <c r="P48" s="5">
        <f t="shared" si="24"/>
        <v>38386.788990825684</v>
      </c>
      <c r="Q48" s="5">
        <f t="shared" si="25"/>
        <v>3454.8110091743147</v>
      </c>
      <c r="R48" s="31">
        <f t="shared" si="26"/>
        <v>17434</v>
      </c>
      <c r="S48" s="71"/>
      <c r="T48" s="61">
        <v>9.6</v>
      </c>
      <c r="U48" s="13">
        <f t="shared" si="27"/>
        <v>167366.39999999999</v>
      </c>
      <c r="W48" s="142"/>
    </row>
    <row r="49" spans="1:23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147</v>
      </c>
      <c r="F49" s="13">
        <v>13076</v>
      </c>
      <c r="G49" s="13">
        <v>1855</v>
      </c>
      <c r="H49" s="13">
        <v>406</v>
      </c>
      <c r="I49" s="13"/>
      <c r="J49" s="33"/>
      <c r="K49" s="33"/>
      <c r="L49" s="33"/>
      <c r="M49" s="33">
        <v>42</v>
      </c>
      <c r="N49" s="33">
        <v>938</v>
      </c>
      <c r="O49" s="5">
        <f t="shared" si="23"/>
        <v>16464</v>
      </c>
      <c r="P49" s="5">
        <f t="shared" si="24"/>
        <v>15104.587155963301</v>
      </c>
      <c r="Q49" s="5">
        <f t="shared" si="25"/>
        <v>1359.4128440366985</v>
      </c>
      <c r="R49" s="31">
        <f t="shared" si="26"/>
        <v>784</v>
      </c>
      <c r="S49" s="71"/>
      <c r="T49" s="61"/>
      <c r="U49" s="13"/>
      <c r="W49" s="142"/>
    </row>
    <row r="50" spans="1:23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/>
      <c r="F50" s="13">
        <v>1533</v>
      </c>
      <c r="G50" s="13">
        <v>308</v>
      </c>
      <c r="H50" s="13">
        <v>35</v>
      </c>
      <c r="I50" s="13"/>
      <c r="J50" s="33"/>
      <c r="K50" s="33"/>
      <c r="L50" s="33"/>
      <c r="M50" s="33">
        <v>3.5</v>
      </c>
      <c r="N50" s="33">
        <v>94.5</v>
      </c>
      <c r="O50" s="5">
        <f t="shared" si="23"/>
        <v>1974</v>
      </c>
      <c r="P50" s="5">
        <f t="shared" si="24"/>
        <v>1811.0091743119265</v>
      </c>
      <c r="Q50" s="5">
        <f t="shared" si="25"/>
        <v>162.99082568807353</v>
      </c>
      <c r="R50" s="21">
        <f t="shared" si="26"/>
        <v>188</v>
      </c>
      <c r="S50" s="71"/>
      <c r="T50" s="61">
        <v>10.5</v>
      </c>
      <c r="U50" s="13">
        <f t="shared" ref="U50:U51" si="28">+R50*T50</f>
        <v>1974</v>
      </c>
      <c r="W50" s="142"/>
    </row>
    <row r="51" spans="1:23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f>8.4+123.2</f>
        <v>131.6</v>
      </c>
      <c r="F51" s="13">
        <f>35+6862.8</f>
        <v>6897.8</v>
      </c>
      <c r="G51" s="13">
        <v>883.4</v>
      </c>
      <c r="H51" s="13">
        <v>169.4</v>
      </c>
      <c r="I51" s="13"/>
      <c r="J51" s="33"/>
      <c r="K51" s="33"/>
      <c r="L51" s="33"/>
      <c r="M51" s="33">
        <v>25.2</v>
      </c>
      <c r="N51" s="33">
        <f>16.8+1092</f>
        <v>1108.8</v>
      </c>
      <c r="O51" s="5">
        <f t="shared" si="23"/>
        <v>9216.1999999999989</v>
      </c>
      <c r="P51" s="5">
        <f t="shared" si="24"/>
        <v>8455.2293577981636</v>
      </c>
      <c r="Q51" s="5">
        <f t="shared" si="25"/>
        <v>760.97064220183529</v>
      </c>
      <c r="R51" s="21">
        <f t="shared" si="26"/>
        <v>2194.333333333333</v>
      </c>
      <c r="S51" s="71"/>
      <c r="T51" s="61">
        <v>16.8</v>
      </c>
      <c r="U51" s="13">
        <f t="shared" si="28"/>
        <v>36864.799999999996</v>
      </c>
      <c r="W51" s="142"/>
    </row>
    <row r="52" spans="1:23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1266.9000000000001</v>
      </c>
      <c r="F52" s="13">
        <v>43365.7</v>
      </c>
      <c r="G52" s="13">
        <v>7076.6</v>
      </c>
      <c r="H52" s="13">
        <v>1230</v>
      </c>
      <c r="I52" s="13"/>
      <c r="J52" s="33"/>
      <c r="K52" s="33"/>
      <c r="L52" s="33"/>
      <c r="M52" s="33">
        <v>135.30000000000001</v>
      </c>
      <c r="N52" s="33">
        <v>3476.8</v>
      </c>
      <c r="O52" s="5">
        <f t="shared" si="23"/>
        <v>56551.3</v>
      </c>
      <c r="P52" s="5">
        <f t="shared" si="24"/>
        <v>51881.926605504588</v>
      </c>
      <c r="Q52" s="5">
        <f t="shared" si="25"/>
        <v>4669.3733944954147</v>
      </c>
      <c r="R52" s="21">
        <f t="shared" si="26"/>
        <v>1379.3000000000002</v>
      </c>
      <c r="S52" s="71"/>
      <c r="T52" s="61"/>
      <c r="U52" s="13"/>
      <c r="W52" s="142"/>
    </row>
    <row r="53" spans="1:23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63.55</v>
      </c>
      <c r="F53" s="13">
        <v>4018</v>
      </c>
      <c r="G53" s="13">
        <v>844.6</v>
      </c>
      <c r="H53" s="13">
        <v>106.6</v>
      </c>
      <c r="I53" s="13"/>
      <c r="J53" s="33"/>
      <c r="K53" s="33"/>
      <c r="L53" s="33"/>
      <c r="M53" s="33"/>
      <c r="N53" s="33">
        <v>88.15</v>
      </c>
      <c r="O53" s="5">
        <f t="shared" si="23"/>
        <v>5120.9000000000005</v>
      </c>
      <c r="P53" s="5">
        <f t="shared" si="24"/>
        <v>4698.0733944954127</v>
      </c>
      <c r="Q53" s="5">
        <f t="shared" si="25"/>
        <v>422.82660550458786</v>
      </c>
      <c r="R53" s="21">
        <f t="shared" si="26"/>
        <v>249.80000000000004</v>
      </c>
      <c r="S53" s="71"/>
      <c r="T53" s="61">
        <v>20.5</v>
      </c>
      <c r="U53" s="13">
        <f t="shared" ref="U53:U54" si="29">+R53*T53</f>
        <v>5120.9000000000005</v>
      </c>
      <c r="W53" s="142"/>
    </row>
    <row r="54" spans="1:23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f>6.56+104.96</f>
        <v>111.52</v>
      </c>
      <c r="F54" s="14">
        <f>79.54+4812.58</f>
        <v>4892.12</v>
      </c>
      <c r="G54" s="14">
        <v>760.96</v>
      </c>
      <c r="H54" s="14">
        <v>423.94</v>
      </c>
      <c r="I54" s="14"/>
      <c r="J54" s="76"/>
      <c r="K54" s="76"/>
      <c r="L54" s="76"/>
      <c r="M54" s="76">
        <v>7.38</v>
      </c>
      <c r="N54" s="76">
        <f>11.48+972.52</f>
        <v>984</v>
      </c>
      <c r="O54" s="6">
        <f t="shared" si="23"/>
        <v>7179.92</v>
      </c>
      <c r="P54" s="6">
        <f t="shared" si="24"/>
        <v>6587.0825688073392</v>
      </c>
      <c r="Q54" s="6">
        <f t="shared" si="25"/>
        <v>592.83743119266092</v>
      </c>
      <c r="R54" s="22">
        <f t="shared" si="26"/>
        <v>875.60000000000014</v>
      </c>
      <c r="S54" s="35"/>
      <c r="T54" s="61">
        <v>32.799999999999997</v>
      </c>
      <c r="U54" s="13">
        <f t="shared" si="29"/>
        <v>28719.68</v>
      </c>
      <c r="W54" s="142"/>
    </row>
    <row r="55" spans="1:23" x14ac:dyDescent="0.25"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6" spans="1:23" x14ac:dyDescent="0.25"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</row>
    <row r="58" spans="1:23" x14ac:dyDescent="0.25">
      <c r="N58" s="137"/>
    </row>
    <row r="74" spans="2:2" x14ac:dyDescent="0.25">
      <c r="B74" s="1"/>
    </row>
  </sheetData>
  <mergeCells count="18">
    <mergeCell ref="U4:U5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Q5"/>
    <mergeCell ref="R4:R5"/>
    <mergeCell ref="F4:F5"/>
    <mergeCell ref="A4:A5"/>
    <mergeCell ref="B4:B5"/>
    <mergeCell ref="C4:C5"/>
    <mergeCell ref="D4:D5"/>
    <mergeCell ref="E4:E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X73"/>
  <sheetViews>
    <sheetView zoomScaleNormal="10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O19" sqref="O19:O24"/>
    </sheetView>
  </sheetViews>
  <sheetFormatPr defaultColWidth="8.88671875" defaultRowHeight="13.2" outlineLevelCol="1" x14ac:dyDescent="0.25"/>
  <cols>
    <col min="1" max="1" width="10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 outlineLevel="1"/>
    <col min="6" max="6" width="13.332031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55468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2" ht="22.2" customHeight="1" x14ac:dyDescent="0.3">
      <c r="A1" s="40" t="s">
        <v>255</v>
      </c>
      <c r="K1" s="2"/>
      <c r="L1" s="2"/>
      <c r="M1" s="2"/>
      <c r="N1" s="2"/>
    </row>
    <row r="2" spans="1:22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P2" s="3"/>
      <c r="R2" s="3"/>
    </row>
    <row r="3" spans="1:22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2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207</v>
      </c>
      <c r="M4" s="575"/>
      <c r="N4" s="581"/>
      <c r="O4" s="591"/>
      <c r="P4" s="592"/>
      <c r="Q4" s="592"/>
      <c r="R4" s="592"/>
      <c r="T4" s="87"/>
      <c r="U4" s="585"/>
    </row>
    <row r="5" spans="1:22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50134.04</v>
      </c>
      <c r="F5" s="82">
        <f t="shared" si="0"/>
        <v>2078787.5200000003</v>
      </c>
      <c r="G5" s="82">
        <f t="shared" si="0"/>
        <v>309602.06</v>
      </c>
      <c r="H5" s="82">
        <f t="shared" si="0"/>
        <v>52877.94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87">
        <f t="shared" ref="M5:R5" si="1">+M6+M18+M44</f>
        <v>12933.64</v>
      </c>
      <c r="N5" s="19">
        <f t="shared" si="1"/>
        <v>230509.44999999995</v>
      </c>
      <c r="O5" s="42">
        <f t="shared" si="1"/>
        <v>2734844.65</v>
      </c>
      <c r="P5" s="42">
        <f t="shared" si="1"/>
        <v>2509031.7889908254</v>
      </c>
      <c r="Q5" s="42">
        <f t="shared" si="1"/>
        <v>225812.86100917452</v>
      </c>
      <c r="R5" s="42">
        <f t="shared" si="1"/>
        <v>52113.430538888875</v>
      </c>
      <c r="S5" s="71"/>
      <c r="T5" s="87"/>
      <c r="U5" s="135">
        <f>+U7+U18+U44</f>
        <v>2394117.1800000006</v>
      </c>
    </row>
    <row r="6" spans="1:22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2">+E7+E11</f>
        <v>0</v>
      </c>
      <c r="F6" s="82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187">
        <f t="shared" si="2"/>
        <v>0</v>
      </c>
      <c r="K6" s="187">
        <f t="shared" si="2"/>
        <v>0</v>
      </c>
      <c r="L6" s="187"/>
      <c r="M6" s="187">
        <f t="shared" ref="M6:R6" si="3">+M7+M11</f>
        <v>0</v>
      </c>
      <c r="N6" s="19">
        <f t="shared" si="3"/>
        <v>0</v>
      </c>
      <c r="O6" s="42">
        <f t="shared" si="3"/>
        <v>0</v>
      </c>
      <c r="P6" s="42">
        <f t="shared" si="3"/>
        <v>0</v>
      </c>
      <c r="Q6" s="42">
        <f t="shared" si="3"/>
        <v>0</v>
      </c>
      <c r="R6" s="44">
        <f t="shared" si="3"/>
        <v>0</v>
      </c>
      <c r="T6" s="61"/>
      <c r="U6" s="13"/>
    </row>
    <row r="7" spans="1:22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4">+SUM(E8:E10)</f>
        <v>0</v>
      </c>
      <c r="F7" s="79">
        <f t="shared" si="4"/>
        <v>0</v>
      </c>
      <c r="G7" s="79">
        <f t="shared" si="4"/>
        <v>0</v>
      </c>
      <c r="H7" s="79">
        <f t="shared" si="4"/>
        <v>0</v>
      </c>
      <c r="I7" s="79">
        <f t="shared" si="4"/>
        <v>0</v>
      </c>
      <c r="J7" s="79">
        <f t="shared" si="4"/>
        <v>0</v>
      </c>
      <c r="K7" s="79">
        <f t="shared" si="4"/>
        <v>0</v>
      </c>
      <c r="L7" s="79"/>
      <c r="M7" s="79">
        <f t="shared" ref="M7:R7" si="5">+SUM(M8:M10)</f>
        <v>0</v>
      </c>
      <c r="N7" s="79">
        <f t="shared" si="5"/>
        <v>0</v>
      </c>
      <c r="O7" s="225">
        <f t="shared" si="5"/>
        <v>0</v>
      </c>
      <c r="P7" s="79">
        <f t="shared" si="5"/>
        <v>0</v>
      </c>
      <c r="Q7" s="79">
        <f t="shared" si="5"/>
        <v>0</v>
      </c>
      <c r="R7" s="226">
        <f t="shared" si="5"/>
        <v>0</v>
      </c>
      <c r="S7" s="71"/>
      <c r="T7" s="134"/>
      <c r="U7" s="105">
        <f>+SUM(U8:U17)</f>
        <v>0</v>
      </c>
    </row>
    <row r="8" spans="1:22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36"/>
      <c r="O8" s="5">
        <f>+SUM(E8:N8)</f>
        <v>0</v>
      </c>
      <c r="P8" s="5">
        <f t="shared" ref="P8:P10" si="6">+O8/1.09</f>
        <v>0</v>
      </c>
      <c r="Q8" s="5">
        <f t="shared" ref="Q8:Q10" si="7">+O8-P8</f>
        <v>0</v>
      </c>
      <c r="R8" s="21">
        <f>O8/D8</f>
        <v>0</v>
      </c>
      <c r="S8" s="71"/>
      <c r="T8" s="61"/>
      <c r="U8" s="13"/>
      <c r="V8" s="2"/>
    </row>
    <row r="9" spans="1:22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8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43"/>
      <c r="O9" s="26">
        <f>+SUM(E9:N9)</f>
        <v>0</v>
      </c>
      <c r="P9" s="26">
        <f t="shared" si="6"/>
        <v>0</v>
      </c>
      <c r="Q9" s="26">
        <f t="shared" si="7"/>
        <v>0</v>
      </c>
      <c r="R9" s="39">
        <f>O9/D9</f>
        <v>0</v>
      </c>
      <c r="S9" s="71"/>
      <c r="T9" s="61">
        <v>1.75</v>
      </c>
      <c r="U9" s="13">
        <f>+R9*T9</f>
        <v>0</v>
      </c>
    </row>
    <row r="10" spans="1:22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6">
        <f>+SUM(E10:N10)</f>
        <v>0</v>
      </c>
      <c r="P10" s="6">
        <f t="shared" si="6"/>
        <v>0</v>
      </c>
      <c r="Q10" s="6">
        <f t="shared" si="7"/>
        <v>0</v>
      </c>
      <c r="R10" s="22">
        <f>O10/D10</f>
        <v>0</v>
      </c>
      <c r="S10" s="71"/>
      <c r="T10" s="107">
        <v>2.8</v>
      </c>
      <c r="U10" s="13">
        <f>+R10*T10</f>
        <v>0</v>
      </c>
    </row>
    <row r="11" spans="1:22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9">+SUM(E12:E17)</f>
        <v>0</v>
      </c>
      <c r="F11" s="84">
        <f t="shared" si="9"/>
        <v>0</v>
      </c>
      <c r="G11" s="84">
        <f t="shared" si="9"/>
        <v>0</v>
      </c>
      <c r="H11" s="84">
        <f t="shared" si="9"/>
        <v>0</v>
      </c>
      <c r="I11" s="84">
        <f t="shared" si="9"/>
        <v>0</v>
      </c>
      <c r="J11" s="74">
        <f t="shared" si="9"/>
        <v>0</v>
      </c>
      <c r="K11" s="101">
        <f t="shared" si="9"/>
        <v>0</v>
      </c>
      <c r="L11" s="101"/>
      <c r="M11" s="101">
        <f t="shared" ref="M11:R11" si="10">+SUM(M12:M17)</f>
        <v>0</v>
      </c>
      <c r="N11" s="101">
        <f t="shared" si="10"/>
        <v>0</v>
      </c>
      <c r="O11" s="43">
        <f t="shared" si="10"/>
        <v>0</v>
      </c>
      <c r="P11" s="43">
        <f t="shared" si="10"/>
        <v>0</v>
      </c>
      <c r="Q11" s="43">
        <f t="shared" si="10"/>
        <v>0</v>
      </c>
      <c r="R11" s="45">
        <f t="shared" si="10"/>
        <v>0</v>
      </c>
      <c r="S11" s="71"/>
      <c r="T11" s="61"/>
      <c r="U11" s="13"/>
    </row>
    <row r="12" spans="1:22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33"/>
      <c r="O12" s="5">
        <f t="shared" ref="O12:O17" si="11">+SUM(E12:N12)</f>
        <v>0</v>
      </c>
      <c r="P12" s="5">
        <f t="shared" ref="P12:P17" si="12">+O12/1.09</f>
        <v>0</v>
      </c>
      <c r="Q12" s="5">
        <f t="shared" ref="Q12:Q17" si="13">+O12-P12</f>
        <v>0</v>
      </c>
      <c r="R12" s="21">
        <f t="shared" ref="R12:R17" si="14">O12/D12</f>
        <v>0</v>
      </c>
      <c r="S12" s="2"/>
      <c r="T12" s="61"/>
      <c r="U12" s="13"/>
    </row>
    <row r="13" spans="1:22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33"/>
      <c r="O13" s="5">
        <f t="shared" si="11"/>
        <v>0</v>
      </c>
      <c r="P13" s="5">
        <f t="shared" si="12"/>
        <v>0</v>
      </c>
      <c r="Q13" s="5">
        <f t="shared" si="13"/>
        <v>0</v>
      </c>
      <c r="R13" s="21">
        <f t="shared" si="14"/>
        <v>0</v>
      </c>
      <c r="S13" s="71"/>
      <c r="T13" s="107">
        <v>1.1000000000000001</v>
      </c>
      <c r="U13" s="13">
        <f t="shared" ref="U13:U14" si="15">+R13*T13</f>
        <v>0</v>
      </c>
    </row>
    <row r="14" spans="1:22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33"/>
      <c r="O14" s="5">
        <f t="shared" si="11"/>
        <v>0</v>
      </c>
      <c r="P14" s="5">
        <f t="shared" si="12"/>
        <v>0</v>
      </c>
      <c r="Q14" s="5">
        <f t="shared" si="13"/>
        <v>0</v>
      </c>
      <c r="R14" s="21">
        <f t="shared" si="14"/>
        <v>0</v>
      </c>
      <c r="S14" s="71"/>
      <c r="T14" s="61">
        <v>1.76</v>
      </c>
      <c r="U14" s="13">
        <f t="shared" si="15"/>
        <v>0</v>
      </c>
    </row>
    <row r="15" spans="1:22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33"/>
      <c r="O15" s="5">
        <f t="shared" si="11"/>
        <v>0</v>
      </c>
      <c r="P15" s="5">
        <f t="shared" si="12"/>
        <v>0</v>
      </c>
      <c r="Q15" s="5">
        <f t="shared" si="13"/>
        <v>0</v>
      </c>
      <c r="R15" s="21">
        <f t="shared" si="14"/>
        <v>0</v>
      </c>
      <c r="S15" s="71"/>
      <c r="T15" s="61"/>
      <c r="U15" s="13"/>
    </row>
    <row r="16" spans="1:22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33"/>
      <c r="O16" s="5">
        <f t="shared" si="11"/>
        <v>0</v>
      </c>
      <c r="P16" s="5">
        <f t="shared" si="12"/>
        <v>0</v>
      </c>
      <c r="Q16" s="5">
        <f t="shared" si="13"/>
        <v>0</v>
      </c>
      <c r="R16" s="21">
        <f t="shared" si="14"/>
        <v>0</v>
      </c>
      <c r="S16" s="71"/>
      <c r="T16" s="107">
        <v>1.6</v>
      </c>
      <c r="U16" s="13">
        <f t="shared" ref="U16:U17" si="16">+R16*T16</f>
        <v>0</v>
      </c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76"/>
      <c r="O17" s="5">
        <f t="shared" si="11"/>
        <v>0</v>
      </c>
      <c r="P17" s="5">
        <f t="shared" si="12"/>
        <v>0</v>
      </c>
      <c r="Q17" s="5">
        <f t="shared" si="13"/>
        <v>0</v>
      </c>
      <c r="R17" s="22">
        <f t="shared" si="14"/>
        <v>0</v>
      </c>
      <c r="S17" s="71"/>
      <c r="T17" s="61">
        <v>2.56</v>
      </c>
      <c r="U17" s="13">
        <f t="shared" si="16"/>
        <v>0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49691.31</v>
      </c>
      <c r="F18" s="118">
        <f t="shared" ref="F18:R18" si="17">+SUM(F19:F43)</f>
        <v>2068254.4400000002</v>
      </c>
      <c r="G18" s="118">
        <f t="shared" si="17"/>
        <v>307943.32</v>
      </c>
      <c r="H18" s="118">
        <f t="shared" si="17"/>
        <v>52392.480000000003</v>
      </c>
      <c r="I18" s="118">
        <f t="shared" si="17"/>
        <v>0</v>
      </c>
      <c r="J18" s="118">
        <f t="shared" si="17"/>
        <v>0</v>
      </c>
      <c r="K18" s="118">
        <f t="shared" si="17"/>
        <v>0</v>
      </c>
      <c r="L18" s="118"/>
      <c r="M18" s="118">
        <f t="shared" si="17"/>
        <v>12888.92</v>
      </c>
      <c r="N18" s="118">
        <f t="shared" si="17"/>
        <v>229625.59999999995</v>
      </c>
      <c r="O18" s="118">
        <f t="shared" si="17"/>
        <v>2720796.07</v>
      </c>
      <c r="P18" s="118">
        <f t="shared" si="17"/>
        <v>2496143.1834862381</v>
      </c>
      <c r="Q18" s="118">
        <f t="shared" si="17"/>
        <v>224652.88651376168</v>
      </c>
      <c r="R18" s="118">
        <f t="shared" si="17"/>
        <v>51514.463872222208</v>
      </c>
      <c r="S18" s="71"/>
      <c r="T18" s="61"/>
      <c r="U18" s="105">
        <f>+SUM(U19:U42)</f>
        <v>2385681.4600000004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30306.67</v>
      </c>
      <c r="F19" s="92">
        <v>1178843.33</v>
      </c>
      <c r="G19" s="92">
        <v>169856.67</v>
      </c>
      <c r="H19" s="92">
        <v>26953.33</v>
      </c>
      <c r="I19" s="23"/>
      <c r="J19" s="34"/>
      <c r="K19" s="34"/>
      <c r="L19" s="34"/>
      <c r="M19" s="34">
        <v>7870</v>
      </c>
      <c r="N19" s="34">
        <v>111560</v>
      </c>
      <c r="O19" s="5">
        <f t="shared" ref="O19:O43" si="18">+SUM(E19:N19)</f>
        <v>1525390</v>
      </c>
      <c r="P19" s="99">
        <f t="shared" ref="P19:P43" si="19">+O19/1.09</f>
        <v>1399440.3669724769</v>
      </c>
      <c r="Q19" s="24">
        <f>+O19-P19</f>
        <v>125949.63302752306</v>
      </c>
      <c r="R19" s="94">
        <f t="shared" ref="R19:R42" si="20">O19/D19</f>
        <v>15253.9</v>
      </c>
      <c r="S19" s="41"/>
      <c r="T19" s="61"/>
      <c r="U19" s="106"/>
      <c r="V19"/>
      <c r="W19" s="142"/>
      <c r="X19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4853.33</v>
      </c>
      <c r="F20" s="48">
        <v>333843.33</v>
      </c>
      <c r="G20" s="48">
        <v>44665</v>
      </c>
      <c r="H20" s="48">
        <v>9738.33</v>
      </c>
      <c r="I20" s="13"/>
      <c r="J20" s="33"/>
      <c r="K20" s="33"/>
      <c r="L20" s="33"/>
      <c r="M20" s="33">
        <v>2560</v>
      </c>
      <c r="N20" s="33">
        <v>6140</v>
      </c>
      <c r="O20" s="5">
        <f t="shared" si="18"/>
        <v>401799.99000000005</v>
      </c>
      <c r="P20" s="5">
        <f t="shared" si="19"/>
        <v>368623.84403669729</v>
      </c>
      <c r="Q20" s="5">
        <f t="shared" ref="Q20:Q43" si="21">+O20-P20</f>
        <v>33176.145963302755</v>
      </c>
      <c r="R20" s="21">
        <f t="shared" si="20"/>
        <v>8035.9998000000014</v>
      </c>
      <c r="S20" s="41"/>
      <c r="T20" s="61">
        <v>50</v>
      </c>
      <c r="U20" s="13">
        <f t="shared" ref="U20:U21" si="22">+R20*T20</f>
        <v>401799.99000000005</v>
      </c>
      <c r="W20" s="142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f>725.33+7825.34</f>
        <v>8550.67</v>
      </c>
      <c r="F21" s="95">
        <f>4208+338942.67</f>
        <v>343150.67</v>
      </c>
      <c r="G21" s="95">
        <f>765.33+58485.33</f>
        <v>59250.66</v>
      </c>
      <c r="H21" s="95">
        <v>5519.33</v>
      </c>
      <c r="I21" s="13"/>
      <c r="J21" s="33"/>
      <c r="K21" s="33"/>
      <c r="L21" s="33"/>
      <c r="M21" s="33">
        <f>33.33+899.33</f>
        <v>932.66000000000008</v>
      </c>
      <c r="N21" s="33">
        <f>324.67+34240.67</f>
        <v>34565.339999999997</v>
      </c>
      <c r="O21" s="5">
        <f t="shared" si="18"/>
        <v>451969.32999999996</v>
      </c>
      <c r="P21" s="5">
        <f t="shared" si="19"/>
        <v>414650.76146788982</v>
      </c>
      <c r="Q21" s="5">
        <f t="shared" si="21"/>
        <v>37318.568532110134</v>
      </c>
      <c r="R21" s="21">
        <f t="shared" si="20"/>
        <v>22598.466499999999</v>
      </c>
      <c r="S21" s="41"/>
      <c r="T21" s="61">
        <v>80</v>
      </c>
      <c r="U21" s="13">
        <f t="shared" si="22"/>
        <v>1807877.3199999998</v>
      </c>
      <c r="W21" s="142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4764</v>
      </c>
      <c r="F22" s="48">
        <v>161760</v>
      </c>
      <c r="G22" s="95">
        <v>27165</v>
      </c>
      <c r="H22" s="95">
        <v>5271</v>
      </c>
      <c r="I22" s="13"/>
      <c r="J22" s="33"/>
      <c r="K22" s="33"/>
      <c r="L22" s="33"/>
      <c r="M22" s="33">
        <v>1197</v>
      </c>
      <c r="N22" s="33">
        <v>39768</v>
      </c>
      <c r="O22" s="5">
        <f t="shared" si="18"/>
        <v>239925</v>
      </c>
      <c r="P22" s="5">
        <f t="shared" si="19"/>
        <v>220114.67889908256</v>
      </c>
      <c r="Q22" s="5">
        <f t="shared" si="21"/>
        <v>19810.321100917441</v>
      </c>
      <c r="R22" s="21">
        <f t="shared" si="20"/>
        <v>2665.8333333333335</v>
      </c>
      <c r="S22" s="41"/>
      <c r="T22" s="61"/>
      <c r="U22" s="13"/>
      <c r="W22" s="142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120</v>
      </c>
      <c r="F23" s="95">
        <v>8584.5</v>
      </c>
      <c r="G23" s="95">
        <v>1429.5</v>
      </c>
      <c r="H23" s="95">
        <v>393</v>
      </c>
      <c r="I23" s="13"/>
      <c r="J23" s="33"/>
      <c r="K23" s="33"/>
      <c r="L23" s="33"/>
      <c r="M23" s="33">
        <v>100.5</v>
      </c>
      <c r="N23" s="33">
        <v>2181</v>
      </c>
      <c r="O23" s="5">
        <f t="shared" si="18"/>
        <v>12808.5</v>
      </c>
      <c r="P23" s="5">
        <f t="shared" si="19"/>
        <v>11750.91743119266</v>
      </c>
      <c r="Q23" s="5">
        <f t="shared" si="21"/>
        <v>1057.5825688073401</v>
      </c>
      <c r="R23" s="21">
        <f t="shared" si="20"/>
        <v>284.63333333333333</v>
      </c>
      <c r="S23" s="35"/>
      <c r="T23" s="61">
        <v>45</v>
      </c>
      <c r="U23" s="13">
        <f t="shared" ref="U23:U24" si="23">+R23*T23</f>
        <v>12808.5</v>
      </c>
      <c r="W23" s="142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f>39.6+399</f>
        <v>438.6</v>
      </c>
      <c r="F24" s="95">
        <f>70.2+7755.6</f>
        <v>7825.8</v>
      </c>
      <c r="G24" s="95">
        <v>1236.5999999999999</v>
      </c>
      <c r="H24" s="95">
        <v>91.2</v>
      </c>
      <c r="I24" s="13"/>
      <c r="J24" s="33"/>
      <c r="K24" s="33"/>
      <c r="L24" s="33"/>
      <c r="M24" s="33">
        <v>26.4</v>
      </c>
      <c r="N24" s="33">
        <f>61.2+2205.6</f>
        <v>2266.7999999999997</v>
      </c>
      <c r="O24" s="5">
        <f t="shared" si="18"/>
        <v>11885.4</v>
      </c>
      <c r="P24" s="5">
        <f t="shared" si="19"/>
        <v>10904.036697247706</v>
      </c>
      <c r="Q24" s="5">
        <f t="shared" si="21"/>
        <v>981.36330275229375</v>
      </c>
      <c r="R24" s="21">
        <f t="shared" si="20"/>
        <v>660.3</v>
      </c>
      <c r="S24" s="35"/>
      <c r="T24" s="61">
        <v>72</v>
      </c>
      <c r="U24" s="13">
        <f t="shared" si="23"/>
        <v>47541.599999999999</v>
      </c>
      <c r="W24" s="142"/>
    </row>
    <row r="25" spans="1:24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2816.67</v>
      </c>
      <c r="G25" s="95">
        <v>506.67</v>
      </c>
      <c r="H25" s="95">
        <v>573.33000000000004</v>
      </c>
      <c r="I25" s="13"/>
      <c r="J25" s="33"/>
      <c r="K25" s="33"/>
      <c r="L25" s="33"/>
      <c r="M25" s="33"/>
      <c r="N25" s="33">
        <v>3713.33</v>
      </c>
      <c r="O25" s="5">
        <f t="shared" si="18"/>
        <v>7610</v>
      </c>
      <c r="P25" s="5">
        <f t="shared" si="19"/>
        <v>6981.6513761467886</v>
      </c>
      <c r="Q25" s="5">
        <f t="shared" si="21"/>
        <v>628.34862385321139</v>
      </c>
      <c r="R25" s="21">
        <f t="shared" si="20"/>
        <v>25.366666666666667</v>
      </c>
      <c r="S25" s="35"/>
      <c r="T25" s="61"/>
      <c r="U25" s="13"/>
      <c r="W25" s="142"/>
    </row>
    <row r="26" spans="1:24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4891.67</v>
      </c>
      <c r="G26" s="95">
        <v>800</v>
      </c>
      <c r="H26" s="95">
        <v>356.67</v>
      </c>
      <c r="I26" s="13"/>
      <c r="J26" s="33"/>
      <c r="K26" s="33"/>
      <c r="L26" s="33"/>
      <c r="M26" s="33"/>
      <c r="N26" s="33">
        <v>1460</v>
      </c>
      <c r="O26" s="5">
        <f t="shared" si="18"/>
        <v>7508.34</v>
      </c>
      <c r="P26" s="5">
        <f t="shared" si="19"/>
        <v>6888.3853211009173</v>
      </c>
      <c r="Q26" s="5">
        <f t="shared" si="21"/>
        <v>619.95467889908286</v>
      </c>
      <c r="R26" s="21">
        <f t="shared" si="20"/>
        <v>50.055599999999998</v>
      </c>
      <c r="S26" s="35"/>
      <c r="T26" s="61">
        <v>150</v>
      </c>
      <c r="U26" s="13">
        <f t="shared" ref="U26:U42" si="24">+R26*T26</f>
        <v>7508.34</v>
      </c>
      <c r="W26" s="142"/>
    </row>
    <row r="27" spans="1:24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f>134.67+324</f>
        <v>458.66999999999996</v>
      </c>
      <c r="F27" s="95">
        <f>293.33+11740</f>
        <v>12033.33</v>
      </c>
      <c r="G27" s="95">
        <f>86+1533.33</f>
        <v>1619.33</v>
      </c>
      <c r="H27" s="95">
        <v>1132.67</v>
      </c>
      <c r="I27" s="13"/>
      <c r="J27" s="33"/>
      <c r="K27" s="33"/>
      <c r="L27" s="33"/>
      <c r="M27" s="33">
        <v>108.67</v>
      </c>
      <c r="N27" s="33">
        <f>319.33+8920.67</f>
        <v>9240</v>
      </c>
      <c r="O27" s="5">
        <f t="shared" si="18"/>
        <v>24592.67</v>
      </c>
      <c r="P27" s="5">
        <f t="shared" si="19"/>
        <v>22562.082568807335</v>
      </c>
      <c r="Q27" s="5">
        <f t="shared" si="21"/>
        <v>2030.5874311926636</v>
      </c>
      <c r="R27" s="21">
        <f t="shared" si="20"/>
        <v>409.87783333333329</v>
      </c>
      <c r="S27" s="35"/>
      <c r="T27" s="61">
        <v>240</v>
      </c>
      <c r="U27" s="13">
        <f t="shared" si="24"/>
        <v>98370.68</v>
      </c>
      <c r="W27" s="142"/>
    </row>
    <row r="28" spans="1:24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>
        <v>1413</v>
      </c>
      <c r="G28" s="95"/>
      <c r="H28" s="95"/>
      <c r="I28" s="13"/>
      <c r="J28" s="33"/>
      <c r="K28" s="33"/>
      <c r="L28" s="33"/>
      <c r="M28" s="33"/>
      <c r="N28" s="33">
        <v>16398</v>
      </c>
      <c r="O28" s="5">
        <f t="shared" si="18"/>
        <v>17811</v>
      </c>
      <c r="P28" s="5">
        <f t="shared" si="19"/>
        <v>16340.366972477063</v>
      </c>
      <c r="Q28" s="5">
        <f t="shared" si="21"/>
        <v>1470.6330275229375</v>
      </c>
      <c r="R28" s="21">
        <f t="shared" si="20"/>
        <v>65.966666666666669</v>
      </c>
      <c r="S28" s="35"/>
      <c r="T28" s="61"/>
      <c r="U28" s="13"/>
      <c r="W28" s="142"/>
    </row>
    <row r="29" spans="1:24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>
        <v>481.5</v>
      </c>
      <c r="G29" s="95"/>
      <c r="H29" s="95">
        <v>94.5</v>
      </c>
      <c r="I29" s="13"/>
      <c r="J29" s="33"/>
      <c r="K29" s="33"/>
      <c r="L29" s="33"/>
      <c r="M29" s="33"/>
      <c r="N29" s="33">
        <v>102</v>
      </c>
      <c r="O29" s="5">
        <f t="shared" si="18"/>
        <v>678</v>
      </c>
      <c r="P29" s="5">
        <f t="shared" si="19"/>
        <v>622.01834862385317</v>
      </c>
      <c r="Q29" s="5">
        <f t="shared" si="21"/>
        <v>55.981651376146829</v>
      </c>
      <c r="R29" s="21">
        <f t="shared" si="20"/>
        <v>5.0222222222222221</v>
      </c>
      <c r="S29" s="35"/>
      <c r="T29" s="61">
        <v>135</v>
      </c>
      <c r="U29" s="13">
        <f t="shared" si="24"/>
        <v>678</v>
      </c>
      <c r="W29" s="142"/>
    </row>
    <row r="30" spans="1:24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0">
        <v>113.4</v>
      </c>
      <c r="F30" s="95">
        <f>280.2</f>
        <v>280.2</v>
      </c>
      <c r="G30" s="95"/>
      <c r="H30" s="95">
        <v>82.8</v>
      </c>
      <c r="I30" s="13"/>
      <c r="J30" s="33"/>
      <c r="K30" s="33"/>
      <c r="L30" s="33"/>
      <c r="M30" s="33">
        <v>37.200000000000003</v>
      </c>
      <c r="N30" s="33">
        <v>615</v>
      </c>
      <c r="O30" s="5">
        <f t="shared" si="18"/>
        <v>1128.5999999999999</v>
      </c>
      <c r="P30" s="5">
        <f t="shared" si="19"/>
        <v>1035.4128440366972</v>
      </c>
      <c r="Q30" s="5">
        <f t="shared" si="21"/>
        <v>93.187155963302757</v>
      </c>
      <c r="R30" s="21">
        <f t="shared" si="20"/>
        <v>20.9</v>
      </c>
      <c r="S30" s="35"/>
      <c r="T30" s="61">
        <v>216</v>
      </c>
      <c r="U30" s="13">
        <f t="shared" si="24"/>
        <v>4514.3999999999996</v>
      </c>
      <c r="W30" s="142"/>
    </row>
    <row r="31" spans="1:24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>
        <v>506.67</v>
      </c>
      <c r="G31" s="95"/>
      <c r="H31" s="95"/>
      <c r="I31" s="13"/>
      <c r="J31" s="33"/>
      <c r="K31" s="33"/>
      <c r="L31" s="33"/>
      <c r="M31" s="33"/>
      <c r="N31" s="33"/>
      <c r="O31" s="5">
        <f t="shared" si="18"/>
        <v>506.67</v>
      </c>
      <c r="P31" s="5">
        <f t="shared" si="19"/>
        <v>464.83486238532106</v>
      </c>
      <c r="Q31" s="5">
        <f t="shared" si="21"/>
        <v>41.835137614678956</v>
      </c>
      <c r="R31" s="21">
        <f t="shared" si="20"/>
        <v>0.84445000000000003</v>
      </c>
      <c r="S31" s="35"/>
      <c r="T31" s="61"/>
      <c r="U31" s="13"/>
      <c r="W31" s="142"/>
    </row>
    <row r="32" spans="1:24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548.33000000000004</v>
      </c>
      <c r="G32" s="95"/>
      <c r="H32" s="95">
        <v>293.33</v>
      </c>
      <c r="I32" s="13"/>
      <c r="J32" s="33"/>
      <c r="K32" s="33"/>
      <c r="L32" s="33"/>
      <c r="M32" s="33"/>
      <c r="N32" s="33">
        <v>298.33</v>
      </c>
      <c r="O32" s="5">
        <f t="shared" si="18"/>
        <v>1139.99</v>
      </c>
      <c r="P32" s="5">
        <f t="shared" si="19"/>
        <v>1045.8623853211009</v>
      </c>
      <c r="Q32" s="5">
        <f t="shared" si="21"/>
        <v>94.127614678899135</v>
      </c>
      <c r="R32" s="21">
        <f t="shared" si="20"/>
        <v>3.7999666666666667</v>
      </c>
      <c r="S32" s="35"/>
      <c r="T32" s="61">
        <v>300</v>
      </c>
      <c r="U32" s="13">
        <f t="shared" si="24"/>
        <v>1139.99</v>
      </c>
      <c r="W32" s="142"/>
    </row>
    <row r="33" spans="1:24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527.33000000000004</v>
      </c>
      <c r="G33" s="95"/>
      <c r="H33" s="95"/>
      <c r="I33" s="13"/>
      <c r="J33" s="33"/>
      <c r="K33" s="33"/>
      <c r="L33" s="33"/>
      <c r="M33" s="33"/>
      <c r="N33" s="33">
        <f>115.33+218</f>
        <v>333.33</v>
      </c>
      <c r="O33" s="5">
        <f t="shared" si="18"/>
        <v>860.66000000000008</v>
      </c>
      <c r="P33" s="5">
        <f t="shared" si="19"/>
        <v>789.59633027522932</v>
      </c>
      <c r="Q33" s="5">
        <f t="shared" si="21"/>
        <v>71.063669724770762</v>
      </c>
      <c r="R33" s="21">
        <f t="shared" si="20"/>
        <v>7.1721666666666675</v>
      </c>
      <c r="S33" s="35"/>
      <c r="T33" s="61">
        <v>480</v>
      </c>
      <c r="U33" s="13">
        <f t="shared" si="24"/>
        <v>3442.6400000000003</v>
      </c>
      <c r="W33" s="142"/>
    </row>
    <row r="34" spans="1:24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>
        <v>936</v>
      </c>
      <c r="O34" s="5">
        <f t="shared" si="18"/>
        <v>936</v>
      </c>
      <c r="P34" s="5">
        <f t="shared" si="19"/>
        <v>858.71559633027516</v>
      </c>
      <c r="Q34" s="5">
        <f t="shared" si="21"/>
        <v>77.284403669724838</v>
      </c>
      <c r="R34" s="21">
        <f t="shared" si="20"/>
        <v>1.7333333333333334</v>
      </c>
      <c r="S34" s="35"/>
      <c r="T34" s="61"/>
      <c r="U34" s="13"/>
      <c r="W34" s="142"/>
    </row>
    <row r="35" spans="1:24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18"/>
        <v>0</v>
      </c>
      <c r="P35" s="5">
        <f t="shared" si="19"/>
        <v>0</v>
      </c>
      <c r="Q35" s="5">
        <f t="shared" si="21"/>
        <v>0</v>
      </c>
      <c r="R35" s="21">
        <f t="shared" si="20"/>
        <v>0</v>
      </c>
      <c r="S35" s="35"/>
      <c r="T35" s="61">
        <v>270</v>
      </c>
      <c r="U35" s="13">
        <f t="shared" si="24"/>
        <v>0</v>
      </c>
      <c r="W35" s="142"/>
    </row>
    <row r="36" spans="1:24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8"/>
        <v>0</v>
      </c>
      <c r="P36" s="5">
        <f t="shared" si="19"/>
        <v>0</v>
      </c>
      <c r="Q36" s="5">
        <f t="shared" si="21"/>
        <v>0</v>
      </c>
      <c r="R36" s="21">
        <f t="shared" si="20"/>
        <v>0</v>
      </c>
      <c r="S36" s="35"/>
      <c r="T36" s="61">
        <v>432</v>
      </c>
      <c r="U36" s="13">
        <f t="shared" si="24"/>
        <v>0</v>
      </c>
      <c r="W36" s="142"/>
    </row>
    <row r="37" spans="1:24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8"/>
        <v>0</v>
      </c>
      <c r="P37" s="5">
        <f t="shared" si="19"/>
        <v>0</v>
      </c>
      <c r="Q37" s="5">
        <f t="shared" si="21"/>
        <v>0</v>
      </c>
      <c r="R37" s="21">
        <f t="shared" si="20"/>
        <v>0</v>
      </c>
      <c r="S37" s="35"/>
      <c r="T37" s="61"/>
      <c r="U37" s="13"/>
      <c r="W37" s="142"/>
    </row>
    <row r="38" spans="1:24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8"/>
        <v>0</v>
      </c>
      <c r="P38" s="5">
        <f t="shared" si="19"/>
        <v>0</v>
      </c>
      <c r="Q38" s="5">
        <f t="shared" si="21"/>
        <v>0</v>
      </c>
      <c r="R38" s="21">
        <f t="shared" si="20"/>
        <v>0</v>
      </c>
      <c r="S38" s="35"/>
      <c r="T38" s="61">
        <v>450</v>
      </c>
      <c r="U38" s="13">
        <f t="shared" si="24"/>
        <v>0</v>
      </c>
      <c r="W38" s="142"/>
    </row>
    <row r="39" spans="1:24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/>
      <c r="G39" s="95"/>
      <c r="H39" s="95"/>
      <c r="I39" s="13"/>
      <c r="J39" s="33"/>
      <c r="K39" s="33"/>
      <c r="L39" s="33"/>
      <c r="M39" s="33"/>
      <c r="N39" s="33"/>
      <c r="O39" s="5">
        <f t="shared" si="18"/>
        <v>0</v>
      </c>
      <c r="P39" s="5">
        <f t="shared" si="19"/>
        <v>0</v>
      </c>
      <c r="Q39" s="5">
        <f t="shared" si="21"/>
        <v>0</v>
      </c>
      <c r="R39" s="21">
        <f t="shared" si="20"/>
        <v>0</v>
      </c>
      <c r="S39" s="35"/>
      <c r="T39" s="61">
        <v>720</v>
      </c>
      <c r="U39" s="13">
        <f t="shared" si="24"/>
        <v>0</v>
      </c>
      <c r="W39" s="142"/>
    </row>
    <row r="40" spans="1:24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/>
      <c r="O40" s="5">
        <f t="shared" si="18"/>
        <v>0</v>
      </c>
      <c r="P40" s="5">
        <f t="shared" si="19"/>
        <v>0</v>
      </c>
      <c r="Q40" s="5">
        <f t="shared" si="21"/>
        <v>0</v>
      </c>
      <c r="R40" s="21">
        <f t="shared" si="20"/>
        <v>0</v>
      </c>
      <c r="S40" s="71"/>
      <c r="T40" s="61"/>
      <c r="U40" s="13"/>
      <c r="W40" s="142"/>
    </row>
    <row r="41" spans="1:24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18"/>
        <v>0</v>
      </c>
      <c r="P41" s="5">
        <f t="shared" si="19"/>
        <v>0</v>
      </c>
      <c r="Q41" s="5">
        <f t="shared" si="21"/>
        <v>0</v>
      </c>
      <c r="R41" s="21">
        <f t="shared" si="20"/>
        <v>0</v>
      </c>
      <c r="S41" s="71"/>
      <c r="T41" s="61">
        <v>405</v>
      </c>
      <c r="U41" s="13">
        <f t="shared" si="24"/>
        <v>0</v>
      </c>
      <c r="W41" s="142"/>
    </row>
    <row r="42" spans="1:24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/>
      <c r="O42" s="26">
        <f t="shared" si="18"/>
        <v>0</v>
      </c>
      <c r="P42" s="26">
        <f t="shared" si="19"/>
        <v>0</v>
      </c>
      <c r="Q42" s="26">
        <f t="shared" si="21"/>
        <v>0</v>
      </c>
      <c r="R42" s="39">
        <f t="shared" si="20"/>
        <v>0</v>
      </c>
      <c r="S42" s="71"/>
      <c r="T42" s="61">
        <v>648</v>
      </c>
      <c r="U42" s="13">
        <f t="shared" si="24"/>
        <v>0</v>
      </c>
      <c r="W42" s="142"/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85.97</v>
      </c>
      <c r="F43" s="124">
        <v>10748.11</v>
      </c>
      <c r="G43" s="124">
        <v>1413.89</v>
      </c>
      <c r="H43" s="124">
        <v>1892.99</v>
      </c>
      <c r="I43" s="124"/>
      <c r="J43" s="124"/>
      <c r="K43" s="124"/>
      <c r="L43" s="124"/>
      <c r="M43" s="124">
        <v>56.49</v>
      </c>
      <c r="N43" s="124">
        <v>48.47</v>
      </c>
      <c r="O43" s="6">
        <f t="shared" si="18"/>
        <v>14245.919999999998</v>
      </c>
      <c r="P43" s="124">
        <f t="shared" si="19"/>
        <v>13069.651376146787</v>
      </c>
      <c r="Q43" s="6">
        <f t="shared" si="21"/>
        <v>1176.2686238532115</v>
      </c>
      <c r="R43" s="22">
        <f>+O43/D43</f>
        <v>1424.5919999999999</v>
      </c>
      <c r="S43" s="71"/>
      <c r="T43" s="61"/>
      <c r="U43" s="13"/>
      <c r="V43" s="2"/>
      <c r="W43" s="1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442.73</v>
      </c>
      <c r="F44" s="82">
        <f>+SUM(F45:F53)</f>
        <v>10533.08</v>
      </c>
      <c r="G44" s="82">
        <f>+SUM(G45:G53)</f>
        <v>1658.7400000000002</v>
      </c>
      <c r="H44" s="82">
        <f>+SUM(H45:H53)</f>
        <v>485.46</v>
      </c>
      <c r="I44" s="82">
        <f t="shared" ref="I44:R44" si="25">+SUM(I45:I53)</f>
        <v>0</v>
      </c>
      <c r="J44" s="82">
        <f t="shared" si="25"/>
        <v>0</v>
      </c>
      <c r="K44" s="100">
        <f t="shared" si="25"/>
        <v>0</v>
      </c>
      <c r="L44" s="100"/>
      <c r="M44" s="100">
        <f t="shared" si="25"/>
        <v>44.72</v>
      </c>
      <c r="N44" s="100">
        <f t="shared" si="25"/>
        <v>883.85</v>
      </c>
      <c r="O44" s="42">
        <f>+SUM(O45:O53)</f>
        <v>14048.58</v>
      </c>
      <c r="P44" s="82">
        <f t="shared" si="25"/>
        <v>12888.605504587156</v>
      </c>
      <c r="Q44" s="82">
        <f t="shared" si="25"/>
        <v>1159.9744954128455</v>
      </c>
      <c r="R44" s="19">
        <f t="shared" si="25"/>
        <v>598.9666666666667</v>
      </c>
      <c r="S44" s="71"/>
      <c r="T44" s="61"/>
      <c r="U44" s="105">
        <f>+SUM(U45:U68)</f>
        <v>8435.7200000000012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75"/>
      <c r="O45" s="5">
        <f t="shared" ref="O45:O53" si="26">+SUM(E45:N45)</f>
        <v>0</v>
      </c>
      <c r="P45" s="99">
        <f t="shared" ref="P45:P53" si="27">+O45/1.09</f>
        <v>0</v>
      </c>
      <c r="Q45" s="64">
        <f t="shared" ref="Q45:Q53" si="28">+O45-P45</f>
        <v>0</v>
      </c>
      <c r="R45" s="85">
        <f t="shared" ref="R45:R53" si="29">O45/D45</f>
        <v>0</v>
      </c>
      <c r="S45" s="71"/>
      <c r="T45" s="61"/>
      <c r="U45" s="13"/>
      <c r="V45"/>
      <c r="W45" s="142"/>
      <c r="X45"/>
    </row>
    <row r="46" spans="1:24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33"/>
      <c r="O46" s="5">
        <f t="shared" si="26"/>
        <v>0</v>
      </c>
      <c r="P46" s="5">
        <f t="shared" si="27"/>
        <v>0</v>
      </c>
      <c r="Q46" s="5">
        <f t="shared" si="28"/>
        <v>0</v>
      </c>
      <c r="R46" s="31">
        <f t="shared" si="29"/>
        <v>0</v>
      </c>
      <c r="S46" s="71"/>
      <c r="T46" s="61">
        <v>6</v>
      </c>
      <c r="U46" s="13">
        <f t="shared" ref="U46:U47" si="30">+R46*T46</f>
        <v>0</v>
      </c>
      <c r="W46" s="142"/>
    </row>
    <row r="47" spans="1:24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33"/>
      <c r="O47" s="5">
        <f t="shared" si="26"/>
        <v>0</v>
      </c>
      <c r="P47" s="5">
        <f t="shared" si="27"/>
        <v>0</v>
      </c>
      <c r="Q47" s="5">
        <f t="shared" si="28"/>
        <v>0</v>
      </c>
      <c r="R47" s="31">
        <f t="shared" si="29"/>
        <v>0</v>
      </c>
      <c r="S47" s="71"/>
      <c r="T47" s="61">
        <v>9.6</v>
      </c>
      <c r="U47" s="13">
        <f t="shared" si="30"/>
        <v>0</v>
      </c>
      <c r="W47" s="142"/>
    </row>
    <row r="48" spans="1:24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/>
      <c r="F48" s="13">
        <v>385</v>
      </c>
      <c r="G48" s="13">
        <v>56</v>
      </c>
      <c r="H48" s="13">
        <v>14</v>
      </c>
      <c r="I48" s="13"/>
      <c r="J48" s="33"/>
      <c r="K48" s="33"/>
      <c r="L48" s="33"/>
      <c r="M48" s="33"/>
      <c r="N48" s="33">
        <v>49</v>
      </c>
      <c r="O48" s="5">
        <f t="shared" si="26"/>
        <v>504</v>
      </c>
      <c r="P48" s="5">
        <f t="shared" si="27"/>
        <v>462.38532110091739</v>
      </c>
      <c r="Q48" s="5">
        <f t="shared" si="28"/>
        <v>41.614678899082605</v>
      </c>
      <c r="R48" s="31">
        <f t="shared" si="29"/>
        <v>24</v>
      </c>
      <c r="S48" s="71"/>
      <c r="T48" s="61"/>
      <c r="U48" s="13"/>
      <c r="W48" s="142"/>
    </row>
    <row r="49" spans="1:23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21</v>
      </c>
      <c r="G49" s="13">
        <v>7</v>
      </c>
      <c r="H49" s="13">
        <v>7</v>
      </c>
      <c r="I49" s="13"/>
      <c r="J49" s="33"/>
      <c r="K49" s="33"/>
      <c r="L49" s="33"/>
      <c r="M49" s="33">
        <v>7</v>
      </c>
      <c r="N49" s="33"/>
      <c r="O49" s="5">
        <f t="shared" si="26"/>
        <v>42</v>
      </c>
      <c r="P49" s="5">
        <f t="shared" si="27"/>
        <v>38.532110091743114</v>
      </c>
      <c r="Q49" s="5">
        <f t="shared" si="28"/>
        <v>3.4678899082568861</v>
      </c>
      <c r="R49" s="21">
        <f t="shared" si="29"/>
        <v>4</v>
      </c>
      <c r="S49" s="71"/>
      <c r="T49" s="61">
        <v>10.5</v>
      </c>
      <c r="U49" s="13">
        <f t="shared" ref="U49:U50" si="31">+R49*T49</f>
        <v>42</v>
      </c>
      <c r="W49" s="142"/>
    </row>
    <row r="50" spans="1:23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2.8</v>
      </c>
      <c r="F50" s="13">
        <f>2.8+264.6</f>
        <v>267.40000000000003</v>
      </c>
      <c r="G50" s="13">
        <v>23.8</v>
      </c>
      <c r="H50" s="13">
        <v>2.8</v>
      </c>
      <c r="I50" s="13"/>
      <c r="J50" s="33"/>
      <c r="K50" s="33"/>
      <c r="L50" s="33"/>
      <c r="M50" s="33"/>
      <c r="N50" s="33">
        <v>21</v>
      </c>
      <c r="O50" s="5">
        <f t="shared" si="26"/>
        <v>317.80000000000007</v>
      </c>
      <c r="P50" s="5">
        <f t="shared" si="27"/>
        <v>291.55963302752298</v>
      </c>
      <c r="Q50" s="5">
        <f t="shared" si="28"/>
        <v>26.240366972477091</v>
      </c>
      <c r="R50" s="21">
        <f t="shared" si="29"/>
        <v>75.666666666666686</v>
      </c>
      <c r="S50" s="71"/>
      <c r="T50" s="61">
        <v>16.8</v>
      </c>
      <c r="U50" s="13">
        <f t="shared" si="31"/>
        <v>1271.2000000000003</v>
      </c>
      <c r="W50" s="142"/>
    </row>
    <row r="51" spans="1:23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373.1</v>
      </c>
      <c r="F51" s="13">
        <v>8171.3</v>
      </c>
      <c r="G51" s="13">
        <v>1287.4000000000001</v>
      </c>
      <c r="H51" s="13">
        <v>287</v>
      </c>
      <c r="I51" s="13"/>
      <c r="J51" s="33"/>
      <c r="K51" s="33"/>
      <c r="L51" s="33"/>
      <c r="M51" s="33">
        <v>28.7</v>
      </c>
      <c r="N51" s="33">
        <v>500.2</v>
      </c>
      <c r="O51" s="5">
        <f t="shared" si="26"/>
        <v>10647.7</v>
      </c>
      <c r="P51" s="5">
        <f t="shared" si="27"/>
        <v>9768.5321100917427</v>
      </c>
      <c r="Q51" s="5">
        <f t="shared" si="28"/>
        <v>879.16788990825808</v>
      </c>
      <c r="R51" s="21">
        <f t="shared" si="29"/>
        <v>259.70000000000005</v>
      </c>
      <c r="S51" s="71"/>
      <c r="T51" s="61"/>
      <c r="U51" s="13"/>
      <c r="W51" s="142"/>
    </row>
    <row r="52" spans="1:23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38.950000000000003</v>
      </c>
      <c r="F52" s="13">
        <v>717.5</v>
      </c>
      <c r="G52" s="13">
        <v>159.9</v>
      </c>
      <c r="H52" s="13">
        <v>16.399999999999999</v>
      </c>
      <c r="I52" s="13"/>
      <c r="J52" s="33"/>
      <c r="K52" s="33"/>
      <c r="L52" s="33"/>
      <c r="M52" s="33"/>
      <c r="N52" s="33">
        <v>75.849999999999994</v>
      </c>
      <c r="O52" s="5">
        <f t="shared" si="26"/>
        <v>1008.6</v>
      </c>
      <c r="P52" s="5">
        <f t="shared" si="27"/>
        <v>925.32110091743118</v>
      </c>
      <c r="Q52" s="5">
        <f t="shared" si="28"/>
        <v>83.278899082568842</v>
      </c>
      <c r="R52" s="21">
        <f t="shared" si="29"/>
        <v>49.2</v>
      </c>
      <c r="S52" s="71"/>
      <c r="T52" s="61">
        <v>20.5</v>
      </c>
      <c r="U52" s="13">
        <f t="shared" ref="U52:U53" si="32">+R52*T52</f>
        <v>1008.6</v>
      </c>
      <c r="W52" s="142"/>
    </row>
    <row r="53" spans="1:23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f>1.64+26.24</f>
        <v>27.88</v>
      </c>
      <c r="F53" s="14">
        <f>10.66+960.22</f>
        <v>970.88</v>
      </c>
      <c r="G53" s="14">
        <v>124.64</v>
      </c>
      <c r="H53" s="14">
        <v>158.26</v>
      </c>
      <c r="I53" s="14"/>
      <c r="J53" s="76"/>
      <c r="K53" s="76"/>
      <c r="L53" s="76"/>
      <c r="M53" s="76">
        <v>9.02</v>
      </c>
      <c r="N53" s="76">
        <f>4.92+232.88</f>
        <v>237.79999999999998</v>
      </c>
      <c r="O53" s="6">
        <f t="shared" si="26"/>
        <v>1528.48</v>
      </c>
      <c r="P53" s="6">
        <f t="shared" si="27"/>
        <v>1402.275229357798</v>
      </c>
      <c r="Q53" s="6">
        <f t="shared" si="28"/>
        <v>126.20477064220199</v>
      </c>
      <c r="R53" s="22">
        <f t="shared" si="29"/>
        <v>186.4</v>
      </c>
      <c r="S53" s="35"/>
      <c r="T53" s="61">
        <v>32.799999999999997</v>
      </c>
      <c r="U53" s="13">
        <f t="shared" si="32"/>
        <v>6113.92</v>
      </c>
      <c r="W53" s="142"/>
    </row>
    <row r="54" spans="1:23" x14ac:dyDescent="0.25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23" x14ac:dyDescent="0.25"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7" spans="1:23" x14ac:dyDescent="0.25">
      <c r="N57" s="137"/>
    </row>
    <row r="73" spans="2:2" x14ac:dyDescent="0.25">
      <c r="B73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H73"/>
  <sheetViews>
    <sheetView topLeftCell="J1" zoomScaleNormal="100" workbookViewId="0">
      <selection activeCell="O2" sqref="O2"/>
    </sheetView>
  </sheetViews>
  <sheetFormatPr defaultColWidth="8.88671875" defaultRowHeight="14.4" outlineLevelCol="1" x14ac:dyDescent="0.3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3" width="13" style="1" customWidth="1" outlineLevel="1"/>
    <col min="14" max="14" width="11.88671875" style="1" customWidth="1" outlineLevel="1"/>
    <col min="15" max="15" width="12.33203125" style="1" bestFit="1" customWidth="1"/>
    <col min="16" max="16" width="12.33203125" style="1" customWidth="1"/>
    <col min="17" max="17" width="13.109375" style="1" bestFit="1" customWidth="1"/>
    <col min="18" max="18" width="12.33203125" style="1" bestFit="1" customWidth="1"/>
    <col min="19" max="19" width="2.44140625" style="1" customWidth="1"/>
    <col min="20" max="20" width="6.44140625" style="1" customWidth="1" outlineLevel="1"/>
    <col min="21" max="21" width="14.33203125" style="2" customWidth="1" outlineLevel="1"/>
    <col min="22" max="22" width="4.33203125" style="1" customWidth="1" outlineLevel="1"/>
    <col min="23" max="23" width="11.5546875" bestFit="1" customWidth="1"/>
    <col min="24" max="24" width="15.44140625" style="141" hidden="1" customWidth="1" outlineLevel="1"/>
    <col min="25" max="25" width="19.44140625" style="1" hidden="1" customWidth="1" outlineLevel="1"/>
    <col min="26" max="26" width="15.33203125" style="1" hidden="1" customWidth="1" outlineLevel="1"/>
    <col min="27" max="27" width="16" style="1" hidden="1" customWidth="1" outlineLevel="1"/>
    <col min="28" max="28" width="11" customWidth="1" collapsed="1"/>
    <col min="29" max="16384" width="8.88671875" style="1"/>
  </cols>
  <sheetData>
    <row r="1" spans="1:34" ht="16.95" customHeight="1" x14ac:dyDescent="0.3">
      <c r="A1" s="40" t="s">
        <v>255</v>
      </c>
      <c r="E1" s="2"/>
      <c r="F1" s="2"/>
      <c r="G1" s="2"/>
      <c r="H1" s="2"/>
      <c r="I1" s="2"/>
      <c r="J1" s="2"/>
      <c r="K1" s="2"/>
      <c r="L1" s="2"/>
      <c r="M1" s="2"/>
      <c r="N1" s="2"/>
      <c r="O1" s="2">
        <f>+(O5-K5-L5)/1.09</f>
        <v>9593709.1559633017</v>
      </c>
      <c r="P1" s="2"/>
      <c r="Q1" s="2"/>
      <c r="R1" s="2"/>
      <c r="X1" s="138"/>
    </row>
    <row r="2" spans="1:34" ht="18" customHeight="1" x14ac:dyDescent="0.3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U2" s="138"/>
      <c r="X2" s="138"/>
    </row>
    <row r="3" spans="1:34" ht="26.4" customHeight="1" x14ac:dyDescent="0.3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270"/>
      <c r="U3" s="584" t="s">
        <v>148</v>
      </c>
      <c r="X3" s="593"/>
      <c r="Y3" s="595"/>
      <c r="Z3" s="595"/>
      <c r="AA3" s="595"/>
    </row>
    <row r="4" spans="1:34" ht="27.6" customHeight="1" x14ac:dyDescent="0.3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268</v>
      </c>
      <c r="M4" s="575"/>
      <c r="N4" s="581"/>
      <c r="O4" s="591"/>
      <c r="P4" s="592"/>
      <c r="Q4" s="592"/>
      <c r="R4" s="592"/>
      <c r="T4" s="87"/>
      <c r="U4" s="585"/>
      <c r="X4" s="594"/>
      <c r="Y4" s="596"/>
      <c r="Z4" s="596"/>
      <c r="AA4" s="596"/>
    </row>
    <row r="5" spans="1:34" ht="12" customHeight="1" x14ac:dyDescent="0.3">
      <c r="A5" s="70" t="s">
        <v>29</v>
      </c>
      <c r="B5" s="52" t="s">
        <v>36</v>
      </c>
      <c r="C5" s="9" t="s">
        <v>45</v>
      </c>
      <c r="D5" s="78"/>
      <c r="E5" s="231">
        <f t="shared" ref="E5:R5" si="0">+E6+E18+E44</f>
        <v>158507.48000000001</v>
      </c>
      <c r="F5" s="82">
        <f t="shared" si="0"/>
        <v>6826166.7799999993</v>
      </c>
      <c r="G5" s="82">
        <f t="shared" si="0"/>
        <v>1023352.84</v>
      </c>
      <c r="H5" s="82">
        <f t="shared" si="0"/>
        <v>160441.24</v>
      </c>
      <c r="I5" s="187">
        <f t="shared" si="0"/>
        <v>623585.55000000005</v>
      </c>
      <c r="J5" s="187">
        <f t="shared" si="0"/>
        <v>990661</v>
      </c>
      <c r="K5" s="192">
        <f t="shared" si="0"/>
        <v>979081.82000000007</v>
      </c>
      <c r="L5" s="192">
        <f t="shared" si="0"/>
        <v>1591.5399999999543</v>
      </c>
      <c r="M5" s="187">
        <f t="shared" si="0"/>
        <v>25149.95</v>
      </c>
      <c r="N5" s="19">
        <f t="shared" si="0"/>
        <v>649278.14</v>
      </c>
      <c r="O5" s="42">
        <f t="shared" si="0"/>
        <v>11437816.339999998</v>
      </c>
      <c r="P5" s="42">
        <f t="shared" si="0"/>
        <v>10493409.48623853</v>
      </c>
      <c r="Q5" s="42">
        <f t="shared" si="0"/>
        <v>944406.85376146878</v>
      </c>
      <c r="R5" s="42">
        <f t="shared" si="0"/>
        <v>2369859.6329148146</v>
      </c>
      <c r="S5" s="71"/>
      <c r="T5" s="87"/>
      <c r="U5" s="135">
        <f>+U6+U18+U44</f>
        <v>7270834.54</v>
      </c>
      <c r="W5" s="102"/>
      <c r="X5" s="42"/>
      <c r="Y5" s="42"/>
      <c r="Z5" s="42"/>
      <c r="AA5" s="42"/>
      <c r="AB5" s="102"/>
    </row>
    <row r="6" spans="1:34" ht="12" customHeight="1" x14ac:dyDescent="0.3">
      <c r="A6" s="70" t="s">
        <v>12</v>
      </c>
      <c r="B6" s="52" t="s">
        <v>30</v>
      </c>
      <c r="C6" s="9" t="s">
        <v>1</v>
      </c>
      <c r="D6" s="78"/>
      <c r="E6" s="231">
        <f t="shared" ref="E6:R6" si="1">+E7+E11</f>
        <v>35395.42</v>
      </c>
      <c r="F6" s="82">
        <f t="shared" si="1"/>
        <v>1623576.58</v>
      </c>
      <c r="G6" s="82">
        <f t="shared" si="1"/>
        <v>234183.84000000003</v>
      </c>
      <c r="H6" s="82">
        <f t="shared" si="1"/>
        <v>33962.339999999997</v>
      </c>
      <c r="I6" s="187">
        <f t="shared" si="1"/>
        <v>623585.55000000005</v>
      </c>
      <c r="J6" s="187">
        <f t="shared" si="1"/>
        <v>990661</v>
      </c>
      <c r="K6" s="192">
        <f t="shared" si="1"/>
        <v>979081.82000000007</v>
      </c>
      <c r="L6" s="192">
        <f t="shared" si="1"/>
        <v>1591.5399999999543</v>
      </c>
      <c r="M6" s="187">
        <f t="shared" si="1"/>
        <v>9323.82</v>
      </c>
      <c r="N6" s="19">
        <f t="shared" si="1"/>
        <v>148045.54</v>
      </c>
      <c r="O6" s="42">
        <f t="shared" si="1"/>
        <v>4679407.45</v>
      </c>
      <c r="P6" s="42">
        <f t="shared" si="1"/>
        <v>4293034.3577981647</v>
      </c>
      <c r="Q6" s="42">
        <f t="shared" si="1"/>
        <v>386373.0922018353</v>
      </c>
      <c r="R6" s="44">
        <f t="shared" si="1"/>
        <v>2218072</v>
      </c>
      <c r="T6" s="61"/>
      <c r="U6" s="105">
        <f>+SUM(U8:U17)</f>
        <v>1019073.7499999999</v>
      </c>
      <c r="W6" s="102"/>
      <c r="X6" s="42"/>
      <c r="Y6" s="42"/>
      <c r="Z6" s="42"/>
      <c r="AA6" s="42"/>
      <c r="AB6" s="102"/>
    </row>
    <row r="7" spans="1:34" ht="12" customHeight="1" x14ac:dyDescent="0.3">
      <c r="A7" s="70" t="s">
        <v>52</v>
      </c>
      <c r="B7" s="52" t="s">
        <v>31</v>
      </c>
      <c r="C7" s="8" t="s">
        <v>11</v>
      </c>
      <c r="D7" s="79"/>
      <c r="E7" s="126">
        <f t="shared" ref="E7:L7" si="2">+SUM(E8:E10)</f>
        <v>0</v>
      </c>
      <c r="F7" s="269">
        <f t="shared" si="2"/>
        <v>0</v>
      </c>
      <c r="G7" s="126">
        <f t="shared" si="2"/>
        <v>0</v>
      </c>
      <c r="H7" s="126">
        <f t="shared" si="2"/>
        <v>0</v>
      </c>
      <c r="I7" s="126">
        <f t="shared" si="2"/>
        <v>623585.55000000005</v>
      </c>
      <c r="J7" s="126">
        <f t="shared" si="2"/>
        <v>990661</v>
      </c>
      <c r="K7" s="126">
        <f t="shared" si="2"/>
        <v>0</v>
      </c>
      <c r="L7" s="126">
        <f t="shared" si="2"/>
        <v>0</v>
      </c>
      <c r="M7" s="269">
        <f t="shared" ref="M7:R7" si="3">+SUM(M8:M10)</f>
        <v>0</v>
      </c>
      <c r="N7" s="126">
        <f t="shared" si="3"/>
        <v>0</v>
      </c>
      <c r="O7" s="43">
        <f t="shared" si="3"/>
        <v>1614246.55</v>
      </c>
      <c r="P7" s="43">
        <f t="shared" si="3"/>
        <v>1480960.1376146788</v>
      </c>
      <c r="Q7" s="43">
        <f t="shared" si="3"/>
        <v>133286.41238532113</v>
      </c>
      <c r="R7" s="45">
        <f t="shared" si="3"/>
        <v>584446</v>
      </c>
      <c r="S7" s="71"/>
      <c r="T7" s="134"/>
      <c r="U7" s="105"/>
      <c r="W7" s="102"/>
      <c r="X7" s="43"/>
      <c r="Y7" s="43"/>
      <c r="Z7" s="43"/>
      <c r="AA7" s="43"/>
      <c r="AB7" s="102"/>
    </row>
    <row r="8" spans="1:34" ht="12" customHeight="1" x14ac:dyDescent="0.3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+'R_2014_03_atkelta(viso)'!E8+R_2014_03_priskirta!E9</f>
        <v>0</v>
      </c>
      <c r="F8" s="127">
        <f>+'R_2014_03_atkelta(viso)'!F8+R_2014_03_priskirta!F9</f>
        <v>0</v>
      </c>
      <c r="G8" s="127">
        <f>+'R_2014_03_atkelta(viso)'!G8+R_2014_03_priskirta!G9</f>
        <v>0</v>
      </c>
      <c r="H8" s="127">
        <f>+'R_2014_03_atkelta(viso)'!H8+R_2014_03_priskirta!H9</f>
        <v>0</v>
      </c>
      <c r="I8" s="127">
        <f>+'R_2014_03_atkelta(viso)'!I8+R_2014_03_priskirta!I9</f>
        <v>456928.5</v>
      </c>
      <c r="J8" s="127">
        <f>+'R_2014_03_atkelta(viso)'!J8+R_2014_03_priskirta!J9</f>
        <v>739672.5</v>
      </c>
      <c r="K8" s="127">
        <f>+'R_2014_03_atkelta(viso)'!K8+R_2014_03_priskirta!K9</f>
        <v>0</v>
      </c>
      <c r="L8" s="127">
        <f>+'R_2014_03_atkelta(viso)'!L8+R_2014_03_priskirta!L9</f>
        <v>0</v>
      </c>
      <c r="M8" s="127">
        <f>+'R_2014_03_atkelta(viso)'!M8+R_2014_03_priskirta!M9</f>
        <v>0</v>
      </c>
      <c r="N8" s="127">
        <f>+'R_2014_03_atkelta(viso)'!N8+R_2014_03_priskirta!N9</f>
        <v>0</v>
      </c>
      <c r="O8" s="152">
        <f>+SUM(E8:N8)</f>
        <v>1196601</v>
      </c>
      <c r="P8" s="229">
        <f>+O8/1.09</f>
        <v>1097799.0825688073</v>
      </c>
      <c r="Q8" s="73">
        <f t="shared" ref="Q8:Q10" si="4">+O8-P8</f>
        <v>98801.917431192705</v>
      </c>
      <c r="R8" s="39">
        <f>O8/D8</f>
        <v>341886</v>
      </c>
      <c r="S8" s="71"/>
      <c r="T8" s="61"/>
      <c r="U8" s="13"/>
      <c r="V8" s="2"/>
      <c r="W8" s="102"/>
      <c r="X8" s="102"/>
      <c r="Y8" s="102"/>
      <c r="Z8" s="102"/>
      <c r="AA8" s="102"/>
      <c r="AB8" s="102"/>
      <c r="AC8" s="102"/>
      <c r="AD8" s="102"/>
      <c r="AE8" s="2"/>
      <c r="AF8" s="2"/>
      <c r="AG8" s="2"/>
      <c r="AH8" s="2"/>
    </row>
    <row r="9" spans="1:34" ht="12" customHeight="1" x14ac:dyDescent="0.3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+'R_2014_03_atkelta(viso)'!E9+R_2014_03_priskirta!E10</f>
        <v>0</v>
      </c>
      <c r="F9" s="127">
        <f>+'R_2014_03_atkelta(viso)'!F9+R_2014_03_priskirta!F10</f>
        <v>0</v>
      </c>
      <c r="G9" s="127">
        <f>+'R_2014_03_atkelta(viso)'!G9+R_2014_03_priskirta!G10</f>
        <v>0</v>
      </c>
      <c r="H9" s="127">
        <f>+'R_2014_03_atkelta(viso)'!H9+R_2014_03_priskirta!H10</f>
        <v>0</v>
      </c>
      <c r="I9" s="127">
        <f>+'R_2014_03_atkelta(viso)'!I9+R_2014_03_priskirta!I10</f>
        <v>163973.25</v>
      </c>
      <c r="J9" s="127">
        <f>+'R_2014_03_atkelta(viso)'!J9+R_2014_03_priskirta!J10</f>
        <v>249116</v>
      </c>
      <c r="K9" s="127">
        <f>+'R_2014_03_atkelta(viso)'!K9+R_2014_03_priskirta!K10</f>
        <v>0</v>
      </c>
      <c r="L9" s="127">
        <f>+'R_2014_03_atkelta(viso)'!L9+R_2014_03_priskirta!L10</f>
        <v>0</v>
      </c>
      <c r="M9" s="127">
        <f>+'R_2014_03_atkelta(viso)'!M9+R_2014_03_priskirta!M10</f>
        <v>0</v>
      </c>
      <c r="N9" s="127">
        <f>+'R_2014_03_atkelta(viso)'!N9+R_2014_03_priskirta!N10</f>
        <v>0</v>
      </c>
      <c r="O9" s="206">
        <f>+SUM(E9:N9)</f>
        <v>413089.25</v>
      </c>
      <c r="P9" s="229">
        <f t="shared" ref="P9:P53" si="6">+O9/1.09</f>
        <v>378980.96330275229</v>
      </c>
      <c r="Q9" s="207">
        <f t="shared" si="4"/>
        <v>34108.286697247706</v>
      </c>
      <c r="R9" s="39">
        <f>O9/D9</f>
        <v>236051</v>
      </c>
      <c r="S9" s="71"/>
      <c r="T9" s="61">
        <v>1.75</v>
      </c>
      <c r="U9" s="13">
        <f>+R9*T9</f>
        <v>413089.25</v>
      </c>
      <c r="W9" s="102"/>
      <c r="X9" s="102"/>
      <c r="Y9" s="102"/>
      <c r="Z9" s="102"/>
      <c r="AA9" s="102"/>
      <c r="AB9" s="102"/>
      <c r="AC9" s="102"/>
      <c r="AD9" s="102"/>
      <c r="AE9" s="2"/>
      <c r="AF9" s="2"/>
      <c r="AG9" s="2"/>
      <c r="AH9" s="2"/>
    </row>
    <row r="10" spans="1:34" ht="12" customHeight="1" x14ac:dyDescent="0.3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+'R_2014_03_atkelta(viso)'!E10+R_2014_03_priskirta!E11</f>
        <v>0</v>
      </c>
      <c r="F10" s="127">
        <f>+'R_2014_03_atkelta(viso)'!F10+R_2014_03_priskirta!F11</f>
        <v>0</v>
      </c>
      <c r="G10" s="127">
        <f>+'R_2014_03_atkelta(viso)'!G10+R_2014_03_priskirta!G11</f>
        <v>0</v>
      </c>
      <c r="H10" s="127">
        <f>+'R_2014_03_atkelta(viso)'!H10+R_2014_03_priskirta!H11</f>
        <v>0</v>
      </c>
      <c r="I10" s="127">
        <f>+'R_2014_03_atkelta(viso)'!I10+R_2014_03_priskirta!I11</f>
        <v>2683.8</v>
      </c>
      <c r="J10" s="127">
        <f>+'R_2014_03_atkelta(viso)'!J10+R_2014_03_priskirta!J11</f>
        <v>1872.5</v>
      </c>
      <c r="K10" s="127">
        <f>+'R_2014_03_atkelta(viso)'!K10+R_2014_03_priskirta!K11</f>
        <v>0</v>
      </c>
      <c r="L10" s="127">
        <f>+'R_2014_03_atkelta(viso)'!L10+R_2014_03_priskirta!L11</f>
        <v>0</v>
      </c>
      <c r="M10" s="127">
        <f>+'R_2014_03_atkelta(viso)'!M10+R_2014_03_priskirta!M11</f>
        <v>0</v>
      </c>
      <c r="N10" s="127">
        <f>+'R_2014_03_atkelta(viso)'!N10+R_2014_03_priskirta!N11</f>
        <v>0</v>
      </c>
      <c r="O10" s="206">
        <f>+SUM(E10:N10)</f>
        <v>4556.3</v>
      </c>
      <c r="P10" s="229">
        <f t="shared" si="6"/>
        <v>4180.0917431192656</v>
      </c>
      <c r="Q10" s="207">
        <f t="shared" si="4"/>
        <v>376.20825688073455</v>
      </c>
      <c r="R10" s="39">
        <f>O10/D10</f>
        <v>6509.0000000000009</v>
      </c>
      <c r="S10" s="71"/>
      <c r="T10" s="107">
        <v>2.8</v>
      </c>
      <c r="U10" s="13">
        <f>+R10*T10</f>
        <v>18225.2</v>
      </c>
      <c r="V10" s="2"/>
      <c r="W10" s="102"/>
      <c r="X10" s="102"/>
      <c r="Y10" s="102"/>
      <c r="Z10" s="102"/>
      <c r="AA10" s="102"/>
      <c r="AB10" s="102"/>
      <c r="AC10" s="102"/>
      <c r="AD10" s="102"/>
      <c r="AE10" s="2"/>
      <c r="AF10" s="2"/>
      <c r="AG10" s="2"/>
      <c r="AH10" s="2"/>
    </row>
    <row r="11" spans="1:34" ht="12" customHeight="1" x14ac:dyDescent="0.3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35395.42</v>
      </c>
      <c r="F11" s="84">
        <f t="shared" si="7"/>
        <v>1623576.58</v>
      </c>
      <c r="G11" s="84">
        <f t="shared" si="7"/>
        <v>234183.84000000003</v>
      </c>
      <c r="H11" s="84">
        <f t="shared" si="7"/>
        <v>33962.339999999997</v>
      </c>
      <c r="I11" s="84">
        <f t="shared" si="7"/>
        <v>0</v>
      </c>
      <c r="J11" s="74">
        <f t="shared" si="7"/>
        <v>0</v>
      </c>
      <c r="K11" s="101">
        <f t="shared" si="7"/>
        <v>979081.82000000007</v>
      </c>
      <c r="L11" s="101">
        <f t="shared" si="7"/>
        <v>1591.5399999999543</v>
      </c>
      <c r="M11" s="101">
        <f t="shared" ref="M11:R11" si="8">+SUM(M12:M17)</f>
        <v>9323.82</v>
      </c>
      <c r="N11" s="101">
        <f t="shared" si="8"/>
        <v>148045.54</v>
      </c>
      <c r="O11" s="211">
        <f t="shared" si="8"/>
        <v>3065160.9</v>
      </c>
      <c r="P11" s="43">
        <f t="shared" si="8"/>
        <v>2812074.2201834861</v>
      </c>
      <c r="Q11" s="72">
        <f t="shared" si="8"/>
        <v>253086.67981651417</v>
      </c>
      <c r="R11" s="45">
        <f t="shared" si="8"/>
        <v>1633626</v>
      </c>
      <c r="S11" s="71"/>
      <c r="T11" s="61"/>
      <c r="U11" s="13"/>
      <c r="W11" s="102"/>
      <c r="X11" s="102"/>
      <c r="Y11" s="102"/>
      <c r="Z11" s="102"/>
      <c r="AA11" s="102"/>
      <c r="AB11" s="102"/>
      <c r="AC11" s="102"/>
      <c r="AD11" s="102"/>
      <c r="AE11" s="2"/>
      <c r="AF11" s="2"/>
      <c r="AG11" s="2"/>
      <c r="AH11" s="2"/>
    </row>
    <row r="12" spans="1:3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+'R_2014_03_atkelta(viso)'!E12+R_2014_03_priskirta!E13</f>
        <v>28648.400000000001</v>
      </c>
      <c r="F12" s="127">
        <f>+'R_2014_03_atkelta(viso)'!F12+R_2014_03_priskirta!F13</f>
        <v>1226231.6000000001</v>
      </c>
      <c r="G12" s="127">
        <f>+'R_2014_03_atkelta(viso)'!G12+R_2014_03_priskirta!G13</f>
        <v>171613.2</v>
      </c>
      <c r="H12" s="127">
        <f>+'R_2014_03_atkelta(viso)'!H12+R_2014_03_priskirta!H13</f>
        <v>25808.2</v>
      </c>
      <c r="I12" s="127">
        <f>+'R_2014_03_atkelta(viso)'!I12+R_2014_03_priskirta!I13</f>
        <v>0</v>
      </c>
      <c r="J12" s="127">
        <f>+'R_2014_03_atkelta(viso)'!J12+R_2014_03_priskirta!J13</f>
        <v>0</v>
      </c>
      <c r="K12" s="127">
        <f>+'R_2014_03_atkelta(viso)'!K12+R_2014_03_priskirta!K13</f>
        <v>764524.2</v>
      </c>
      <c r="L12" s="127">
        <f>+'R_2014_03_atkelta(viso)'!L12+R_2014_03_priskirta!L13</f>
        <v>1168.1999999999534</v>
      </c>
      <c r="M12" s="127">
        <f>+'R_2014_03_atkelta(viso)'!M12+R_2014_03_priskirta!M13</f>
        <v>5964.2</v>
      </c>
      <c r="N12" s="127">
        <f>+'R_2014_03_atkelta(viso)'!N12+R_2014_03_priskirta!N13</f>
        <v>129648.2</v>
      </c>
      <c r="O12" s="152">
        <f t="shared" ref="O12:O17" si="9">+SUM(E12:N12)</f>
        <v>2353606.2000000002</v>
      </c>
      <c r="P12" s="229">
        <f t="shared" si="6"/>
        <v>2159271.7431192659</v>
      </c>
      <c r="Q12" s="73">
        <f t="shared" ref="Q12:Q17" si="10">+O12-P12</f>
        <v>194334.4568807343</v>
      </c>
      <c r="R12" s="21">
        <f t="shared" ref="R12:R17" si="11">O12/D12</f>
        <v>1069821</v>
      </c>
      <c r="S12" s="2"/>
      <c r="T12" s="61"/>
      <c r="U12" s="13"/>
      <c r="W12" s="102"/>
      <c r="X12" s="102"/>
      <c r="Y12" s="102"/>
      <c r="Z12" s="102"/>
      <c r="AA12" s="102"/>
      <c r="AB12" s="102"/>
      <c r="AC12" s="102"/>
      <c r="AD12" s="102"/>
      <c r="AE12" s="2"/>
      <c r="AF12" s="2"/>
      <c r="AG12" s="2"/>
      <c r="AH12" s="2"/>
    </row>
    <row r="13" spans="1:3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+'R_2014_03_atkelta(viso)'!E13+R_2014_03_priskirta!E14</f>
        <v>6132.5</v>
      </c>
      <c r="F13" s="127">
        <f>+'R_2014_03_atkelta(viso)'!F13+R_2014_03_priskirta!F14</f>
        <v>371046.5</v>
      </c>
      <c r="G13" s="127">
        <f>+'R_2014_03_atkelta(viso)'!G13+R_2014_03_priskirta!G14</f>
        <v>57937</v>
      </c>
      <c r="H13" s="127">
        <f>+'R_2014_03_atkelta(viso)'!H13+R_2014_03_priskirta!H14</f>
        <v>7769.3</v>
      </c>
      <c r="I13" s="127">
        <f>+'R_2014_03_atkelta(viso)'!I13+R_2014_03_priskirta!I14</f>
        <v>0</v>
      </c>
      <c r="J13" s="127">
        <f>+'R_2014_03_atkelta(viso)'!J13+R_2014_03_priskirta!J14</f>
        <v>0</v>
      </c>
      <c r="K13" s="127">
        <f>+'R_2014_03_atkelta(viso)'!K13+R_2014_03_priskirta!K14</f>
        <v>82437.3</v>
      </c>
      <c r="L13" s="127">
        <f>+'R_2014_03_atkelta(viso)'!L13+R_2014_03_priskirta!L14</f>
        <v>119.89999999999418</v>
      </c>
      <c r="M13" s="127">
        <f>+'R_2014_03_atkelta(viso)'!M13+R_2014_03_priskirta!M14</f>
        <v>3285.7</v>
      </c>
      <c r="N13" s="127">
        <f>+'R_2014_03_atkelta(viso)'!N13+R_2014_03_priskirta!N14</f>
        <v>9412.7000000000007</v>
      </c>
      <c r="O13" s="152">
        <f t="shared" si="9"/>
        <v>538140.89999999991</v>
      </c>
      <c r="P13" s="229">
        <f t="shared" si="6"/>
        <v>493707.24770642188</v>
      </c>
      <c r="Q13" s="73">
        <f t="shared" si="10"/>
        <v>44433.652293578023</v>
      </c>
      <c r="R13" s="21">
        <f t="shared" si="11"/>
        <v>489218.99999999988</v>
      </c>
      <c r="S13" s="71"/>
      <c r="T13" s="107">
        <v>1.1000000000000001</v>
      </c>
      <c r="U13" s="13">
        <f t="shared" ref="U13:U14" si="12">+R13*T13</f>
        <v>538140.89999999991</v>
      </c>
      <c r="W13" s="102"/>
      <c r="X13" s="102"/>
      <c r="Y13" s="102"/>
      <c r="Z13" s="102"/>
      <c r="AA13" s="102"/>
      <c r="AB13" s="102"/>
      <c r="AC13" s="102"/>
      <c r="AD13" s="102"/>
      <c r="AE13" s="2"/>
      <c r="AF13" s="2"/>
      <c r="AG13" s="2"/>
      <c r="AH13" s="2"/>
    </row>
    <row r="14" spans="1:3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+'R_2014_03_atkelta(viso)'!E14+R_2014_03_priskirta!E15</f>
        <v>130.68</v>
      </c>
      <c r="F14" s="127">
        <f>+'R_2014_03_atkelta(viso)'!F14+R_2014_03_priskirta!F15</f>
        <v>4326.96</v>
      </c>
      <c r="G14" s="127">
        <f>+'R_2014_03_atkelta(viso)'!G14+R_2014_03_priskirta!G15</f>
        <v>645.48</v>
      </c>
      <c r="H14" s="127">
        <f>+'R_2014_03_atkelta(viso)'!H14+R_2014_03_priskirta!H15</f>
        <v>172.04</v>
      </c>
      <c r="I14" s="127">
        <f>+'R_2014_03_atkelta(viso)'!I14+R_2014_03_priskirta!I15</f>
        <v>0</v>
      </c>
      <c r="J14" s="127">
        <f>+'R_2014_03_atkelta(viso)'!J14+R_2014_03_priskirta!J15</f>
        <v>0</v>
      </c>
      <c r="K14" s="127">
        <f>+'R_2014_03_atkelta(viso)'!K14+R_2014_03_priskirta!K15</f>
        <v>1450.24</v>
      </c>
      <c r="L14" s="127">
        <f>+'R_2014_03_atkelta(viso)'!L14+R_2014_03_priskirta!L15</f>
        <v>2.6400000000001</v>
      </c>
      <c r="M14" s="127">
        <f>+'R_2014_03_atkelta(viso)'!M14+R_2014_03_priskirta!M15</f>
        <v>56.32</v>
      </c>
      <c r="N14" s="127">
        <f>+'R_2014_03_atkelta(viso)'!N14+R_2014_03_priskirta!N15</f>
        <v>98.56</v>
      </c>
      <c r="O14" s="152">
        <f t="shared" si="9"/>
        <v>6882.920000000001</v>
      </c>
      <c r="P14" s="229">
        <f t="shared" si="6"/>
        <v>6314.6055045871562</v>
      </c>
      <c r="Q14" s="73">
        <f t="shared" si="10"/>
        <v>568.31449541284474</v>
      </c>
      <c r="R14" s="21">
        <f t="shared" si="11"/>
        <v>15643.000000000002</v>
      </c>
      <c r="S14" s="71"/>
      <c r="T14" s="61">
        <v>1.76</v>
      </c>
      <c r="U14" s="13">
        <f t="shared" si="12"/>
        <v>27531.680000000004</v>
      </c>
      <c r="W14" s="102"/>
      <c r="X14" s="102"/>
      <c r="Y14" s="102"/>
      <c r="Z14" s="102"/>
      <c r="AA14" s="102"/>
      <c r="AB14" s="102"/>
      <c r="AC14" s="102"/>
      <c r="AD14" s="102"/>
      <c r="AE14" s="2"/>
      <c r="AF14" s="2"/>
      <c r="AG14" s="2"/>
      <c r="AH14" s="2"/>
    </row>
    <row r="15" spans="1:3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+'R_2014_03_atkelta(viso)'!E15+R_2014_03_priskirta!E16</f>
        <v>336</v>
      </c>
      <c r="F15" s="127">
        <f>+'R_2014_03_atkelta(viso)'!F15+R_2014_03_priskirta!F16</f>
        <v>17507.2</v>
      </c>
      <c r="G15" s="127">
        <f>+'R_2014_03_atkelta(viso)'!G15+R_2014_03_priskirta!G16</f>
        <v>3129.6</v>
      </c>
      <c r="H15" s="127">
        <f>+'R_2014_03_atkelta(viso)'!H15+R_2014_03_priskirta!H16</f>
        <v>131.19999999999999</v>
      </c>
      <c r="I15" s="127">
        <f>+'R_2014_03_atkelta(viso)'!I15+R_2014_03_priskirta!I16</f>
        <v>0</v>
      </c>
      <c r="J15" s="127">
        <f>+'R_2014_03_atkelta(viso)'!J15+R_2014_03_priskirta!J16</f>
        <v>0</v>
      </c>
      <c r="K15" s="127">
        <f>+'R_2014_03_atkelta(viso)'!K15+R_2014_03_priskirta!K16</f>
        <v>116150.39999999999</v>
      </c>
      <c r="L15" s="127">
        <f>+'R_2014_03_atkelta(viso)'!L15+R_2014_03_priskirta!L16</f>
        <v>281.60000000000582</v>
      </c>
      <c r="M15" s="127">
        <f>+'R_2014_03_atkelta(viso)'!M15+R_2014_03_priskirta!M16</f>
        <v>16</v>
      </c>
      <c r="N15" s="127">
        <f>+'R_2014_03_atkelta(viso)'!N15+R_2014_03_priskirta!N16</f>
        <v>8230.4</v>
      </c>
      <c r="O15" s="152">
        <f t="shared" si="9"/>
        <v>145782.39999999999</v>
      </c>
      <c r="P15" s="229">
        <f t="shared" si="6"/>
        <v>133745.32110091741</v>
      </c>
      <c r="Q15" s="73">
        <f t="shared" si="10"/>
        <v>12037.078899082582</v>
      </c>
      <c r="R15" s="21">
        <f t="shared" si="11"/>
        <v>45556.999999999993</v>
      </c>
      <c r="S15" s="71"/>
      <c r="T15" s="61"/>
      <c r="U15" s="13"/>
      <c r="W15" s="102"/>
      <c r="X15" s="102"/>
      <c r="Y15" s="102"/>
      <c r="Z15" s="102"/>
      <c r="AA15" s="102"/>
      <c r="AB15" s="102"/>
      <c r="AC15" s="102"/>
      <c r="AD15" s="102"/>
      <c r="AE15" s="2"/>
      <c r="AF15" s="2"/>
      <c r="AG15" s="2"/>
      <c r="AH15" s="2"/>
    </row>
    <row r="16" spans="1:3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+'R_2014_03_atkelta(viso)'!E16+R_2014_03_priskirta!E17</f>
        <v>144</v>
      </c>
      <c r="F16" s="127">
        <f>+'R_2014_03_atkelta(viso)'!F16+R_2014_03_priskirta!F17</f>
        <v>4344</v>
      </c>
      <c r="G16" s="127">
        <f>+'R_2014_03_atkelta(viso)'!G16+R_2014_03_priskirta!G17</f>
        <v>852.8</v>
      </c>
      <c r="H16" s="127">
        <f>+'R_2014_03_atkelta(viso)'!H16+R_2014_03_priskirta!H17</f>
        <v>81.599999999999994</v>
      </c>
      <c r="I16" s="127">
        <f>+'R_2014_03_atkelta(viso)'!I16+R_2014_03_priskirta!I17</f>
        <v>0</v>
      </c>
      <c r="J16" s="127">
        <f>+'R_2014_03_atkelta(viso)'!J16+R_2014_03_priskirta!J17</f>
        <v>0</v>
      </c>
      <c r="K16" s="127">
        <f>+'R_2014_03_atkelta(viso)'!K16+R_2014_03_priskirta!K17</f>
        <v>14224</v>
      </c>
      <c r="L16" s="127">
        <f>+'R_2014_03_atkelta(viso)'!L16+R_2014_03_priskirta!L17</f>
        <v>19.200000000000728</v>
      </c>
      <c r="M16" s="127">
        <f>+'R_2014_03_atkelta(viso)'!M16+R_2014_03_priskirta!M17</f>
        <v>1.6</v>
      </c>
      <c r="N16" s="127">
        <f>+'R_2014_03_atkelta(viso)'!N16+R_2014_03_priskirta!N17</f>
        <v>635.20000000000005</v>
      </c>
      <c r="O16" s="152">
        <f t="shared" si="9"/>
        <v>20302.400000000001</v>
      </c>
      <c r="P16" s="229">
        <f t="shared" si="6"/>
        <v>18626.055045871559</v>
      </c>
      <c r="Q16" s="73">
        <f t="shared" si="10"/>
        <v>1676.3449541284426</v>
      </c>
      <c r="R16" s="21">
        <f t="shared" si="11"/>
        <v>12689</v>
      </c>
      <c r="S16" s="71"/>
      <c r="T16" s="13">
        <v>1.6</v>
      </c>
      <c r="U16" s="13">
        <f t="shared" ref="U16:U17" si="13">+R16*T16</f>
        <v>20302.400000000001</v>
      </c>
      <c r="W16" s="102"/>
      <c r="X16" s="102"/>
      <c r="Y16" s="102"/>
      <c r="Z16" s="102"/>
      <c r="AA16" s="102"/>
      <c r="AB16" s="102"/>
      <c r="AC16" s="102"/>
      <c r="AD16" s="102"/>
      <c r="AE16" s="2"/>
      <c r="AF16" s="2"/>
      <c r="AG16" s="2"/>
      <c r="AH16" s="2"/>
    </row>
    <row r="17" spans="1:34" x14ac:dyDescent="0.3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+'R_2014_03_atkelta(viso)'!E17+R_2014_03_priskirta!E18</f>
        <v>3.84</v>
      </c>
      <c r="F17" s="127">
        <f>+'R_2014_03_atkelta(viso)'!F17+R_2014_03_priskirta!F18</f>
        <v>120.32</v>
      </c>
      <c r="G17" s="127">
        <f>+'R_2014_03_atkelta(viso)'!G17+R_2014_03_priskirta!G18</f>
        <v>5.76</v>
      </c>
      <c r="H17" s="127">
        <f>+'R_2014_03_atkelta(viso)'!H17+R_2014_03_priskirta!H18</f>
        <v>0</v>
      </c>
      <c r="I17" s="127">
        <f>+'R_2014_03_atkelta(viso)'!I17+R_2014_03_priskirta!I18</f>
        <v>0</v>
      </c>
      <c r="J17" s="127">
        <f>+'R_2014_03_atkelta(viso)'!J17+R_2014_03_priskirta!J18</f>
        <v>0</v>
      </c>
      <c r="K17" s="127">
        <f>+'R_2014_03_atkelta(viso)'!K17+R_2014_03_priskirta!K18</f>
        <v>295.68</v>
      </c>
      <c r="L17" s="127">
        <f>+'R_2014_03_atkelta(viso)'!L17+R_2014_03_priskirta!L18</f>
        <v>0</v>
      </c>
      <c r="M17" s="127">
        <f>+'R_2014_03_atkelta(viso)'!M17+R_2014_03_priskirta!M18</f>
        <v>0</v>
      </c>
      <c r="N17" s="127">
        <f>+'R_2014_03_atkelta(viso)'!N17+R_2014_03_priskirta!N18</f>
        <v>20.48</v>
      </c>
      <c r="O17" s="206">
        <f t="shared" si="9"/>
        <v>446.08000000000004</v>
      </c>
      <c r="P17" s="229">
        <f t="shared" si="6"/>
        <v>409.24770642201838</v>
      </c>
      <c r="Q17" s="207">
        <f t="shared" si="10"/>
        <v>36.832293577981659</v>
      </c>
      <c r="R17" s="22">
        <f t="shared" si="11"/>
        <v>697</v>
      </c>
      <c r="S17" s="71"/>
      <c r="T17" s="61">
        <v>2.56</v>
      </c>
      <c r="U17" s="13">
        <f t="shared" si="13"/>
        <v>1784.32</v>
      </c>
      <c r="W17" s="102"/>
      <c r="X17" s="102"/>
      <c r="Y17" s="102"/>
      <c r="Z17" s="102"/>
      <c r="AA17" s="102"/>
      <c r="AB17" s="102"/>
      <c r="AC17" s="102"/>
      <c r="AD17" s="102"/>
      <c r="AE17" s="2"/>
      <c r="AF17" s="2"/>
      <c r="AG17" s="2"/>
      <c r="AH17" s="2"/>
    </row>
    <row r="18" spans="1:34" ht="12" customHeight="1" x14ac:dyDescent="0.3">
      <c r="A18" s="70" t="s">
        <v>15</v>
      </c>
      <c r="B18" s="52" t="s">
        <v>33</v>
      </c>
      <c r="C18" s="9" t="s">
        <v>141</v>
      </c>
      <c r="D18" s="78"/>
      <c r="E18" s="118">
        <f>+SUM(E19:E43)</f>
        <v>120184.99</v>
      </c>
      <c r="F18" s="118">
        <f t="shared" ref="F18:R18" si="14">+SUM(F19:F43)</f>
        <v>5072104.0099999988</v>
      </c>
      <c r="G18" s="118">
        <f t="shared" si="14"/>
        <v>767090.64</v>
      </c>
      <c r="H18" s="118">
        <f t="shared" si="14"/>
        <v>123229.77</v>
      </c>
      <c r="I18" s="118">
        <f t="shared" si="14"/>
        <v>0</v>
      </c>
      <c r="J18" s="118">
        <f t="shared" si="14"/>
        <v>0</v>
      </c>
      <c r="K18" s="118">
        <f t="shared" si="14"/>
        <v>0</v>
      </c>
      <c r="L18" s="118">
        <f t="shared" ref="L18" si="15">+SUM(L19:L43)</f>
        <v>0</v>
      </c>
      <c r="M18" s="118">
        <f t="shared" si="14"/>
        <v>15453.15</v>
      </c>
      <c r="N18" s="118">
        <f t="shared" si="14"/>
        <v>489902.65</v>
      </c>
      <c r="O18" s="118">
        <f t="shared" si="14"/>
        <v>6587965.2099999981</v>
      </c>
      <c r="P18" s="118">
        <f t="shared" si="14"/>
        <v>6044004.779816512</v>
      </c>
      <c r="Q18" s="118">
        <f t="shared" si="14"/>
        <v>543960.43018348666</v>
      </c>
      <c r="R18" s="253">
        <f t="shared" si="14"/>
        <v>126298.89958148144</v>
      </c>
      <c r="S18" s="71"/>
      <c r="T18" s="61"/>
      <c r="U18" s="105">
        <f>+SUM(U19:U43)</f>
        <v>6003572.0700000003</v>
      </c>
      <c r="V18" s="2"/>
      <c r="W18" s="102"/>
      <c r="X18" s="102"/>
      <c r="Y18" s="102"/>
      <c r="Z18" s="102"/>
      <c r="AA18" s="102"/>
      <c r="AB18" s="102"/>
      <c r="AC18" s="102"/>
      <c r="AD18" s="102"/>
      <c r="AE18" s="2"/>
      <c r="AF18" s="2"/>
      <c r="AG18" s="2"/>
      <c r="AH18" s="2"/>
    </row>
    <row r="19" spans="1:3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+'R_2014_03_atkelta(viso)'!E19+R_2014_03_priskirta!E20</f>
        <v>72173.33</v>
      </c>
      <c r="F19" s="127">
        <f>+'R_2014_03_atkelta(viso)'!F19+R_2014_03_priskirta!F20</f>
        <v>2888956.67</v>
      </c>
      <c r="G19" s="127">
        <f>+'R_2014_03_atkelta(viso)'!G19+R_2014_03_priskirta!G20</f>
        <v>423603.32999999996</v>
      </c>
      <c r="H19" s="127">
        <f>+'R_2014_03_atkelta(viso)'!H19+R_2014_03_priskirta!H20</f>
        <v>66110</v>
      </c>
      <c r="I19" s="127">
        <f>+'R_2014_03_atkelta(viso)'!I19+R_2014_03_priskirta!I20</f>
        <v>0</v>
      </c>
      <c r="J19" s="127">
        <f>+'R_2014_03_atkelta(viso)'!J19+R_2014_03_priskirta!J20</f>
        <v>0</v>
      </c>
      <c r="K19" s="127">
        <f>+'R_2014_03_atkelta(viso)'!K19+R_2014_03_priskirta!K20</f>
        <v>0</v>
      </c>
      <c r="L19" s="127">
        <f>+'R_2014_03_atkelta(viso)'!L19+R_2014_03_priskirta!L20</f>
        <v>0</v>
      </c>
      <c r="M19" s="127">
        <f>+'R_2014_03_atkelta(viso)'!M19+R_2014_03_priskirta!M20</f>
        <v>9260</v>
      </c>
      <c r="N19" s="127">
        <f>+'R_2014_03_atkelta(viso)'!N19+R_2014_03_priskirta!N20</f>
        <v>253526.66999999998</v>
      </c>
      <c r="O19" s="153">
        <f t="shared" ref="O19:O43" si="16">+SUM(E19:N19)</f>
        <v>3713630</v>
      </c>
      <c r="P19" s="229">
        <f t="shared" si="6"/>
        <v>3406999.9999999995</v>
      </c>
      <c r="Q19" s="93">
        <f>+O19-P19</f>
        <v>306630.00000000047</v>
      </c>
      <c r="R19" s="94">
        <f t="shared" ref="R19:R43" si="17">O19/D19</f>
        <v>37136.300000000003</v>
      </c>
      <c r="S19" s="41"/>
      <c r="T19" s="61"/>
      <c r="U19" s="106"/>
      <c r="V19" s="205"/>
      <c r="W19" s="102"/>
      <c r="X19" s="102"/>
      <c r="Y19" s="102"/>
      <c r="Z19" s="102"/>
      <c r="AA19" s="102"/>
      <c r="AB19" s="102"/>
      <c r="AC19" s="102"/>
      <c r="AD19" s="102"/>
      <c r="AE19" s="2"/>
      <c r="AF19" s="2"/>
      <c r="AG19" s="2"/>
      <c r="AH19" s="2"/>
    </row>
    <row r="20" spans="1:3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+'R_2014_03_atkelta(viso)'!E20+R_2014_03_priskirta!E21</f>
        <v>10633.34</v>
      </c>
      <c r="F20" s="127">
        <f>+'R_2014_03_atkelta(viso)'!F20+R_2014_03_priskirta!F21</f>
        <v>775098.34</v>
      </c>
      <c r="G20" s="127">
        <f>+'R_2014_03_atkelta(viso)'!G20+R_2014_03_priskirta!G21</f>
        <v>105586.67</v>
      </c>
      <c r="H20" s="127">
        <f>+'R_2014_03_atkelta(viso)'!H20+R_2014_03_priskirta!H21</f>
        <v>21211.67</v>
      </c>
      <c r="I20" s="127">
        <f>+'R_2014_03_atkelta(viso)'!I20+R_2014_03_priskirta!I21</f>
        <v>0</v>
      </c>
      <c r="J20" s="127">
        <f>+'R_2014_03_atkelta(viso)'!J20+R_2014_03_priskirta!J21</f>
        <v>0</v>
      </c>
      <c r="K20" s="127">
        <f>+'R_2014_03_atkelta(viso)'!K20+R_2014_03_priskirta!K21</f>
        <v>0</v>
      </c>
      <c r="L20" s="127">
        <f>+'R_2014_03_atkelta(viso)'!L20+R_2014_03_priskirta!L21</f>
        <v>0</v>
      </c>
      <c r="M20" s="127">
        <f>+'R_2014_03_atkelta(viso)'!M20+R_2014_03_priskirta!M21</f>
        <v>2931.67</v>
      </c>
      <c r="N20" s="127">
        <f>+'R_2014_03_atkelta(viso)'!N20+R_2014_03_priskirta!N21</f>
        <v>13678.33</v>
      </c>
      <c r="O20" s="152">
        <f t="shared" si="16"/>
        <v>929140.02</v>
      </c>
      <c r="P20" s="229">
        <f t="shared" si="6"/>
        <v>852422.03669724765</v>
      </c>
      <c r="Q20" s="73">
        <f t="shared" ref="Q20:Q43" si="18">+O20-P20</f>
        <v>76717.983302752371</v>
      </c>
      <c r="R20" s="21">
        <f t="shared" si="17"/>
        <v>18582.8004</v>
      </c>
      <c r="S20" s="41"/>
      <c r="T20" s="61">
        <v>50</v>
      </c>
      <c r="U20" s="13">
        <f t="shared" ref="U20:U21" si="19">+R20*T20</f>
        <v>929140.02</v>
      </c>
      <c r="V20" s="205"/>
      <c r="W20" s="102"/>
      <c r="X20" s="102"/>
      <c r="Y20" s="102"/>
      <c r="Z20" s="102"/>
      <c r="AA20" s="102"/>
      <c r="AB20" s="102"/>
      <c r="AC20" s="102"/>
      <c r="AD20" s="102"/>
      <c r="AE20" s="2"/>
      <c r="AF20" s="2"/>
      <c r="AG20" s="2"/>
      <c r="AH20" s="2"/>
    </row>
    <row r="21" spans="1:3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+'R_2014_03_atkelta(viso)'!E21+R_2014_03_priskirta!E22</f>
        <v>22771.33</v>
      </c>
      <c r="F21" s="127">
        <f>+'R_2014_03_atkelta(viso)'!F21+R_2014_03_priskirta!F22</f>
        <v>899040.65999999992</v>
      </c>
      <c r="G21" s="127">
        <f>+'R_2014_03_atkelta(viso)'!G21+R_2014_03_priskirta!G22</f>
        <v>157970</v>
      </c>
      <c r="H21" s="127">
        <f>+'R_2014_03_atkelta(viso)'!H21+R_2014_03_priskirta!H22</f>
        <v>13634.67</v>
      </c>
      <c r="I21" s="127">
        <f>+'R_2014_03_atkelta(viso)'!I21+R_2014_03_priskirta!I22</f>
        <v>0</v>
      </c>
      <c r="J21" s="127">
        <f>+'R_2014_03_atkelta(viso)'!J21+R_2014_03_priskirta!J22</f>
        <v>0</v>
      </c>
      <c r="K21" s="127">
        <f>+'R_2014_03_atkelta(viso)'!K21+R_2014_03_priskirta!K22</f>
        <v>0</v>
      </c>
      <c r="L21" s="127">
        <f>+'R_2014_03_atkelta(viso)'!L21+R_2014_03_priskirta!L22</f>
        <v>0</v>
      </c>
      <c r="M21" s="127">
        <f>+'R_2014_03_atkelta(viso)'!M21+R_2014_03_priskirta!M22</f>
        <v>1458.67</v>
      </c>
      <c r="N21" s="127">
        <f>+'R_2014_03_atkelta(viso)'!N21+R_2014_03_priskirta!N22</f>
        <v>93471.99</v>
      </c>
      <c r="O21" s="152">
        <f t="shared" si="16"/>
        <v>1188347.3199999996</v>
      </c>
      <c r="P21" s="229">
        <f t="shared" si="6"/>
        <v>1090226.8990825685</v>
      </c>
      <c r="Q21" s="73">
        <f t="shared" si="18"/>
        <v>98120.420917431125</v>
      </c>
      <c r="R21" s="21">
        <f t="shared" si="17"/>
        <v>59417.36599999998</v>
      </c>
      <c r="S21" s="41"/>
      <c r="T21" s="61">
        <v>80</v>
      </c>
      <c r="U21" s="13">
        <f t="shared" si="19"/>
        <v>4753389.2799999984</v>
      </c>
      <c r="V21" s="205"/>
      <c r="W21" s="102"/>
      <c r="X21" s="102"/>
      <c r="Y21" s="102"/>
      <c r="Z21" s="102"/>
      <c r="AA21" s="102"/>
      <c r="AB21" s="102"/>
      <c r="AC21" s="102"/>
      <c r="AD21" s="102"/>
      <c r="AE21" s="2"/>
      <c r="AF21" s="2"/>
      <c r="AG21" s="2"/>
      <c r="AH21" s="2"/>
    </row>
    <row r="22" spans="1:3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+'R_2014_03_atkelta(viso)'!E22+R_2014_03_priskirta!E23</f>
        <v>11607</v>
      </c>
      <c r="F22" s="127">
        <f>+'R_2014_03_atkelta(viso)'!F22+R_2014_03_priskirta!F23</f>
        <v>426687</v>
      </c>
      <c r="G22" s="127">
        <f>+'R_2014_03_atkelta(viso)'!G22+R_2014_03_priskirta!G23</f>
        <v>68559</v>
      </c>
      <c r="H22" s="127">
        <f>+'R_2014_03_atkelta(viso)'!H22+R_2014_03_priskirta!H23</f>
        <v>15858</v>
      </c>
      <c r="I22" s="127">
        <f>+'R_2014_03_atkelta(viso)'!I22+R_2014_03_priskirta!I23</f>
        <v>0</v>
      </c>
      <c r="J22" s="127">
        <f>+'R_2014_03_atkelta(viso)'!J22+R_2014_03_priskirta!J23</f>
        <v>0</v>
      </c>
      <c r="K22" s="127">
        <f>+'R_2014_03_atkelta(viso)'!K22+R_2014_03_priskirta!K23</f>
        <v>0</v>
      </c>
      <c r="L22" s="127">
        <f>+'R_2014_03_atkelta(viso)'!L22+R_2014_03_priskirta!L23</f>
        <v>0</v>
      </c>
      <c r="M22" s="127">
        <f>+'R_2014_03_atkelta(viso)'!M22+R_2014_03_priskirta!M23</f>
        <v>1584</v>
      </c>
      <c r="N22" s="127">
        <f>+'R_2014_03_atkelta(viso)'!N22+R_2014_03_priskirta!N23</f>
        <v>86553</v>
      </c>
      <c r="O22" s="152">
        <f t="shared" si="16"/>
        <v>610848</v>
      </c>
      <c r="P22" s="229">
        <f t="shared" si="6"/>
        <v>560411.00917431188</v>
      </c>
      <c r="Q22" s="73">
        <f t="shared" si="18"/>
        <v>50436.990825688117</v>
      </c>
      <c r="R22" s="21">
        <f t="shared" si="17"/>
        <v>6787.2</v>
      </c>
      <c r="S22" s="41"/>
      <c r="T22" s="61"/>
      <c r="U22" s="13"/>
      <c r="V22" s="205"/>
      <c r="W22" s="102"/>
      <c r="X22" s="102"/>
      <c r="Y22" s="102"/>
      <c r="Z22" s="102"/>
      <c r="AA22" s="102"/>
      <c r="AB22" s="102"/>
      <c r="AC22" s="102"/>
      <c r="AD22" s="102"/>
      <c r="AE22" s="2"/>
      <c r="AF22" s="2"/>
      <c r="AG22" s="2"/>
      <c r="AH22" s="2"/>
    </row>
    <row r="23" spans="1:3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+'R_2014_03_atkelta(viso)'!E23+R_2014_03_priskirta!E24</f>
        <v>496.5</v>
      </c>
      <c r="F23" s="127">
        <f>+'R_2014_03_atkelta(viso)'!F23+R_2014_03_priskirta!F24</f>
        <v>23158.5</v>
      </c>
      <c r="G23" s="127">
        <f>+'R_2014_03_atkelta(viso)'!G23+R_2014_03_priskirta!G24</f>
        <v>3457.5</v>
      </c>
      <c r="H23" s="127">
        <f>+'R_2014_03_atkelta(viso)'!H23+R_2014_03_priskirta!H24</f>
        <v>853.5</v>
      </c>
      <c r="I23" s="127">
        <f>+'R_2014_03_atkelta(viso)'!I23+R_2014_03_priskirta!I24</f>
        <v>0</v>
      </c>
      <c r="J23" s="127">
        <f>+'R_2014_03_atkelta(viso)'!J23+R_2014_03_priskirta!J24</f>
        <v>0</v>
      </c>
      <c r="K23" s="127">
        <f>+'R_2014_03_atkelta(viso)'!K23+R_2014_03_priskirta!K24</f>
        <v>0</v>
      </c>
      <c r="L23" s="127">
        <f>+'R_2014_03_atkelta(viso)'!L23+R_2014_03_priskirta!L24</f>
        <v>0</v>
      </c>
      <c r="M23" s="127">
        <f>+'R_2014_03_atkelta(viso)'!M23+R_2014_03_priskirta!M24</f>
        <v>79.5</v>
      </c>
      <c r="N23" s="127">
        <f>+'R_2014_03_atkelta(viso)'!N23+R_2014_03_priskirta!N24</f>
        <v>3402</v>
      </c>
      <c r="O23" s="152">
        <f t="shared" si="16"/>
        <v>31447.5</v>
      </c>
      <c r="P23" s="229">
        <f t="shared" si="6"/>
        <v>28850.917431192658</v>
      </c>
      <c r="Q23" s="73">
        <f t="shared" si="18"/>
        <v>2596.5825688073419</v>
      </c>
      <c r="R23" s="21">
        <f t="shared" si="17"/>
        <v>698.83333333333337</v>
      </c>
      <c r="S23" s="35"/>
      <c r="T23" s="61">
        <v>45</v>
      </c>
      <c r="U23" s="13">
        <f t="shared" ref="U23:U24" si="20">+R23*T23</f>
        <v>31447.5</v>
      </c>
      <c r="V23" s="205"/>
      <c r="W23" s="102"/>
      <c r="X23" s="102"/>
      <c r="Y23" s="102"/>
      <c r="Z23" s="102"/>
      <c r="AA23" s="102"/>
      <c r="AB23" s="102"/>
      <c r="AC23" s="102"/>
      <c r="AD23" s="102"/>
      <c r="AE23" s="2"/>
      <c r="AF23" s="2"/>
      <c r="AG23" s="2"/>
      <c r="AH23" s="2"/>
    </row>
    <row r="24" spans="1:3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+'R_2014_03_atkelta(viso)'!E24+R_2014_03_priskirta!E25</f>
        <v>1005</v>
      </c>
      <c r="F24" s="127">
        <f>+'R_2014_03_atkelta(viso)'!F24+R_2014_03_priskirta!F25</f>
        <v>18904.199999999997</v>
      </c>
      <c r="G24" s="127">
        <f>+'R_2014_03_atkelta(viso)'!G24+R_2014_03_priskirta!G25</f>
        <v>3090</v>
      </c>
      <c r="H24" s="127">
        <f>+'R_2014_03_atkelta(viso)'!H24+R_2014_03_priskirta!H25</f>
        <v>309</v>
      </c>
      <c r="I24" s="127">
        <f>+'R_2014_03_atkelta(viso)'!I24+R_2014_03_priskirta!I25</f>
        <v>0</v>
      </c>
      <c r="J24" s="127">
        <f>+'R_2014_03_atkelta(viso)'!J24+R_2014_03_priskirta!J25</f>
        <v>0</v>
      </c>
      <c r="K24" s="127">
        <f>+'R_2014_03_atkelta(viso)'!K24+R_2014_03_priskirta!K25</f>
        <v>0</v>
      </c>
      <c r="L24" s="127">
        <f>+'R_2014_03_atkelta(viso)'!L24+R_2014_03_priskirta!L25</f>
        <v>0</v>
      </c>
      <c r="M24" s="127">
        <f>+'R_2014_03_atkelta(viso)'!M24+R_2014_03_priskirta!M25</f>
        <v>86.999999999999986</v>
      </c>
      <c r="N24" s="127">
        <f>+'R_2014_03_atkelta(viso)'!N24+R_2014_03_priskirta!N25</f>
        <v>6092.4</v>
      </c>
      <c r="O24" s="152">
        <f t="shared" si="16"/>
        <v>29487.599999999999</v>
      </c>
      <c r="P24" s="229">
        <f t="shared" si="6"/>
        <v>27052.844036697243</v>
      </c>
      <c r="Q24" s="73">
        <f t="shared" si="18"/>
        <v>2434.7559633027558</v>
      </c>
      <c r="R24" s="21">
        <f t="shared" si="17"/>
        <v>1638.1999999999998</v>
      </c>
      <c r="S24" s="35"/>
      <c r="T24" s="61">
        <v>72</v>
      </c>
      <c r="U24" s="13">
        <f t="shared" si="20"/>
        <v>117950.39999999999</v>
      </c>
      <c r="V24" s="205"/>
      <c r="W24" s="102"/>
      <c r="X24" s="102"/>
      <c r="Y24" s="102"/>
      <c r="Z24" s="102"/>
      <c r="AA24" s="102"/>
      <c r="AB24" s="102"/>
      <c r="AC24" s="102"/>
      <c r="AD24" s="102"/>
      <c r="AE24" s="2"/>
      <c r="AF24" s="2"/>
      <c r="AG24" s="2"/>
      <c r="AH24" s="2"/>
    </row>
    <row r="25" spans="1:3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+'R_2014_03_atkelta(viso)'!E25+R_2014_03_priskirta!E26</f>
        <v>103.33</v>
      </c>
      <c r="F25" s="127">
        <f>+'R_2014_03_atkelta(viso)'!F25+R_2014_03_priskirta!F26</f>
        <v>4123.33</v>
      </c>
      <c r="G25" s="127">
        <f>+'R_2014_03_atkelta(viso)'!G25+R_2014_03_priskirta!G26</f>
        <v>396.65999999999997</v>
      </c>
      <c r="H25" s="127">
        <f>+'R_2014_03_atkelta(viso)'!H25+R_2014_03_priskirta!H26</f>
        <v>263.33999999999997</v>
      </c>
      <c r="I25" s="127">
        <f>+'R_2014_03_atkelta(viso)'!I25+R_2014_03_priskirta!I26</f>
        <v>0</v>
      </c>
      <c r="J25" s="127">
        <f>+'R_2014_03_atkelta(viso)'!J25+R_2014_03_priskirta!J26</f>
        <v>0</v>
      </c>
      <c r="K25" s="127">
        <f>+'R_2014_03_atkelta(viso)'!K25+R_2014_03_priskirta!K26</f>
        <v>0</v>
      </c>
      <c r="L25" s="127">
        <f>+'R_2014_03_atkelta(viso)'!L25+R_2014_03_priskirta!L26</f>
        <v>0</v>
      </c>
      <c r="M25" s="127">
        <f>+'R_2014_03_atkelta(viso)'!M25+R_2014_03_priskirta!M26</f>
        <v>0</v>
      </c>
      <c r="N25" s="127">
        <f>+'R_2014_03_atkelta(viso)'!N25+R_2014_03_priskirta!N26</f>
        <v>4333.34</v>
      </c>
      <c r="O25" s="152">
        <f t="shared" si="16"/>
        <v>9220</v>
      </c>
      <c r="P25" s="229">
        <f t="shared" si="6"/>
        <v>8458.7155963302739</v>
      </c>
      <c r="Q25" s="73">
        <f t="shared" si="18"/>
        <v>761.28440366972609</v>
      </c>
      <c r="R25" s="21">
        <f t="shared" si="17"/>
        <v>30.733333333333334</v>
      </c>
      <c r="S25" s="35"/>
      <c r="T25" s="61"/>
      <c r="U25" s="13"/>
      <c r="W25" s="102"/>
      <c r="X25" s="102"/>
      <c r="Y25" s="102"/>
      <c r="Z25" s="102"/>
      <c r="AA25" s="102"/>
      <c r="AB25" s="102"/>
      <c r="AC25" s="102"/>
      <c r="AD25" s="102"/>
      <c r="AE25" s="2"/>
      <c r="AF25" s="2"/>
      <c r="AG25" s="2"/>
      <c r="AH25" s="2"/>
    </row>
    <row r="26" spans="1:3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+'R_2014_03_atkelta(viso)'!E26+R_2014_03_priskirta!E27</f>
        <v>0</v>
      </c>
      <c r="F26" s="127">
        <f>+'R_2014_03_atkelta(viso)'!F26+R_2014_03_priskirta!F27</f>
        <v>4695</v>
      </c>
      <c r="G26" s="127">
        <f>+'R_2014_03_atkelta(viso)'!G26+R_2014_03_priskirta!G27</f>
        <v>373.33</v>
      </c>
      <c r="H26" s="127">
        <f>+'R_2014_03_atkelta(viso)'!H26+R_2014_03_priskirta!H27</f>
        <v>686.66</v>
      </c>
      <c r="I26" s="127">
        <f>+'R_2014_03_atkelta(viso)'!I26+R_2014_03_priskirta!I27</f>
        <v>0</v>
      </c>
      <c r="J26" s="127">
        <f>+'R_2014_03_atkelta(viso)'!J26+R_2014_03_priskirta!J27</f>
        <v>0</v>
      </c>
      <c r="K26" s="127">
        <f>+'R_2014_03_atkelta(viso)'!K26+R_2014_03_priskirta!K27</f>
        <v>0</v>
      </c>
      <c r="L26" s="127">
        <f>+'R_2014_03_atkelta(viso)'!L26+R_2014_03_priskirta!L27</f>
        <v>0</v>
      </c>
      <c r="M26" s="127">
        <f>+'R_2014_03_atkelta(viso)'!M26+R_2014_03_priskirta!M27</f>
        <v>0</v>
      </c>
      <c r="N26" s="127">
        <f>+'R_2014_03_atkelta(viso)'!N26+R_2014_03_priskirta!N27</f>
        <v>1001.67</v>
      </c>
      <c r="O26" s="152">
        <f t="shared" si="16"/>
        <v>6756.66</v>
      </c>
      <c r="P26" s="229">
        <f t="shared" si="6"/>
        <v>6198.7706422018346</v>
      </c>
      <c r="Q26" s="73">
        <f t="shared" si="18"/>
        <v>557.88935779816529</v>
      </c>
      <c r="R26" s="21">
        <f t="shared" si="17"/>
        <v>45.044399999999996</v>
      </c>
      <c r="S26" s="35"/>
      <c r="T26" s="61">
        <v>150</v>
      </c>
      <c r="U26" s="13">
        <f t="shared" ref="U26:U42" si="21">+R26*T26</f>
        <v>6756.66</v>
      </c>
      <c r="W26" s="102"/>
      <c r="X26" s="102"/>
      <c r="Y26" s="102"/>
      <c r="Z26" s="102"/>
      <c r="AA26" s="102"/>
      <c r="AB26" s="102"/>
      <c r="AC26" s="102"/>
      <c r="AD26" s="102"/>
      <c r="AE26" s="2"/>
      <c r="AF26" s="2"/>
      <c r="AG26" s="2"/>
      <c r="AH26" s="2"/>
    </row>
    <row r="27" spans="1:3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+'R_2014_03_atkelta(viso)'!E27+R_2014_03_priskirta!E28</f>
        <v>496.65999999999997</v>
      </c>
      <c r="F27" s="127">
        <f>+'R_2014_03_atkelta(viso)'!F27+R_2014_03_priskirta!F28</f>
        <v>14784.01</v>
      </c>
      <c r="G27" s="127">
        <f>+'R_2014_03_atkelta(viso)'!G27+R_2014_03_priskirta!G28</f>
        <v>2142.0100000000002</v>
      </c>
      <c r="H27" s="127">
        <f>+'R_2014_03_atkelta(viso)'!H27+R_2014_03_priskirta!H28</f>
        <v>906.00000000000011</v>
      </c>
      <c r="I27" s="127">
        <f>+'R_2014_03_atkelta(viso)'!I27+R_2014_03_priskirta!I28</f>
        <v>0</v>
      </c>
      <c r="J27" s="127">
        <f>+'R_2014_03_atkelta(viso)'!J27+R_2014_03_priskirta!J28</f>
        <v>0</v>
      </c>
      <c r="K27" s="127">
        <f>+'R_2014_03_atkelta(viso)'!K27+R_2014_03_priskirta!K28</f>
        <v>0</v>
      </c>
      <c r="L27" s="127">
        <f>+'R_2014_03_atkelta(viso)'!L27+R_2014_03_priskirta!L28</f>
        <v>0</v>
      </c>
      <c r="M27" s="127">
        <f>+'R_2014_03_atkelta(viso)'!M27+R_2014_03_priskirta!M28</f>
        <v>32</v>
      </c>
      <c r="N27" s="127">
        <f>+'R_2014_03_atkelta(viso)'!N27+R_2014_03_priskirta!N28</f>
        <v>12178.67</v>
      </c>
      <c r="O27" s="152">
        <f t="shared" si="16"/>
        <v>30539.35</v>
      </c>
      <c r="P27" s="229">
        <f t="shared" si="6"/>
        <v>28017.752293577978</v>
      </c>
      <c r="Q27" s="73">
        <f t="shared" si="18"/>
        <v>2521.5977064220206</v>
      </c>
      <c r="R27" s="21">
        <f t="shared" si="17"/>
        <v>508.98916666666662</v>
      </c>
      <c r="S27" s="35"/>
      <c r="T27" s="61">
        <v>240</v>
      </c>
      <c r="U27" s="13">
        <f t="shared" si="21"/>
        <v>122157.4</v>
      </c>
      <c r="W27" s="102"/>
      <c r="X27" s="102"/>
      <c r="Y27" s="102"/>
      <c r="Z27" s="102"/>
      <c r="AA27" s="102"/>
      <c r="AB27" s="102"/>
      <c r="AC27" s="102"/>
      <c r="AD27" s="102"/>
      <c r="AE27" s="2"/>
      <c r="AF27" s="2"/>
      <c r="AG27" s="2"/>
      <c r="AH27" s="2"/>
    </row>
    <row r="28" spans="1:3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+'R_2014_03_atkelta(viso)'!E28+R_2014_03_priskirta!E29</f>
        <v>0</v>
      </c>
      <c r="F28" s="127">
        <f>+'R_2014_03_atkelta(viso)'!F28+R_2014_03_priskirta!F29</f>
        <v>828</v>
      </c>
      <c r="G28" s="127">
        <f>+'R_2014_03_atkelta(viso)'!G28+R_2014_03_priskirta!G29</f>
        <v>93</v>
      </c>
      <c r="H28" s="127">
        <f>+'R_2014_03_atkelta(viso)'!H28+R_2014_03_priskirta!H29</f>
        <v>651</v>
      </c>
      <c r="I28" s="127">
        <f>+'R_2014_03_atkelta(viso)'!I28+R_2014_03_priskirta!I29</f>
        <v>0</v>
      </c>
      <c r="J28" s="127">
        <f>+'R_2014_03_atkelta(viso)'!J28+R_2014_03_priskirta!J29</f>
        <v>0</v>
      </c>
      <c r="K28" s="127">
        <f>+'R_2014_03_atkelta(viso)'!K28+R_2014_03_priskirta!K29</f>
        <v>0</v>
      </c>
      <c r="L28" s="127">
        <f>+'R_2014_03_atkelta(viso)'!L28+R_2014_03_priskirta!L29</f>
        <v>0</v>
      </c>
      <c r="M28" s="127">
        <f>+'R_2014_03_atkelta(viso)'!M28+R_2014_03_priskirta!M29</f>
        <v>0</v>
      </c>
      <c r="N28" s="127">
        <f>+'R_2014_03_atkelta(viso)'!N28+R_2014_03_priskirta!N29</f>
        <v>8523</v>
      </c>
      <c r="O28" s="152">
        <f t="shared" si="16"/>
        <v>10095</v>
      </c>
      <c r="P28" s="229">
        <f t="shared" si="6"/>
        <v>9261.4678899082555</v>
      </c>
      <c r="Q28" s="73">
        <f t="shared" si="18"/>
        <v>833.53211009174447</v>
      </c>
      <c r="R28" s="21">
        <f t="shared" si="17"/>
        <v>37.388888888888886</v>
      </c>
      <c r="S28" s="35"/>
      <c r="T28" s="61"/>
      <c r="U28" s="13"/>
      <c r="W28" s="102"/>
      <c r="X28" s="102"/>
      <c r="Y28" s="102"/>
      <c r="Z28" s="102"/>
      <c r="AA28" s="102"/>
      <c r="AB28" s="102"/>
      <c r="AC28" s="102"/>
      <c r="AD28" s="102"/>
      <c r="AE28" s="2"/>
      <c r="AF28" s="2"/>
      <c r="AG28" s="2"/>
      <c r="AH28" s="2"/>
    </row>
    <row r="29" spans="1:3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+'R_2014_03_atkelta(viso)'!E29+R_2014_03_priskirta!E30</f>
        <v>0</v>
      </c>
      <c r="F29" s="127">
        <f>+'R_2014_03_atkelta(viso)'!F29+R_2014_03_priskirta!F30</f>
        <v>142.5</v>
      </c>
      <c r="G29" s="127">
        <f>+'R_2014_03_atkelta(viso)'!G29+R_2014_03_priskirta!G30</f>
        <v>0</v>
      </c>
      <c r="H29" s="127">
        <f>+'R_2014_03_atkelta(viso)'!H29+R_2014_03_priskirta!H30</f>
        <v>87</v>
      </c>
      <c r="I29" s="127">
        <f>+'R_2014_03_atkelta(viso)'!I29+R_2014_03_priskirta!I30</f>
        <v>0</v>
      </c>
      <c r="J29" s="127">
        <f>+'R_2014_03_atkelta(viso)'!J29+R_2014_03_priskirta!J30</f>
        <v>0</v>
      </c>
      <c r="K29" s="127">
        <f>+'R_2014_03_atkelta(viso)'!K29+R_2014_03_priskirta!K30</f>
        <v>0</v>
      </c>
      <c r="L29" s="127">
        <f>+'R_2014_03_atkelta(viso)'!L29+R_2014_03_priskirta!L30</f>
        <v>0</v>
      </c>
      <c r="M29" s="127">
        <f>+'R_2014_03_atkelta(viso)'!M29+R_2014_03_priskirta!M30</f>
        <v>0</v>
      </c>
      <c r="N29" s="127">
        <f>+'R_2014_03_atkelta(viso)'!N29+R_2014_03_priskirta!N30</f>
        <v>126</v>
      </c>
      <c r="O29" s="152">
        <f t="shared" si="16"/>
        <v>355.5</v>
      </c>
      <c r="P29" s="229">
        <f t="shared" si="6"/>
        <v>326.14678899082566</v>
      </c>
      <c r="Q29" s="73">
        <f t="shared" si="18"/>
        <v>29.353211009174345</v>
      </c>
      <c r="R29" s="21">
        <f t="shared" si="17"/>
        <v>2.6333333333333333</v>
      </c>
      <c r="S29" s="35"/>
      <c r="T29" s="61">
        <v>135</v>
      </c>
      <c r="U29" s="13">
        <f t="shared" si="21"/>
        <v>355.5</v>
      </c>
      <c r="W29" s="102"/>
      <c r="X29" s="102"/>
      <c r="Y29" s="102"/>
      <c r="Z29" s="102"/>
      <c r="AA29" s="102"/>
      <c r="AB29" s="102"/>
      <c r="AC29" s="102"/>
      <c r="AD29" s="102"/>
      <c r="AE29" s="2"/>
      <c r="AF29" s="2"/>
      <c r="AG29" s="2"/>
      <c r="AH29" s="2"/>
    </row>
    <row r="30" spans="1:3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+'R_2014_03_atkelta(viso)'!E30+R_2014_03_priskirta!E31</f>
        <v>105</v>
      </c>
      <c r="F30" s="127">
        <f>+'R_2014_03_atkelta(viso)'!F30+R_2014_03_priskirta!F31</f>
        <v>357.6</v>
      </c>
      <c r="G30" s="127">
        <f>+'R_2014_03_atkelta(viso)'!G30+R_2014_03_priskirta!G31</f>
        <v>19.8</v>
      </c>
      <c r="H30" s="127">
        <f>+'R_2014_03_atkelta(viso)'!H30+R_2014_03_priskirta!H31</f>
        <v>99.600000000000009</v>
      </c>
      <c r="I30" s="127">
        <f>+'R_2014_03_atkelta(viso)'!I30+R_2014_03_priskirta!I31</f>
        <v>0</v>
      </c>
      <c r="J30" s="127">
        <f>+'R_2014_03_atkelta(viso)'!J30+R_2014_03_priskirta!J31</f>
        <v>0</v>
      </c>
      <c r="K30" s="127">
        <f>+'R_2014_03_atkelta(viso)'!K30+R_2014_03_priskirta!K31</f>
        <v>0</v>
      </c>
      <c r="L30" s="127">
        <f>+'R_2014_03_atkelta(viso)'!L30+R_2014_03_priskirta!L31</f>
        <v>0</v>
      </c>
      <c r="M30" s="127">
        <f>+'R_2014_03_atkelta(viso)'!M30+R_2014_03_priskirta!M31</f>
        <v>16.8</v>
      </c>
      <c r="N30" s="127">
        <f>+'R_2014_03_atkelta(viso)'!N30+R_2014_03_priskirta!N31</f>
        <v>1154.4000000000001</v>
      </c>
      <c r="O30" s="152">
        <f t="shared" si="16"/>
        <v>1753.2</v>
      </c>
      <c r="P30" s="229">
        <f t="shared" si="6"/>
        <v>1608.440366972477</v>
      </c>
      <c r="Q30" s="73">
        <f t="shared" si="18"/>
        <v>144.75963302752302</v>
      </c>
      <c r="R30" s="21">
        <f t="shared" si="17"/>
        <v>32.466666666666669</v>
      </c>
      <c r="S30" s="35"/>
      <c r="T30" s="61">
        <v>216</v>
      </c>
      <c r="U30" s="13">
        <f t="shared" si="21"/>
        <v>7012.8</v>
      </c>
      <c r="W30" s="102"/>
      <c r="X30" s="102"/>
      <c r="Y30" s="102"/>
      <c r="Z30" s="102"/>
      <c r="AA30" s="102"/>
      <c r="AB30" s="102"/>
      <c r="AC30" s="102"/>
      <c r="AD30" s="102"/>
      <c r="AE30" s="2"/>
      <c r="AF30" s="2"/>
      <c r="AG30" s="2"/>
      <c r="AH30" s="2"/>
    </row>
    <row r="31" spans="1:3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+'R_2014_03_atkelta(viso)'!E31+R_2014_03_priskirta!E32</f>
        <v>103.33</v>
      </c>
      <c r="F31" s="127">
        <f>+'R_2014_03_atkelta(viso)'!F31+R_2014_03_priskirta!F32</f>
        <v>373.33</v>
      </c>
      <c r="G31" s="127">
        <f>+'R_2014_03_atkelta(viso)'!G31+R_2014_03_priskirta!G32</f>
        <v>103.33</v>
      </c>
      <c r="H31" s="127">
        <f>+'R_2014_03_atkelta(viso)'!H31+R_2014_03_priskirta!H32</f>
        <v>206.67</v>
      </c>
      <c r="I31" s="127">
        <f>+'R_2014_03_atkelta(viso)'!I31+R_2014_03_priskirta!I32</f>
        <v>0</v>
      </c>
      <c r="J31" s="127">
        <f>+'R_2014_03_atkelta(viso)'!J31+R_2014_03_priskirta!J32</f>
        <v>0</v>
      </c>
      <c r="K31" s="127">
        <f>+'R_2014_03_atkelta(viso)'!K31+R_2014_03_priskirta!K32</f>
        <v>0</v>
      </c>
      <c r="L31" s="127">
        <f>+'R_2014_03_atkelta(viso)'!L31+R_2014_03_priskirta!L32</f>
        <v>0</v>
      </c>
      <c r="M31" s="127">
        <f>+'R_2014_03_atkelta(viso)'!M31+R_2014_03_priskirta!M32</f>
        <v>0</v>
      </c>
      <c r="N31" s="127">
        <f>+'R_2014_03_atkelta(viso)'!N31+R_2014_03_priskirta!N32</f>
        <v>176.67</v>
      </c>
      <c r="O31" s="152">
        <f t="shared" si="16"/>
        <v>963.32999999999993</v>
      </c>
      <c r="P31" s="229">
        <f t="shared" si="6"/>
        <v>883.78899082568796</v>
      </c>
      <c r="Q31" s="73">
        <f t="shared" si="18"/>
        <v>79.541009174311966</v>
      </c>
      <c r="R31" s="21">
        <f t="shared" si="17"/>
        <v>1.6055499999999998</v>
      </c>
      <c r="S31" s="35"/>
      <c r="T31" s="61"/>
      <c r="U31" s="13"/>
      <c r="W31" s="102"/>
      <c r="X31" s="102"/>
      <c r="Y31" s="102"/>
      <c r="Z31" s="102"/>
      <c r="AA31" s="102"/>
      <c r="AB31" s="102"/>
      <c r="AC31" s="102"/>
      <c r="AD31" s="102"/>
      <c r="AE31" s="2"/>
      <c r="AF31" s="2"/>
      <c r="AG31" s="2"/>
      <c r="AH31" s="2"/>
    </row>
    <row r="32" spans="1:3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+'R_2014_03_atkelta(viso)'!E32+R_2014_03_priskirta!E33</f>
        <v>0</v>
      </c>
      <c r="F32" s="127">
        <f>+'R_2014_03_atkelta(viso)'!F32+R_2014_03_priskirta!F33</f>
        <v>563.34</v>
      </c>
      <c r="G32" s="127">
        <f>+'R_2014_03_atkelta(viso)'!G32+R_2014_03_priskirta!G33</f>
        <v>51.67</v>
      </c>
      <c r="H32" s="127">
        <f>+'R_2014_03_atkelta(viso)'!H32+R_2014_03_priskirta!H33</f>
        <v>191.67999999999998</v>
      </c>
      <c r="I32" s="127">
        <f>+'R_2014_03_atkelta(viso)'!I32+R_2014_03_priskirta!I33</f>
        <v>0</v>
      </c>
      <c r="J32" s="127">
        <f>+'R_2014_03_atkelta(viso)'!J32+R_2014_03_priskirta!J33</f>
        <v>0</v>
      </c>
      <c r="K32" s="127">
        <f>+'R_2014_03_atkelta(viso)'!K32+R_2014_03_priskirta!K33</f>
        <v>0</v>
      </c>
      <c r="L32" s="127">
        <f>+'R_2014_03_atkelta(viso)'!L32+R_2014_03_priskirta!L33</f>
        <v>0</v>
      </c>
      <c r="M32" s="127">
        <f>+'R_2014_03_atkelta(viso)'!M32+R_2014_03_priskirta!M33</f>
        <v>0</v>
      </c>
      <c r="N32" s="127">
        <f>+'R_2014_03_atkelta(viso)'!N32+R_2014_03_priskirta!N33</f>
        <v>208.33999999999997</v>
      </c>
      <c r="O32" s="152">
        <f t="shared" si="16"/>
        <v>1015.03</v>
      </c>
      <c r="P32" s="229">
        <f t="shared" si="6"/>
        <v>931.2201834862384</v>
      </c>
      <c r="Q32" s="73">
        <f t="shared" si="18"/>
        <v>83.809816513761575</v>
      </c>
      <c r="R32" s="21">
        <f t="shared" si="17"/>
        <v>3.3834333333333331</v>
      </c>
      <c r="S32" s="35"/>
      <c r="T32" s="61">
        <v>300</v>
      </c>
      <c r="U32" s="13">
        <f t="shared" si="21"/>
        <v>1015.03</v>
      </c>
      <c r="W32" s="102"/>
      <c r="X32" s="102"/>
      <c r="Y32" s="102"/>
      <c r="Z32" s="102"/>
      <c r="AA32" s="102"/>
      <c r="AB32" s="102"/>
      <c r="AC32" s="102"/>
      <c r="AD32" s="102"/>
      <c r="AE32" s="2"/>
      <c r="AF32" s="2"/>
      <c r="AG32" s="2"/>
      <c r="AH32" s="2"/>
    </row>
    <row r="33" spans="1:3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+'R_2014_03_atkelta(viso)'!E33+R_2014_03_priskirta!E34</f>
        <v>41.33</v>
      </c>
      <c r="F33" s="127">
        <f>+'R_2014_03_atkelta(viso)'!F33+R_2014_03_priskirta!F34</f>
        <v>1702</v>
      </c>
      <c r="G33" s="127">
        <f>+'R_2014_03_atkelta(viso)'!G33+R_2014_03_priskirta!G34</f>
        <v>192.67</v>
      </c>
      <c r="H33" s="127">
        <f>+'R_2014_03_atkelta(viso)'!H33+R_2014_03_priskirta!H34</f>
        <v>66.67</v>
      </c>
      <c r="I33" s="127">
        <f>+'R_2014_03_atkelta(viso)'!I33+R_2014_03_priskirta!I34</f>
        <v>0</v>
      </c>
      <c r="J33" s="127">
        <f>+'R_2014_03_atkelta(viso)'!J33+R_2014_03_priskirta!J34</f>
        <v>0</v>
      </c>
      <c r="K33" s="127">
        <f>+'R_2014_03_atkelta(viso)'!K33+R_2014_03_priskirta!K34</f>
        <v>0</v>
      </c>
      <c r="L33" s="127">
        <f>+'R_2014_03_atkelta(viso)'!L33+R_2014_03_priskirta!L34</f>
        <v>0</v>
      </c>
      <c r="M33" s="127">
        <f>+'R_2014_03_atkelta(viso)'!M33+R_2014_03_priskirta!M34</f>
        <v>0</v>
      </c>
      <c r="N33" s="127">
        <f>+'R_2014_03_atkelta(viso)'!N33+R_2014_03_priskirta!N34</f>
        <v>1696</v>
      </c>
      <c r="O33" s="152">
        <f t="shared" si="16"/>
        <v>3698.67</v>
      </c>
      <c r="P33" s="229">
        <f t="shared" si="6"/>
        <v>3393.2752293577978</v>
      </c>
      <c r="Q33" s="73">
        <f t="shared" si="18"/>
        <v>305.39477064220227</v>
      </c>
      <c r="R33" s="21">
        <f t="shared" si="17"/>
        <v>30.82225</v>
      </c>
      <c r="S33" s="35"/>
      <c r="T33" s="61">
        <v>480</v>
      </c>
      <c r="U33" s="13">
        <f t="shared" si="21"/>
        <v>14794.68</v>
      </c>
      <c r="W33" s="102"/>
      <c r="X33" s="102"/>
      <c r="Y33" s="102"/>
      <c r="Z33" s="102"/>
      <c r="AA33" s="102"/>
      <c r="AB33" s="102"/>
      <c r="AC33" s="102"/>
      <c r="AD33" s="102"/>
      <c r="AE33" s="2"/>
      <c r="AF33" s="2"/>
      <c r="AG33" s="2"/>
      <c r="AH33" s="2"/>
    </row>
    <row r="34" spans="1:3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+'R_2014_03_atkelta(viso)'!E34+R_2014_03_priskirta!E35</f>
        <v>0</v>
      </c>
      <c r="F34" s="127">
        <f>+'R_2014_03_atkelta(viso)'!F34+R_2014_03_priskirta!F35</f>
        <v>0</v>
      </c>
      <c r="G34" s="127">
        <f>+'R_2014_03_atkelta(viso)'!G34+R_2014_03_priskirta!G35</f>
        <v>0</v>
      </c>
      <c r="H34" s="127">
        <f>+'R_2014_03_atkelta(viso)'!H34+R_2014_03_priskirta!H35</f>
        <v>0</v>
      </c>
      <c r="I34" s="127">
        <f>+'R_2014_03_atkelta(viso)'!I34+R_2014_03_priskirta!I35</f>
        <v>0</v>
      </c>
      <c r="J34" s="127">
        <f>+'R_2014_03_atkelta(viso)'!J34+R_2014_03_priskirta!J35</f>
        <v>0</v>
      </c>
      <c r="K34" s="127">
        <f>+'R_2014_03_atkelta(viso)'!K34+R_2014_03_priskirta!K35</f>
        <v>0</v>
      </c>
      <c r="L34" s="127">
        <f>+'R_2014_03_atkelta(viso)'!L34+R_2014_03_priskirta!L35</f>
        <v>0</v>
      </c>
      <c r="M34" s="127">
        <f>+'R_2014_03_atkelta(viso)'!M34+R_2014_03_priskirta!M35</f>
        <v>0</v>
      </c>
      <c r="N34" s="127">
        <f>+'R_2014_03_atkelta(viso)'!N34+R_2014_03_priskirta!N35</f>
        <v>1446</v>
      </c>
      <c r="O34" s="152">
        <f t="shared" si="16"/>
        <v>1446</v>
      </c>
      <c r="P34" s="229">
        <f t="shared" si="6"/>
        <v>1326.6055045871558</v>
      </c>
      <c r="Q34" s="73">
        <f t="shared" si="18"/>
        <v>119.39449541284421</v>
      </c>
      <c r="R34" s="21">
        <f t="shared" si="17"/>
        <v>2.6777777777777776</v>
      </c>
      <c r="S34" s="35"/>
      <c r="T34" s="61"/>
      <c r="U34" s="13"/>
      <c r="W34" s="102"/>
      <c r="X34" s="102"/>
      <c r="Y34" s="102"/>
      <c r="Z34" s="102"/>
      <c r="AA34" s="102"/>
      <c r="AB34" s="102"/>
      <c r="AC34" s="102"/>
      <c r="AD34" s="102"/>
      <c r="AE34" s="2"/>
      <c r="AF34" s="2"/>
      <c r="AG34" s="2"/>
      <c r="AH34" s="2"/>
    </row>
    <row r="35" spans="1:3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+'R_2014_03_atkelta(viso)'!E35+R_2014_03_priskirta!E36</f>
        <v>0</v>
      </c>
      <c r="F35" s="127">
        <f>+'R_2014_03_atkelta(viso)'!F35+R_2014_03_priskirta!F36</f>
        <v>0</v>
      </c>
      <c r="G35" s="127">
        <f>+'R_2014_03_atkelta(viso)'!G35+R_2014_03_priskirta!G36</f>
        <v>0</v>
      </c>
      <c r="H35" s="127">
        <f>+'R_2014_03_atkelta(viso)'!H35+R_2014_03_priskirta!H36</f>
        <v>0</v>
      </c>
      <c r="I35" s="127">
        <f>+'R_2014_03_atkelta(viso)'!I35+R_2014_03_priskirta!I36</f>
        <v>0</v>
      </c>
      <c r="J35" s="127">
        <f>+'R_2014_03_atkelta(viso)'!J35+R_2014_03_priskirta!J36</f>
        <v>0</v>
      </c>
      <c r="K35" s="127">
        <f>+'R_2014_03_atkelta(viso)'!K35+R_2014_03_priskirta!K36</f>
        <v>0</v>
      </c>
      <c r="L35" s="127">
        <f>+'R_2014_03_atkelta(viso)'!L35+R_2014_03_priskirta!L36</f>
        <v>0</v>
      </c>
      <c r="M35" s="127">
        <f>+'R_2014_03_atkelta(viso)'!M35+R_2014_03_priskirta!M36</f>
        <v>0</v>
      </c>
      <c r="N35" s="127">
        <f>+'R_2014_03_atkelta(viso)'!N35+R_2014_03_priskirta!N36</f>
        <v>0</v>
      </c>
      <c r="O35" s="152">
        <f t="shared" si="16"/>
        <v>0</v>
      </c>
      <c r="P35" s="229">
        <f t="shared" si="6"/>
        <v>0</v>
      </c>
      <c r="Q35" s="73">
        <f t="shared" si="18"/>
        <v>0</v>
      </c>
      <c r="R35" s="21">
        <f t="shared" si="17"/>
        <v>0</v>
      </c>
      <c r="S35" s="35"/>
      <c r="T35" s="61">
        <v>270</v>
      </c>
      <c r="U35" s="13">
        <f t="shared" si="21"/>
        <v>0</v>
      </c>
      <c r="W35" s="102"/>
      <c r="X35" s="102"/>
      <c r="Y35" s="102"/>
      <c r="Z35" s="102"/>
      <c r="AA35" s="102"/>
      <c r="AB35" s="102"/>
      <c r="AC35" s="102"/>
      <c r="AD35" s="102"/>
      <c r="AE35" s="2"/>
      <c r="AF35" s="2"/>
      <c r="AG35" s="2"/>
      <c r="AH35" s="2"/>
    </row>
    <row r="36" spans="1:3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+'R_2014_03_atkelta(viso)'!E36+R_2014_03_priskirta!E37</f>
        <v>37.200000000000003</v>
      </c>
      <c r="F36" s="127">
        <f>+'R_2014_03_atkelta(viso)'!F36+R_2014_03_priskirta!F37</f>
        <v>75</v>
      </c>
      <c r="G36" s="127">
        <f>+'R_2014_03_atkelta(viso)'!G36+R_2014_03_priskirta!G37</f>
        <v>6</v>
      </c>
      <c r="H36" s="127">
        <f>+'R_2014_03_atkelta(viso)'!H36+R_2014_03_priskirta!H37</f>
        <v>0</v>
      </c>
      <c r="I36" s="127">
        <f>+'R_2014_03_atkelta(viso)'!I36+R_2014_03_priskirta!I37</f>
        <v>0</v>
      </c>
      <c r="J36" s="127">
        <f>+'R_2014_03_atkelta(viso)'!J36+R_2014_03_priskirta!J37</f>
        <v>0</v>
      </c>
      <c r="K36" s="127">
        <f>+'R_2014_03_atkelta(viso)'!K36+R_2014_03_priskirta!K37</f>
        <v>0</v>
      </c>
      <c r="L36" s="127">
        <f>+'R_2014_03_atkelta(viso)'!L36+R_2014_03_priskirta!L37</f>
        <v>0</v>
      </c>
      <c r="M36" s="127">
        <f>+'R_2014_03_atkelta(viso)'!M36+R_2014_03_priskirta!M37</f>
        <v>0</v>
      </c>
      <c r="N36" s="127">
        <f>+'R_2014_03_atkelta(viso)'!N36+R_2014_03_priskirta!N37</f>
        <v>220.8</v>
      </c>
      <c r="O36" s="152">
        <f t="shared" si="16"/>
        <v>339</v>
      </c>
      <c r="P36" s="229">
        <f t="shared" si="6"/>
        <v>311.00917431192659</v>
      </c>
      <c r="Q36" s="73">
        <f t="shared" si="18"/>
        <v>27.990825688073414</v>
      </c>
      <c r="R36" s="21">
        <f t="shared" si="17"/>
        <v>3.1388888888888888</v>
      </c>
      <c r="S36" s="35"/>
      <c r="T36" s="61">
        <v>432</v>
      </c>
      <c r="U36" s="13">
        <f t="shared" si="21"/>
        <v>1356</v>
      </c>
      <c r="W36" s="102"/>
      <c r="X36" s="102"/>
      <c r="Y36" s="102"/>
      <c r="Z36" s="102"/>
      <c r="AA36" s="102"/>
      <c r="AB36" s="102"/>
      <c r="AC36" s="102"/>
      <c r="AD36" s="102"/>
      <c r="AE36" s="2"/>
      <c r="AF36" s="2"/>
      <c r="AG36" s="2"/>
      <c r="AH36" s="2"/>
    </row>
    <row r="37" spans="1:3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+'R_2014_03_atkelta(viso)'!E37+R_2014_03_priskirta!E38</f>
        <v>310</v>
      </c>
      <c r="F37" s="127">
        <f>+'R_2014_03_atkelta(viso)'!F37+R_2014_03_priskirta!F38</f>
        <v>103.33</v>
      </c>
      <c r="G37" s="127">
        <f>+'R_2014_03_atkelta(viso)'!G37+R_2014_03_priskirta!G38</f>
        <v>0</v>
      </c>
      <c r="H37" s="127">
        <f>+'R_2014_03_atkelta(viso)'!H37+R_2014_03_priskirta!H38</f>
        <v>90</v>
      </c>
      <c r="I37" s="127">
        <f>+'R_2014_03_atkelta(viso)'!I37+R_2014_03_priskirta!I38</f>
        <v>0</v>
      </c>
      <c r="J37" s="127">
        <f>+'R_2014_03_atkelta(viso)'!J37+R_2014_03_priskirta!J38</f>
        <v>0</v>
      </c>
      <c r="K37" s="127">
        <f>+'R_2014_03_atkelta(viso)'!K37+R_2014_03_priskirta!K38</f>
        <v>0</v>
      </c>
      <c r="L37" s="127">
        <f>+'R_2014_03_atkelta(viso)'!L37+R_2014_03_priskirta!L38</f>
        <v>0</v>
      </c>
      <c r="M37" s="127">
        <f>+'R_2014_03_atkelta(viso)'!M37+R_2014_03_priskirta!M38</f>
        <v>0</v>
      </c>
      <c r="N37" s="127">
        <f>+'R_2014_03_atkelta(viso)'!N37+R_2014_03_priskirta!N38</f>
        <v>103.33</v>
      </c>
      <c r="O37" s="152">
        <f t="shared" si="16"/>
        <v>606.66</v>
      </c>
      <c r="P37" s="229">
        <f t="shared" si="6"/>
        <v>556.56880733944945</v>
      </c>
      <c r="Q37" s="73">
        <f t="shared" si="18"/>
        <v>50.091192660550519</v>
      </c>
      <c r="R37" s="21">
        <f t="shared" si="17"/>
        <v>0.67406666666666659</v>
      </c>
      <c r="S37" s="35"/>
      <c r="T37" s="61"/>
      <c r="U37" s="13"/>
      <c r="W37" s="102"/>
      <c r="X37" s="102"/>
      <c r="Y37" s="102"/>
      <c r="Z37" s="102"/>
      <c r="AA37" s="102"/>
      <c r="AB37" s="102"/>
      <c r="AC37" s="102"/>
      <c r="AD37" s="102"/>
      <c r="AE37" s="2"/>
      <c r="AF37" s="2"/>
      <c r="AG37" s="2"/>
      <c r="AH37" s="2"/>
    </row>
    <row r="38" spans="1:3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+'R_2014_03_atkelta(viso)'!E38+R_2014_03_priskirta!E39</f>
        <v>51.67</v>
      </c>
      <c r="F38" s="127">
        <f>+'R_2014_03_atkelta(viso)'!F38+R_2014_03_priskirta!F39</f>
        <v>88.33</v>
      </c>
      <c r="G38" s="127">
        <f>+'R_2014_03_atkelta(viso)'!G38+R_2014_03_priskirta!G39</f>
        <v>45</v>
      </c>
      <c r="H38" s="127">
        <f>+'R_2014_03_atkelta(viso)'!H38+R_2014_03_priskirta!H39</f>
        <v>0</v>
      </c>
      <c r="I38" s="127">
        <f>+'R_2014_03_atkelta(viso)'!I38+R_2014_03_priskirta!I39</f>
        <v>0</v>
      </c>
      <c r="J38" s="127">
        <f>+'R_2014_03_atkelta(viso)'!J38+R_2014_03_priskirta!J39</f>
        <v>0</v>
      </c>
      <c r="K38" s="127">
        <f>+'R_2014_03_atkelta(viso)'!K38+R_2014_03_priskirta!K39</f>
        <v>0</v>
      </c>
      <c r="L38" s="127">
        <f>+'R_2014_03_atkelta(viso)'!L38+R_2014_03_priskirta!L39</f>
        <v>0</v>
      </c>
      <c r="M38" s="127">
        <f>+'R_2014_03_atkelta(viso)'!M38+R_2014_03_priskirta!M39</f>
        <v>0</v>
      </c>
      <c r="N38" s="127">
        <f>+'R_2014_03_atkelta(viso)'!N38+R_2014_03_priskirta!N39</f>
        <v>0</v>
      </c>
      <c r="O38" s="152">
        <f t="shared" si="16"/>
        <v>185</v>
      </c>
      <c r="P38" s="229">
        <f t="shared" si="6"/>
        <v>169.72477064220183</v>
      </c>
      <c r="Q38" s="73">
        <f t="shared" si="18"/>
        <v>15.275229357798167</v>
      </c>
      <c r="R38" s="21">
        <f t="shared" si="17"/>
        <v>0.41111111111111109</v>
      </c>
      <c r="S38" s="35"/>
      <c r="T38" s="61">
        <v>450</v>
      </c>
      <c r="U38" s="13">
        <f t="shared" si="21"/>
        <v>185</v>
      </c>
      <c r="W38" s="102"/>
      <c r="X38" s="102"/>
      <c r="Y38" s="102"/>
      <c r="Z38" s="102"/>
      <c r="AA38" s="102"/>
      <c r="AB38" s="102"/>
      <c r="AC38" s="102"/>
      <c r="AD38" s="102"/>
      <c r="AE38" s="2"/>
      <c r="AF38" s="2"/>
      <c r="AG38" s="2"/>
      <c r="AH38" s="2"/>
    </row>
    <row r="39" spans="1:3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+'R_2014_03_atkelta(viso)'!E39+R_2014_03_priskirta!E40</f>
        <v>103.34</v>
      </c>
      <c r="F39" s="127">
        <f>+'R_2014_03_atkelta(viso)'!F39+R_2014_03_priskirta!F40</f>
        <v>2304</v>
      </c>
      <c r="G39" s="127">
        <f>+'R_2014_03_atkelta(viso)'!G39+R_2014_03_priskirta!G40</f>
        <v>103.33</v>
      </c>
      <c r="H39" s="127">
        <f>+'R_2014_03_atkelta(viso)'!H39+R_2014_03_priskirta!H40</f>
        <v>227.35000000000002</v>
      </c>
      <c r="I39" s="127">
        <f>+'R_2014_03_atkelta(viso)'!I39+R_2014_03_priskirta!I40</f>
        <v>0</v>
      </c>
      <c r="J39" s="127">
        <f>+'R_2014_03_atkelta(viso)'!J39+R_2014_03_priskirta!J40</f>
        <v>0</v>
      </c>
      <c r="K39" s="127">
        <f>+'R_2014_03_atkelta(viso)'!K39+R_2014_03_priskirta!K40</f>
        <v>0</v>
      </c>
      <c r="L39" s="127">
        <f>+'R_2014_03_atkelta(viso)'!L39+R_2014_03_priskirta!L40</f>
        <v>0</v>
      </c>
      <c r="M39" s="127">
        <f>+'R_2014_03_atkelta(viso)'!M39+R_2014_03_priskirta!M40</f>
        <v>0</v>
      </c>
      <c r="N39" s="127">
        <f>+'R_2014_03_atkelta(viso)'!N39+R_2014_03_priskirta!N40</f>
        <v>1281.33</v>
      </c>
      <c r="O39" s="152">
        <f t="shared" si="16"/>
        <v>4019.35</v>
      </c>
      <c r="P39" s="229">
        <f t="shared" si="6"/>
        <v>3687.4770642201829</v>
      </c>
      <c r="Q39" s="73">
        <f t="shared" si="18"/>
        <v>331.872935779817</v>
      </c>
      <c r="R39" s="21">
        <f t="shared" si="17"/>
        <v>22.329722222222223</v>
      </c>
      <c r="S39" s="35"/>
      <c r="T39" s="61">
        <v>720</v>
      </c>
      <c r="U39" s="13">
        <f t="shared" si="21"/>
        <v>16077.400000000001</v>
      </c>
      <c r="W39" s="102"/>
      <c r="X39" s="102"/>
      <c r="Y39" s="102"/>
      <c r="Z39" s="102"/>
      <c r="AA39" s="102"/>
      <c r="AB39" s="102"/>
      <c r="AC39" s="102"/>
      <c r="AD39" s="102"/>
      <c r="AE39" s="2"/>
      <c r="AF39" s="2"/>
      <c r="AG39" s="2"/>
      <c r="AH39" s="2"/>
    </row>
    <row r="40" spans="1:3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+'R_2014_03_atkelta(viso)'!E40+R_2014_03_priskirta!E41</f>
        <v>0</v>
      </c>
      <c r="F40" s="127">
        <f>+'R_2014_03_atkelta(viso)'!F40+R_2014_03_priskirta!F41</f>
        <v>0</v>
      </c>
      <c r="G40" s="127">
        <f>+'R_2014_03_atkelta(viso)'!G40+R_2014_03_priskirta!G41</f>
        <v>0</v>
      </c>
      <c r="H40" s="127">
        <f>+'R_2014_03_atkelta(viso)'!H40+R_2014_03_priskirta!H41</f>
        <v>0</v>
      </c>
      <c r="I40" s="127">
        <f>+'R_2014_03_atkelta(viso)'!I40+R_2014_03_priskirta!I41</f>
        <v>0</v>
      </c>
      <c r="J40" s="127">
        <f>+'R_2014_03_atkelta(viso)'!J40+R_2014_03_priskirta!J41</f>
        <v>0</v>
      </c>
      <c r="K40" s="127">
        <f>+'R_2014_03_atkelta(viso)'!K40+R_2014_03_priskirta!K41</f>
        <v>0</v>
      </c>
      <c r="L40" s="127">
        <f>+'R_2014_03_atkelta(viso)'!L40+R_2014_03_priskirta!L41</f>
        <v>0</v>
      </c>
      <c r="M40" s="127">
        <f>+'R_2014_03_atkelta(viso)'!M40+R_2014_03_priskirta!M41</f>
        <v>0</v>
      </c>
      <c r="N40" s="127">
        <f>+'R_2014_03_atkelta(viso)'!N40+R_2014_03_priskirta!N41</f>
        <v>465</v>
      </c>
      <c r="O40" s="152">
        <f t="shared" si="16"/>
        <v>465</v>
      </c>
      <c r="P40" s="229">
        <f t="shared" si="6"/>
        <v>426.60550458715591</v>
      </c>
      <c r="Q40" s="73">
        <f t="shared" si="18"/>
        <v>38.394495412844094</v>
      </c>
      <c r="R40" s="21">
        <f t="shared" si="17"/>
        <v>0.57407407407407407</v>
      </c>
      <c r="S40" s="71"/>
      <c r="T40" s="61"/>
      <c r="U40" s="13"/>
      <c r="W40" s="102"/>
      <c r="X40" s="102"/>
      <c r="Y40" s="102"/>
      <c r="Z40" s="102"/>
      <c r="AA40" s="102"/>
      <c r="AB40" s="102"/>
      <c r="AC40" s="102"/>
      <c r="AD40" s="102"/>
      <c r="AE40" s="2"/>
      <c r="AF40" s="2"/>
      <c r="AG40" s="2"/>
      <c r="AH40" s="2"/>
    </row>
    <row r="41" spans="1:3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+'R_2014_03_atkelta(viso)'!E41+R_2014_03_priskirta!E42</f>
        <v>0</v>
      </c>
      <c r="F41" s="127">
        <f>+'R_2014_03_atkelta(viso)'!F41+R_2014_03_priskirta!F42</f>
        <v>0</v>
      </c>
      <c r="G41" s="127">
        <f>+'R_2014_03_atkelta(viso)'!G41+R_2014_03_priskirta!G42</f>
        <v>0</v>
      </c>
      <c r="H41" s="127">
        <f>+'R_2014_03_atkelta(viso)'!H41+R_2014_03_priskirta!H42</f>
        <v>0</v>
      </c>
      <c r="I41" s="127">
        <f>+'R_2014_03_atkelta(viso)'!I41+R_2014_03_priskirta!I42</f>
        <v>0</v>
      </c>
      <c r="J41" s="127">
        <f>+'R_2014_03_atkelta(viso)'!J41+R_2014_03_priskirta!J42</f>
        <v>0</v>
      </c>
      <c r="K41" s="127">
        <f>+'R_2014_03_atkelta(viso)'!K41+R_2014_03_priskirta!K42</f>
        <v>0</v>
      </c>
      <c r="L41" s="127">
        <f>+'R_2014_03_atkelta(viso)'!L41+R_2014_03_priskirta!L42</f>
        <v>0</v>
      </c>
      <c r="M41" s="127">
        <f>+'R_2014_03_atkelta(viso)'!M41+R_2014_03_priskirta!M42</f>
        <v>0</v>
      </c>
      <c r="N41" s="127">
        <f>+'R_2014_03_atkelta(viso)'!N41+R_2014_03_priskirta!N42</f>
        <v>0</v>
      </c>
      <c r="O41" s="152">
        <f t="shared" si="16"/>
        <v>0</v>
      </c>
      <c r="P41" s="229">
        <f t="shared" si="6"/>
        <v>0</v>
      </c>
      <c r="Q41" s="73">
        <f t="shared" si="18"/>
        <v>0</v>
      </c>
      <c r="R41" s="21">
        <f t="shared" si="17"/>
        <v>0</v>
      </c>
      <c r="S41" s="71"/>
      <c r="T41" s="61">
        <v>405</v>
      </c>
      <c r="U41" s="13">
        <f t="shared" si="21"/>
        <v>0</v>
      </c>
      <c r="W41" s="102"/>
      <c r="X41" s="102"/>
      <c r="Y41" s="102"/>
      <c r="Z41" s="102"/>
      <c r="AA41" s="102"/>
      <c r="AB41" s="102"/>
      <c r="AC41" s="102"/>
      <c r="AD41" s="102"/>
      <c r="AE41" s="2"/>
      <c r="AF41" s="2"/>
      <c r="AG41" s="2"/>
      <c r="AH41" s="2"/>
    </row>
    <row r="42" spans="1:3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+'R_2014_03_atkelta(viso)'!E42+R_2014_03_priskirta!E43</f>
        <v>18.600000000000001</v>
      </c>
      <c r="F42" s="127">
        <f>+'R_2014_03_atkelta(viso)'!F42+R_2014_03_priskirta!F43</f>
        <v>204.6</v>
      </c>
      <c r="G42" s="127">
        <f>+'R_2014_03_atkelta(viso)'!G42+R_2014_03_priskirta!G43</f>
        <v>18.600000000000001</v>
      </c>
      <c r="H42" s="127">
        <f>+'R_2014_03_atkelta(viso)'!H42+R_2014_03_priskirta!H43</f>
        <v>0</v>
      </c>
      <c r="I42" s="127">
        <f>+'R_2014_03_atkelta(viso)'!I42+R_2014_03_priskirta!I43</f>
        <v>0</v>
      </c>
      <c r="J42" s="127">
        <f>+'R_2014_03_atkelta(viso)'!J42+R_2014_03_priskirta!J43</f>
        <v>0</v>
      </c>
      <c r="K42" s="127">
        <f>+'R_2014_03_atkelta(viso)'!K42+R_2014_03_priskirta!K43</f>
        <v>0</v>
      </c>
      <c r="L42" s="127">
        <f>+'R_2014_03_atkelta(viso)'!L42+R_2014_03_priskirta!L43</f>
        <v>0</v>
      </c>
      <c r="M42" s="127">
        <f>+'R_2014_03_atkelta(viso)'!M42+R_2014_03_priskirta!M43</f>
        <v>0</v>
      </c>
      <c r="N42" s="127">
        <f>+'R_2014_03_atkelta(viso)'!N42+R_2014_03_priskirta!N43</f>
        <v>241.79999999999998</v>
      </c>
      <c r="O42" s="206">
        <f t="shared" si="16"/>
        <v>483.59999999999997</v>
      </c>
      <c r="P42" s="229">
        <f t="shared" si="6"/>
        <v>443.66972477064212</v>
      </c>
      <c r="Q42" s="207">
        <f t="shared" si="18"/>
        <v>39.930275229357846</v>
      </c>
      <c r="R42" s="39">
        <f t="shared" si="17"/>
        <v>2.9851851851851849</v>
      </c>
      <c r="S42" s="71"/>
      <c r="T42" s="61">
        <v>648</v>
      </c>
      <c r="U42" s="13">
        <f t="shared" si="21"/>
        <v>1934.3999999999999</v>
      </c>
      <c r="W42" s="102"/>
      <c r="X42" s="102"/>
      <c r="Y42" s="102"/>
      <c r="Z42" s="102"/>
      <c r="AA42" s="102"/>
      <c r="AB42" s="102"/>
      <c r="AC42" s="102"/>
      <c r="AD42" s="102"/>
      <c r="AE42" s="2"/>
      <c r="AF42" s="2"/>
      <c r="AG42" s="2"/>
      <c r="AH42" s="2"/>
    </row>
    <row r="43" spans="1:34" x14ac:dyDescent="0.3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+'R_2014_03_atkelta(viso)'!E43+R_2014_03_priskirta!E44</f>
        <v>128.03</v>
      </c>
      <c r="F43" s="127">
        <f>+'R_2014_03_atkelta(viso)'!F43+R_2014_03_priskirta!F44</f>
        <v>9914.2699999999986</v>
      </c>
      <c r="G43" s="127">
        <f>+'R_2014_03_atkelta(viso)'!G43+R_2014_03_priskirta!G44</f>
        <v>1278.74</v>
      </c>
      <c r="H43" s="127">
        <f>+'R_2014_03_atkelta(viso)'!H43+R_2014_03_priskirta!H44</f>
        <v>1776.96</v>
      </c>
      <c r="I43" s="127">
        <f>+'R_2014_03_atkelta(viso)'!I43+R_2014_03_priskirta!I44</f>
        <v>0</v>
      </c>
      <c r="J43" s="127">
        <f>+'R_2014_03_atkelta(viso)'!J43+R_2014_03_priskirta!J44</f>
        <v>0</v>
      </c>
      <c r="K43" s="127">
        <f>+'R_2014_03_atkelta(viso)'!K43+R_2014_03_priskirta!K44</f>
        <v>0</v>
      </c>
      <c r="L43" s="127">
        <f>+'R_2014_03_atkelta(viso)'!L43+R_2014_03_priskirta!L44</f>
        <v>0</v>
      </c>
      <c r="M43" s="127">
        <f>+'R_2014_03_atkelta(viso)'!M43+R_2014_03_priskirta!M44</f>
        <v>3.51</v>
      </c>
      <c r="N43" s="127">
        <f>+'R_2014_03_atkelta(viso)'!N43+R_2014_03_priskirta!N44</f>
        <v>21.91</v>
      </c>
      <c r="O43" s="248">
        <f t="shared" si="16"/>
        <v>13123.42</v>
      </c>
      <c r="P43" s="229">
        <f t="shared" si="6"/>
        <v>12039.83486238532</v>
      </c>
      <c r="Q43" s="147">
        <f t="shared" si="18"/>
        <v>1083.5851376146802</v>
      </c>
      <c r="R43" s="22">
        <f t="shared" si="17"/>
        <v>1312.3420000000001</v>
      </c>
      <c r="S43" s="71"/>
      <c r="T43" s="61"/>
      <c r="U43" s="13"/>
      <c r="V43" s="2"/>
      <c r="W43" s="102"/>
      <c r="X43" s="102"/>
      <c r="Y43" s="102"/>
      <c r="Z43" s="102"/>
      <c r="AA43" s="102"/>
      <c r="AB43" s="102"/>
      <c r="AC43" s="102"/>
      <c r="AD43" s="102"/>
      <c r="AE43" s="2"/>
      <c r="AF43" s="2"/>
      <c r="AG43" s="2"/>
      <c r="AH43" s="2"/>
    </row>
    <row r="44" spans="1:34" ht="12" customHeight="1" x14ac:dyDescent="0.3">
      <c r="A44" s="70" t="s">
        <v>16</v>
      </c>
      <c r="B44" s="52" t="s">
        <v>34</v>
      </c>
      <c r="C44" s="98" t="s">
        <v>91</v>
      </c>
      <c r="D44" s="78"/>
      <c r="E44" s="118">
        <f>+SUM(E45:E53)</f>
        <v>2927.0699999999997</v>
      </c>
      <c r="F44" s="82">
        <f>+SUM(F45:F53)</f>
        <v>130486.19</v>
      </c>
      <c r="G44" s="82">
        <f t="shared" ref="G44:R44" si="22">+SUM(G45:G53)</f>
        <v>22078.36</v>
      </c>
      <c r="H44" s="82">
        <f>+SUM(H45:H53)</f>
        <v>3249.13</v>
      </c>
      <c r="I44" s="82">
        <f t="shared" si="22"/>
        <v>0</v>
      </c>
      <c r="J44" s="82">
        <f t="shared" si="22"/>
        <v>0</v>
      </c>
      <c r="K44" s="100">
        <f t="shared" si="22"/>
        <v>0</v>
      </c>
      <c r="L44" s="100">
        <f t="shared" si="22"/>
        <v>0</v>
      </c>
      <c r="M44" s="100">
        <f t="shared" si="22"/>
        <v>372.98</v>
      </c>
      <c r="N44" s="100">
        <f t="shared" si="22"/>
        <v>11329.95</v>
      </c>
      <c r="O44" s="42">
        <f>+SUM(O45:O53)</f>
        <v>170443.68000000002</v>
      </c>
      <c r="P44" s="82">
        <f t="shared" si="22"/>
        <v>156370.34862385321</v>
      </c>
      <c r="Q44" s="82">
        <f t="shared" si="22"/>
        <v>14073.331376146803</v>
      </c>
      <c r="R44" s="19">
        <f t="shared" si="22"/>
        <v>25488.733333333337</v>
      </c>
      <c r="S44" s="71"/>
      <c r="T44" s="61"/>
      <c r="U44" s="105">
        <f>+SUM(U45:U53)</f>
        <v>248188.71999999997</v>
      </c>
      <c r="W44" s="102"/>
      <c r="X44" s="102"/>
      <c r="Y44" s="102"/>
      <c r="Z44" s="102"/>
      <c r="AA44" s="102"/>
      <c r="AB44" s="102"/>
      <c r="AC44" s="102"/>
      <c r="AD44" s="102"/>
      <c r="AE44" s="2"/>
      <c r="AF44" s="2"/>
      <c r="AG44" s="2"/>
      <c r="AH44" s="2"/>
    </row>
    <row r="45" spans="1:3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289">
        <f>+'R_2014_03_atkelta(viso)'!E45+R_2014_03_priskirta!E46</f>
        <v>312</v>
      </c>
      <c r="F45" s="289">
        <f>+'R_2014_03_atkelta(viso)'!F45+R_2014_03_priskirta!F46</f>
        <v>13560</v>
      </c>
      <c r="G45" s="289">
        <f>+'R_2014_03_atkelta(viso)'!G45+R_2014_03_priskirta!G46</f>
        <v>2292</v>
      </c>
      <c r="H45" s="289">
        <f>+'R_2014_03_atkelta(viso)'!H45+R_2014_03_priskirta!H46</f>
        <v>204</v>
      </c>
      <c r="I45" s="289">
        <f>+'R_2014_03_atkelta(viso)'!I45+R_2014_03_priskirta!I46</f>
        <v>0</v>
      </c>
      <c r="J45" s="289">
        <f>+'R_2014_03_atkelta(viso)'!J45+R_2014_03_priskirta!J46</f>
        <v>0</v>
      </c>
      <c r="K45" s="289">
        <f>+'R_2014_03_atkelta(viso)'!K45+R_2014_03_priskirta!K46</f>
        <v>0</v>
      </c>
      <c r="L45" s="289">
        <f>+'R_2014_03_atkelta(viso)'!L45+R_2014_03_priskirta!L46</f>
        <v>0</v>
      </c>
      <c r="M45" s="289">
        <f>+'R_2014_03_atkelta(viso)'!M45+R_2014_03_priskirta!M46</f>
        <v>60</v>
      </c>
      <c r="N45" s="289">
        <f>+'R_2014_03_atkelta(viso)'!N45+R_2014_03_priskirta!N46</f>
        <v>1236</v>
      </c>
      <c r="O45" s="290">
        <f>+'R_2014_03_atkelta(viso)'!O45+R_2014_03_priskirta!O46</f>
        <v>17664</v>
      </c>
      <c r="P45" s="229">
        <f t="shared" si="6"/>
        <v>16205.504587155961</v>
      </c>
      <c r="Q45" s="99">
        <f t="shared" ref="Q45:Q53" si="23">+O45-P45</f>
        <v>1458.4954128440386</v>
      </c>
      <c r="R45" s="116">
        <f t="shared" ref="R45:R53" si="24">O45/D45</f>
        <v>1472</v>
      </c>
      <c r="S45" s="71"/>
      <c r="T45" s="61"/>
      <c r="U45" s="13"/>
      <c r="V45"/>
      <c r="W45" s="102"/>
      <c r="X45" s="102"/>
      <c r="Y45" s="102"/>
      <c r="Z45" s="102"/>
      <c r="AA45" s="102"/>
      <c r="AB45" s="102"/>
      <c r="AC45" s="102"/>
      <c r="AD45" s="102"/>
      <c r="AE45" s="2"/>
      <c r="AF45" s="2"/>
      <c r="AG45" s="2"/>
      <c r="AH45" s="2"/>
    </row>
    <row r="46" spans="1:34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7">
        <f>+'R_2014_03_atkelta(viso)'!E46+R_2014_03_priskirta!E47</f>
        <v>132</v>
      </c>
      <c r="F46" s="127">
        <f>+'R_2014_03_atkelta(viso)'!F46+R_2014_03_priskirta!F47</f>
        <v>1902</v>
      </c>
      <c r="G46" s="127">
        <f>+'R_2014_03_atkelta(viso)'!G46+R_2014_03_priskirta!G47</f>
        <v>294</v>
      </c>
      <c r="H46" s="127">
        <f>+'R_2014_03_atkelta(viso)'!H46+R_2014_03_priskirta!H47</f>
        <v>30</v>
      </c>
      <c r="I46" s="127">
        <f>+'R_2014_03_atkelta(viso)'!I46+R_2014_03_priskirta!I47</f>
        <v>0</v>
      </c>
      <c r="J46" s="127">
        <f>+'R_2014_03_atkelta(viso)'!J46+R_2014_03_priskirta!J47</f>
        <v>0</v>
      </c>
      <c r="K46" s="127">
        <f>+'R_2014_03_atkelta(viso)'!K46+R_2014_03_priskirta!K47</f>
        <v>0</v>
      </c>
      <c r="L46" s="127">
        <f>+'R_2014_03_atkelta(viso)'!L46+R_2014_03_priskirta!L47</f>
        <v>0</v>
      </c>
      <c r="M46" s="127">
        <f>+'R_2014_03_atkelta(viso)'!M46+R_2014_03_priskirta!M47</f>
        <v>42</v>
      </c>
      <c r="N46" s="127">
        <f>+'R_2014_03_atkelta(viso)'!N46+R_2014_03_priskirta!N47</f>
        <v>150</v>
      </c>
      <c r="O46" s="291">
        <f>+'R_2014_03_atkelta(viso)'!O46+R_2014_03_priskirta!O47</f>
        <v>2550</v>
      </c>
      <c r="P46" s="229">
        <f t="shared" si="6"/>
        <v>2339.4495412844035</v>
      </c>
      <c r="Q46" s="5">
        <f t="shared" si="23"/>
        <v>210.55045871559651</v>
      </c>
      <c r="R46" s="31">
        <f t="shared" si="24"/>
        <v>425</v>
      </c>
      <c r="S46" s="71"/>
      <c r="T46" s="61">
        <v>6</v>
      </c>
      <c r="U46" s="13">
        <f t="shared" ref="U46:U47" si="25">+R46*T46</f>
        <v>2550</v>
      </c>
      <c r="W46" s="102"/>
      <c r="X46" s="102"/>
      <c r="Y46" s="102"/>
      <c r="Z46" s="102"/>
      <c r="AA46" s="102"/>
      <c r="AB46" s="102"/>
      <c r="AC46" s="102"/>
      <c r="AD46" s="102"/>
      <c r="AE46" s="2"/>
      <c r="AF46" s="2"/>
      <c r="AG46" s="2"/>
      <c r="AH46" s="2"/>
    </row>
    <row r="47" spans="1:34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7">
        <f>+'R_2014_03_atkelta(viso)'!E47+R_2014_03_priskirta!E48</f>
        <v>660</v>
      </c>
      <c r="F47" s="127">
        <f>+'R_2014_03_atkelta(viso)'!F47+R_2014_03_priskirta!F48</f>
        <v>32544</v>
      </c>
      <c r="G47" s="127">
        <f>+'R_2014_03_atkelta(viso)'!G47+R_2014_03_priskirta!G48</f>
        <v>6040.8</v>
      </c>
      <c r="H47" s="127">
        <f>+'R_2014_03_atkelta(viso)'!H47+R_2014_03_priskirta!H48</f>
        <v>201.6</v>
      </c>
      <c r="I47" s="127">
        <f>+'R_2014_03_atkelta(viso)'!I47+R_2014_03_priskirta!I48</f>
        <v>0</v>
      </c>
      <c r="J47" s="127">
        <f>+'R_2014_03_atkelta(viso)'!J47+R_2014_03_priskirta!J48</f>
        <v>0</v>
      </c>
      <c r="K47" s="127">
        <f>+'R_2014_03_atkelta(viso)'!K47+R_2014_03_priskirta!K48</f>
        <v>0</v>
      </c>
      <c r="L47" s="127">
        <f>+'R_2014_03_atkelta(viso)'!L47+R_2014_03_priskirta!L48</f>
        <v>0</v>
      </c>
      <c r="M47" s="127">
        <f>+'R_2014_03_atkelta(viso)'!M47+R_2014_03_priskirta!M48</f>
        <v>57.6</v>
      </c>
      <c r="N47" s="127">
        <f>+'R_2014_03_atkelta(viso)'!N47+R_2014_03_priskirta!N48</f>
        <v>2337.6000000000004</v>
      </c>
      <c r="O47" s="291">
        <f>+'R_2014_03_atkelta(viso)'!O47+R_2014_03_priskirta!O48</f>
        <v>41841.599999999999</v>
      </c>
      <c r="P47" s="229">
        <f t="shared" si="6"/>
        <v>38386.788990825684</v>
      </c>
      <c r="Q47" s="5">
        <f t="shared" si="23"/>
        <v>3454.8110091743147</v>
      </c>
      <c r="R47" s="31">
        <f t="shared" si="24"/>
        <v>17434</v>
      </c>
      <c r="S47" s="71"/>
      <c r="T47" s="61">
        <v>9.6</v>
      </c>
      <c r="U47" s="13">
        <f t="shared" si="25"/>
        <v>167366.39999999999</v>
      </c>
      <c r="W47" s="102"/>
      <c r="X47" s="102"/>
      <c r="Y47" s="102"/>
      <c r="Z47" s="102"/>
      <c r="AA47" s="102"/>
      <c r="AB47" s="102"/>
      <c r="AC47" s="102"/>
      <c r="AD47" s="102"/>
      <c r="AE47" s="2"/>
      <c r="AF47" s="2"/>
      <c r="AG47" s="2"/>
      <c r="AH47" s="2"/>
    </row>
    <row r="48" spans="1:34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7">
        <f>+'R_2014_03_atkelta(viso)'!E48+R_2014_03_priskirta!E49</f>
        <v>147</v>
      </c>
      <c r="F48" s="127">
        <f>+'R_2014_03_atkelta(viso)'!F48+R_2014_03_priskirta!F49</f>
        <v>13517</v>
      </c>
      <c r="G48" s="127">
        <f>+'R_2014_03_atkelta(viso)'!G48+R_2014_03_priskirta!G49</f>
        <v>1904</v>
      </c>
      <c r="H48" s="127">
        <f>+'R_2014_03_atkelta(viso)'!H48+R_2014_03_priskirta!H49</f>
        <v>462</v>
      </c>
      <c r="I48" s="127">
        <f>+'R_2014_03_atkelta(viso)'!I48+R_2014_03_priskirta!I49</f>
        <v>0</v>
      </c>
      <c r="J48" s="127">
        <f>+'R_2014_03_atkelta(viso)'!J48+R_2014_03_priskirta!J49</f>
        <v>0</v>
      </c>
      <c r="K48" s="127">
        <f>+'R_2014_03_atkelta(viso)'!K48+R_2014_03_priskirta!K49</f>
        <v>0</v>
      </c>
      <c r="L48" s="127">
        <f>+'R_2014_03_atkelta(viso)'!L48+R_2014_03_priskirta!L49</f>
        <v>0</v>
      </c>
      <c r="M48" s="127">
        <f>+'R_2014_03_atkelta(viso)'!M48+R_2014_03_priskirta!M49</f>
        <v>42</v>
      </c>
      <c r="N48" s="127">
        <f>+'R_2014_03_atkelta(viso)'!N48+R_2014_03_priskirta!N49</f>
        <v>952</v>
      </c>
      <c r="O48" s="291">
        <f>+'R_2014_03_atkelta(viso)'!O48+R_2014_03_priskirta!O49</f>
        <v>17024</v>
      </c>
      <c r="P48" s="229">
        <f t="shared" si="6"/>
        <v>15618.34862385321</v>
      </c>
      <c r="Q48" s="5">
        <f t="shared" si="23"/>
        <v>1405.6513761467904</v>
      </c>
      <c r="R48" s="31">
        <f t="shared" si="24"/>
        <v>810.66666666666663</v>
      </c>
      <c r="S48" s="71"/>
      <c r="T48" s="61"/>
      <c r="U48" s="13"/>
      <c r="W48" s="102"/>
      <c r="X48" s="102"/>
      <c r="Y48" s="102"/>
      <c r="Z48" s="102"/>
      <c r="AA48" s="102"/>
      <c r="AB48" s="102"/>
      <c r="AC48" s="102"/>
      <c r="AD48" s="102"/>
      <c r="AE48" s="2"/>
      <c r="AF48" s="2"/>
      <c r="AG48" s="2"/>
      <c r="AH48" s="2"/>
    </row>
    <row r="49" spans="1:34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7">
        <f>+'R_2014_03_atkelta(viso)'!E49+R_2014_03_priskirta!E50</f>
        <v>0</v>
      </c>
      <c r="F49" s="127">
        <f>+'R_2014_03_atkelta(viso)'!F49+R_2014_03_priskirta!F50</f>
        <v>1550.5</v>
      </c>
      <c r="G49" s="127">
        <f>+'R_2014_03_atkelta(viso)'!G49+R_2014_03_priskirta!G50</f>
        <v>311.5</v>
      </c>
      <c r="H49" s="127">
        <f>+'R_2014_03_atkelta(viso)'!H49+R_2014_03_priskirta!H50</f>
        <v>35</v>
      </c>
      <c r="I49" s="127">
        <f>+'R_2014_03_atkelta(viso)'!I49+R_2014_03_priskirta!I50</f>
        <v>0</v>
      </c>
      <c r="J49" s="127">
        <f>+'R_2014_03_atkelta(viso)'!J49+R_2014_03_priskirta!J50</f>
        <v>0</v>
      </c>
      <c r="K49" s="127">
        <f>+'R_2014_03_atkelta(viso)'!K49+R_2014_03_priskirta!K50</f>
        <v>0</v>
      </c>
      <c r="L49" s="127">
        <f>+'R_2014_03_atkelta(viso)'!L49+R_2014_03_priskirta!L50</f>
        <v>0</v>
      </c>
      <c r="M49" s="127">
        <f>+'R_2014_03_atkelta(viso)'!M49+R_2014_03_priskirta!M50</f>
        <v>3.5</v>
      </c>
      <c r="N49" s="127">
        <f>+'R_2014_03_atkelta(viso)'!N49+R_2014_03_priskirta!N50</f>
        <v>101.5</v>
      </c>
      <c r="O49" s="291">
        <f>+'R_2014_03_atkelta(viso)'!O49+R_2014_03_priskirta!O50</f>
        <v>2002</v>
      </c>
      <c r="P49" s="229">
        <f t="shared" si="6"/>
        <v>1836.6972477064219</v>
      </c>
      <c r="Q49" s="5">
        <f t="shared" si="23"/>
        <v>165.30275229357812</v>
      </c>
      <c r="R49" s="21">
        <f t="shared" si="24"/>
        <v>190.66666666666666</v>
      </c>
      <c r="S49" s="71"/>
      <c r="T49" s="61">
        <v>10.5</v>
      </c>
      <c r="U49" s="13">
        <f t="shared" ref="U49:U50" si="26">+R49*T49</f>
        <v>2002</v>
      </c>
      <c r="W49" s="102"/>
      <c r="X49" s="102"/>
      <c r="Y49" s="102"/>
      <c r="Z49" s="102"/>
      <c r="AA49" s="102"/>
      <c r="AB49" s="102"/>
      <c r="AC49" s="102"/>
      <c r="AD49" s="102"/>
      <c r="AE49" s="2"/>
      <c r="AF49" s="2"/>
      <c r="AG49" s="2"/>
      <c r="AH49" s="2"/>
    </row>
    <row r="50" spans="1:34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7">
        <f>+'R_2014_03_atkelta(viso)'!E50+R_2014_03_priskirta!E51</f>
        <v>131.6</v>
      </c>
      <c r="F50" s="127">
        <f>+'R_2014_03_atkelta(viso)'!F50+R_2014_03_priskirta!F51</f>
        <v>7212.8</v>
      </c>
      <c r="G50" s="127">
        <f>+'R_2014_03_atkelta(viso)'!G50+R_2014_03_priskirta!G51</f>
        <v>901.6</v>
      </c>
      <c r="H50" s="127">
        <f>+'R_2014_03_atkelta(viso)'!H50+R_2014_03_priskirta!H51</f>
        <v>179.20000000000002</v>
      </c>
      <c r="I50" s="127">
        <f>+'R_2014_03_atkelta(viso)'!I50+R_2014_03_priskirta!I51</f>
        <v>0</v>
      </c>
      <c r="J50" s="127">
        <f>+'R_2014_03_atkelta(viso)'!J50+R_2014_03_priskirta!J51</f>
        <v>0</v>
      </c>
      <c r="K50" s="127">
        <f>+'R_2014_03_atkelta(viso)'!K50+R_2014_03_priskirta!K51</f>
        <v>0</v>
      </c>
      <c r="L50" s="127">
        <f>+'R_2014_03_atkelta(viso)'!L50+R_2014_03_priskirta!L51</f>
        <v>0</v>
      </c>
      <c r="M50" s="127">
        <f>+'R_2014_03_atkelta(viso)'!M50+R_2014_03_priskirta!M51</f>
        <v>25.2</v>
      </c>
      <c r="N50" s="127">
        <f>+'R_2014_03_atkelta(viso)'!N50+R_2014_03_priskirta!N51</f>
        <v>1163.3999999999999</v>
      </c>
      <c r="O50" s="291">
        <f>+'R_2014_03_atkelta(viso)'!O50+R_2014_03_priskirta!O51</f>
        <v>9613.7999999999993</v>
      </c>
      <c r="P50" s="229">
        <f t="shared" si="6"/>
        <v>8819.9999999999982</v>
      </c>
      <c r="Q50" s="5">
        <f t="shared" si="23"/>
        <v>793.80000000000109</v>
      </c>
      <c r="R50" s="21">
        <f t="shared" si="24"/>
        <v>2288.9999999999995</v>
      </c>
      <c r="S50" s="71"/>
      <c r="T50" s="61">
        <v>16.8</v>
      </c>
      <c r="U50" s="13">
        <f t="shared" si="26"/>
        <v>38455.199999999997</v>
      </c>
      <c r="W50" s="102"/>
      <c r="X50" s="102"/>
      <c r="Y50" s="102"/>
      <c r="Z50" s="102"/>
      <c r="AA50" s="102"/>
      <c r="AB50" s="102"/>
      <c r="AC50" s="102"/>
      <c r="AD50" s="102"/>
      <c r="AE50" s="2"/>
      <c r="AF50" s="2"/>
      <c r="AG50" s="2"/>
      <c r="AH50" s="2"/>
    </row>
    <row r="51" spans="1:34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7">
        <f>+'R_2014_03_atkelta(viso)'!E51+R_2014_03_priskirta!E52</f>
        <v>1357.1000000000001</v>
      </c>
      <c r="F51" s="127">
        <f>+'R_2014_03_atkelta(viso)'!F51+R_2014_03_priskirta!F52</f>
        <v>50134.799999999996</v>
      </c>
      <c r="G51" s="127">
        <f>+'R_2014_03_atkelta(viso)'!G51+R_2014_03_priskirta!G52</f>
        <v>8552.6</v>
      </c>
      <c r="H51" s="127">
        <f>+'R_2014_03_atkelta(viso)'!H51+R_2014_03_priskirta!H52</f>
        <v>1578.5</v>
      </c>
      <c r="I51" s="127">
        <f>+'R_2014_03_atkelta(viso)'!I51+R_2014_03_priskirta!I52</f>
        <v>0</v>
      </c>
      <c r="J51" s="127">
        <f>+'R_2014_03_atkelta(viso)'!J51+R_2014_03_priskirta!J52</f>
        <v>0</v>
      </c>
      <c r="K51" s="127">
        <f>+'R_2014_03_atkelta(viso)'!K51+R_2014_03_priskirta!K52</f>
        <v>0</v>
      </c>
      <c r="L51" s="127">
        <f>+'R_2014_03_atkelta(viso)'!L51+R_2014_03_priskirta!L52</f>
        <v>0</v>
      </c>
      <c r="M51" s="127">
        <f>+'R_2014_03_atkelta(viso)'!M51+R_2014_03_priskirta!M52</f>
        <v>135.30000000000001</v>
      </c>
      <c r="N51" s="127">
        <f>+'R_2014_03_atkelta(viso)'!N51+R_2014_03_priskirta!N52</f>
        <v>4169.7</v>
      </c>
      <c r="O51" s="291">
        <f>+'R_2014_03_atkelta(viso)'!O51+R_2014_03_priskirta!O52</f>
        <v>65928</v>
      </c>
      <c r="P51" s="229">
        <f t="shared" si="6"/>
        <v>60484.403669724765</v>
      </c>
      <c r="Q51" s="5">
        <f t="shared" si="23"/>
        <v>5443.5963302752352</v>
      </c>
      <c r="R51" s="21">
        <f t="shared" si="24"/>
        <v>1608</v>
      </c>
      <c r="S51" s="71"/>
      <c r="T51" s="61"/>
      <c r="U51" s="13"/>
      <c r="W51" s="102"/>
      <c r="X51" s="102"/>
      <c r="Y51" s="102"/>
      <c r="Z51" s="102"/>
      <c r="AA51" s="102"/>
      <c r="AB51" s="102"/>
      <c r="AC51" s="102"/>
      <c r="AD51" s="102"/>
      <c r="AE51" s="2"/>
      <c r="AF51" s="2"/>
      <c r="AG51" s="2"/>
      <c r="AH51" s="2"/>
    </row>
    <row r="52" spans="1:34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7">
        <f>+'R_2014_03_atkelta(viso)'!E52+R_2014_03_priskirta!E53</f>
        <v>67.649999999999991</v>
      </c>
      <c r="F52" s="127">
        <f>+'R_2014_03_atkelta(viso)'!F52+R_2014_03_priskirta!F53</f>
        <v>4594.05</v>
      </c>
      <c r="G52" s="127">
        <f>+'R_2014_03_atkelta(viso)'!G52+R_2014_03_priskirta!G53</f>
        <v>951.2</v>
      </c>
      <c r="H52" s="127">
        <f>+'R_2014_03_atkelta(viso)'!H52+R_2014_03_priskirta!H53</f>
        <v>120.94999999999999</v>
      </c>
      <c r="I52" s="127">
        <f>+'R_2014_03_atkelta(viso)'!I52+R_2014_03_priskirta!I53</f>
        <v>0</v>
      </c>
      <c r="J52" s="127">
        <f>+'R_2014_03_atkelta(viso)'!J52+R_2014_03_priskirta!J53</f>
        <v>0</v>
      </c>
      <c r="K52" s="127">
        <f>+'R_2014_03_atkelta(viso)'!K52+R_2014_03_priskirta!K53</f>
        <v>0</v>
      </c>
      <c r="L52" s="127">
        <f>+'R_2014_03_atkelta(viso)'!L52+R_2014_03_priskirta!L53</f>
        <v>0</v>
      </c>
      <c r="M52" s="127">
        <f>+'R_2014_03_atkelta(viso)'!M52+R_2014_03_priskirta!M53</f>
        <v>0</v>
      </c>
      <c r="N52" s="127">
        <f>+'R_2014_03_atkelta(viso)'!N52+R_2014_03_priskirta!N53</f>
        <v>88.15</v>
      </c>
      <c r="O52" s="291">
        <f>+'R_2014_03_atkelta(viso)'!O52+R_2014_03_priskirta!O53</f>
        <v>5822.0000000000009</v>
      </c>
      <c r="P52" s="229">
        <f t="shared" si="6"/>
        <v>5341.2844036697252</v>
      </c>
      <c r="Q52" s="5">
        <f t="shared" si="23"/>
        <v>480.71559633027573</v>
      </c>
      <c r="R52" s="21">
        <f t="shared" si="24"/>
        <v>284.00000000000006</v>
      </c>
      <c r="S52" s="71"/>
      <c r="T52" s="61">
        <v>20.5</v>
      </c>
      <c r="U52" s="13">
        <f t="shared" ref="U52:U53" si="27">+R52*T52</f>
        <v>5822.0000000000009</v>
      </c>
      <c r="W52" s="102"/>
      <c r="X52" s="102"/>
      <c r="Y52" s="102"/>
      <c r="Z52" s="102"/>
      <c r="AA52" s="102"/>
      <c r="AB52" s="102"/>
      <c r="AC52" s="102"/>
      <c r="AD52" s="102"/>
      <c r="AE52" s="2"/>
      <c r="AF52" s="2"/>
      <c r="AG52" s="2"/>
      <c r="AH52" s="2"/>
    </row>
    <row r="53" spans="1:34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+'R_2014_03_atkelta(viso)'!E53+R_2014_03_priskirta!E54</f>
        <v>119.72</v>
      </c>
      <c r="F53" s="199">
        <f>+'R_2014_03_atkelta(viso)'!F53+R_2014_03_priskirta!F54</f>
        <v>5471.04</v>
      </c>
      <c r="G53" s="199">
        <f>+'R_2014_03_atkelta(viso)'!G53+R_2014_03_priskirta!G54</f>
        <v>830.66000000000008</v>
      </c>
      <c r="H53" s="199">
        <f>+'R_2014_03_atkelta(viso)'!H53+R_2014_03_priskirta!H54</f>
        <v>437.88</v>
      </c>
      <c r="I53" s="199">
        <f>+'R_2014_03_atkelta(viso)'!I53+R_2014_03_priskirta!I54</f>
        <v>0</v>
      </c>
      <c r="J53" s="199">
        <f>+'R_2014_03_atkelta(viso)'!J53+R_2014_03_priskirta!J54</f>
        <v>0</v>
      </c>
      <c r="K53" s="199">
        <f>+'R_2014_03_atkelta(viso)'!K53+R_2014_03_priskirta!K54</f>
        <v>0</v>
      </c>
      <c r="L53" s="199">
        <f>+'R_2014_03_atkelta(viso)'!L53+R_2014_03_priskirta!L54</f>
        <v>0</v>
      </c>
      <c r="M53" s="199">
        <f>+'R_2014_03_atkelta(viso)'!M53+R_2014_03_priskirta!M54</f>
        <v>7.38</v>
      </c>
      <c r="N53" s="199">
        <f>+'R_2014_03_atkelta(viso)'!N53+R_2014_03_priskirta!N54</f>
        <v>1131.5999999999999</v>
      </c>
      <c r="O53" s="292">
        <f>+'R_2014_03_atkelta(viso)'!O53+R_2014_03_priskirta!O54</f>
        <v>7998.2800000000007</v>
      </c>
      <c r="P53" s="140">
        <f t="shared" si="6"/>
        <v>7337.8715596330276</v>
      </c>
      <c r="Q53" s="6">
        <f t="shared" si="23"/>
        <v>660.40844036697308</v>
      </c>
      <c r="R53" s="22">
        <f t="shared" si="24"/>
        <v>975.4000000000002</v>
      </c>
      <c r="S53" s="35"/>
      <c r="T53" s="61">
        <v>32.799999999999997</v>
      </c>
      <c r="U53" s="13">
        <f t="shared" si="27"/>
        <v>31993.120000000003</v>
      </c>
      <c r="W53" s="102"/>
      <c r="X53" s="102"/>
      <c r="Y53" s="102"/>
      <c r="Z53" s="102"/>
      <c r="AA53" s="102"/>
      <c r="AB53" s="102"/>
      <c r="AC53" s="102"/>
      <c r="AD53" s="102"/>
      <c r="AE53" s="2"/>
      <c r="AF53" s="2"/>
      <c r="AG53" s="2"/>
      <c r="AH53" s="2"/>
    </row>
    <row r="54" spans="1:34" x14ac:dyDescent="0.3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34" x14ac:dyDescent="0.3">
      <c r="E55" s="2"/>
      <c r="F55" s="2"/>
      <c r="G55" s="2"/>
      <c r="H55" s="2"/>
      <c r="I55" s="2"/>
      <c r="J55" s="2"/>
      <c r="M55" s="2"/>
      <c r="O55" s="2"/>
      <c r="P55" s="2"/>
      <c r="Q55" s="2"/>
    </row>
    <row r="57" spans="1:34" x14ac:dyDescent="0.3">
      <c r="N57" s="137"/>
    </row>
    <row r="73" spans="2:2" x14ac:dyDescent="0.3">
      <c r="B73" s="1"/>
    </row>
  </sheetData>
  <mergeCells count="22">
    <mergeCell ref="X3:X4"/>
    <mergeCell ref="Y3:Y4"/>
    <mergeCell ref="Z3:Z4"/>
    <mergeCell ref="AA3:AA4"/>
    <mergeCell ref="N3:N4"/>
    <mergeCell ref="O3:O4"/>
    <mergeCell ref="P3:P4"/>
    <mergeCell ref="Q3:Q4"/>
    <mergeCell ref="R3:R4"/>
    <mergeCell ref="U3:U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C73"/>
  <sheetViews>
    <sheetView zoomScaleNormal="100" workbookViewId="0">
      <pane xSplit="4" ySplit="4" topLeftCell="E47" activePane="bottomRight" state="frozen"/>
      <selection pane="topRight" activeCell="E1" sqref="E1"/>
      <selection pane="bottomLeft" activeCell="A5" sqref="A5"/>
      <selection pane="bottomRight" activeCell="O57" sqref="D57:O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1.5546875" style="1" customWidth="1" outlineLevel="1"/>
    <col min="9" max="10" width="15.109375" style="1" customWidth="1" outlineLevel="1"/>
    <col min="11" max="11" width="11.33203125" style="1" customWidth="1" outlineLevel="1"/>
    <col min="12" max="12" width="10.5546875" style="1" customWidth="1" outlineLevel="1"/>
    <col min="13" max="14" width="13" style="1" customWidth="1" outlineLevel="1"/>
    <col min="15" max="15" width="15.10937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44140625" style="2" customWidth="1"/>
    <col min="22" max="22" width="11.33203125" style="1" bestFit="1" customWidth="1"/>
    <col min="23" max="23" width="11" style="141" customWidth="1"/>
    <col min="24" max="16384" width="8.88671875" style="1"/>
  </cols>
  <sheetData>
    <row r="1" spans="1:29" ht="22.2" customHeight="1" x14ac:dyDescent="0.3">
      <c r="A1" s="40" t="s">
        <v>255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>
        <f>+(O5-K5-L5)/1.09+O55</f>
        <v>10554345.116055045</v>
      </c>
      <c r="P1" s="136"/>
      <c r="Q1" s="136"/>
      <c r="R1" s="136"/>
      <c r="U1" s="136"/>
      <c r="V1" s="2"/>
    </row>
    <row r="2" spans="1:29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9" ht="37.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9" ht="37.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258</v>
      </c>
      <c r="M4" s="575"/>
      <c r="N4" s="581"/>
      <c r="O4" s="591"/>
      <c r="P4" s="592"/>
      <c r="Q4" s="592"/>
      <c r="R4" s="592"/>
      <c r="T4" s="87"/>
      <c r="U4" s="585"/>
    </row>
    <row r="5" spans="1:29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R5" si="0">+E6+E18+E44</f>
        <v>161304.71999999997</v>
      </c>
      <c r="F5" s="187">
        <f t="shared" si="0"/>
        <v>6782918.2800000003</v>
      </c>
      <c r="G5" s="82">
        <f t="shared" si="0"/>
        <v>1009915.9400000001</v>
      </c>
      <c r="H5" s="82">
        <f t="shared" si="0"/>
        <v>152899.34</v>
      </c>
      <c r="I5" s="187">
        <f t="shared" si="0"/>
        <v>623585.55000000005</v>
      </c>
      <c r="J5" s="187">
        <f t="shared" si="0"/>
        <v>990661</v>
      </c>
      <c r="K5" s="187">
        <f t="shared" si="0"/>
        <v>979081.82000000007</v>
      </c>
      <c r="L5" s="187">
        <f t="shared" si="0"/>
        <v>1591.5399999999543</v>
      </c>
      <c r="M5" s="187">
        <f t="shared" si="0"/>
        <v>35681.519999999997</v>
      </c>
      <c r="N5" s="19">
        <f t="shared" si="0"/>
        <v>645089.24</v>
      </c>
      <c r="O5" s="42">
        <f t="shared" si="0"/>
        <v>11382728.949999999</v>
      </c>
      <c r="P5" s="42">
        <f t="shared" si="0"/>
        <v>10442870.596330274</v>
      </c>
      <c r="Q5" s="42">
        <f t="shared" si="0"/>
        <v>939858.35366972559</v>
      </c>
      <c r="R5" s="42">
        <f t="shared" si="0"/>
        <v>2369413</v>
      </c>
      <c r="S5" s="71"/>
      <c r="T5" s="87"/>
      <c r="U5" s="135">
        <f>+U7+U18+U44</f>
        <v>7242884.25</v>
      </c>
      <c r="V5" s="2"/>
      <c r="W5" s="138"/>
    </row>
    <row r="6" spans="1:29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R6" si="1">+E7+E11</f>
        <v>35395.42</v>
      </c>
      <c r="F6" s="187">
        <f t="shared" si="1"/>
        <v>1623576.58</v>
      </c>
      <c r="G6" s="82">
        <f t="shared" si="1"/>
        <v>234183.84000000003</v>
      </c>
      <c r="H6" s="82">
        <f t="shared" si="1"/>
        <v>33962.339999999997</v>
      </c>
      <c r="I6" s="187">
        <f t="shared" si="1"/>
        <v>623585.55000000005</v>
      </c>
      <c r="J6" s="187">
        <f t="shared" si="1"/>
        <v>990661</v>
      </c>
      <c r="K6" s="187">
        <f t="shared" si="1"/>
        <v>979081.82000000007</v>
      </c>
      <c r="L6" s="187">
        <f t="shared" si="1"/>
        <v>1591.5399999999543</v>
      </c>
      <c r="M6" s="187">
        <f t="shared" si="1"/>
        <v>9323.82</v>
      </c>
      <c r="N6" s="19">
        <f t="shared" si="1"/>
        <v>148045.54</v>
      </c>
      <c r="O6" s="42">
        <f t="shared" si="1"/>
        <v>4679407.45</v>
      </c>
      <c r="P6" s="42">
        <f t="shared" si="1"/>
        <v>4293034.3577981647</v>
      </c>
      <c r="Q6" s="42">
        <f t="shared" si="1"/>
        <v>386373.0922018353</v>
      </c>
      <c r="R6" s="44">
        <f t="shared" si="1"/>
        <v>2218072</v>
      </c>
      <c r="T6" s="61"/>
      <c r="U6" s="13"/>
      <c r="V6" s="2"/>
      <c r="W6" s="138"/>
    </row>
    <row r="7" spans="1:29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21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623585.55000000005</v>
      </c>
      <c r="J7" s="79">
        <f t="shared" si="2"/>
        <v>990661</v>
      </c>
      <c r="K7" s="79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43">
        <f t="shared" si="3"/>
        <v>1614246.55</v>
      </c>
      <c r="P7" s="43">
        <f t="shared" si="3"/>
        <v>1480960.1376146788</v>
      </c>
      <c r="Q7" s="43">
        <f t="shared" si="3"/>
        <v>133286.41238532113</v>
      </c>
      <c r="R7" s="45">
        <f t="shared" si="3"/>
        <v>584446</v>
      </c>
      <c r="S7" s="71"/>
      <c r="T7" s="134"/>
      <c r="U7" s="105">
        <f>+SUM(U8:U17)</f>
        <v>1019073.7499999999</v>
      </c>
      <c r="V7" s="2"/>
      <c r="W7" s="138"/>
    </row>
    <row r="8" spans="1:29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456928.5</v>
      </c>
      <c r="J8" s="127">
        <f>713023.5+26649</f>
        <v>739672.5</v>
      </c>
      <c r="K8" s="36"/>
      <c r="L8" s="36"/>
      <c r="M8" s="36"/>
      <c r="N8" s="36"/>
      <c r="O8" s="5">
        <f>+SUM(E8:N8)</f>
        <v>1196601</v>
      </c>
      <c r="P8" s="5">
        <f t="shared" ref="P8:P10" si="4">+O8/1.09</f>
        <v>1097799.0825688073</v>
      </c>
      <c r="Q8" s="5">
        <f t="shared" ref="Q8:Q10" si="5">+O8-P8</f>
        <v>98801.917431192705</v>
      </c>
      <c r="R8" s="21">
        <f>O8/D8</f>
        <v>341886</v>
      </c>
      <c r="S8" s="71"/>
      <c r="T8" s="61"/>
      <c r="U8" s="13"/>
      <c r="V8" s="2"/>
      <c r="W8" s="138"/>
      <c r="X8" s="2"/>
      <c r="Y8" s="2"/>
      <c r="Z8" s="2"/>
      <c r="AA8" s="2"/>
      <c r="AB8" s="2"/>
      <c r="AC8" s="2"/>
    </row>
    <row r="9" spans="1:29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6">+D8*0.5</f>
        <v>1.75</v>
      </c>
      <c r="E9" s="122"/>
      <c r="F9" s="17"/>
      <c r="G9" s="13"/>
      <c r="H9" s="13"/>
      <c r="I9" s="127">
        <v>163973.25</v>
      </c>
      <c r="J9" s="127">
        <f>242240.25+6875.75</f>
        <v>249116</v>
      </c>
      <c r="K9" s="143"/>
      <c r="L9" s="143"/>
      <c r="M9" s="143"/>
      <c r="N9" s="143"/>
      <c r="O9" s="26">
        <f>+SUM(E9:N9)</f>
        <v>413089.25</v>
      </c>
      <c r="P9" s="26">
        <f t="shared" si="4"/>
        <v>378980.96330275229</v>
      </c>
      <c r="Q9" s="26">
        <f t="shared" si="5"/>
        <v>34108.286697247706</v>
      </c>
      <c r="R9" s="39">
        <f>O9/D9</f>
        <v>236051</v>
      </c>
      <c r="S9" s="71"/>
      <c r="T9" s="61">
        <v>1.75</v>
      </c>
      <c r="U9" s="13">
        <f>+R9*T9</f>
        <v>413089.25</v>
      </c>
      <c r="V9" s="2"/>
      <c r="W9" s="138"/>
      <c r="X9" s="2"/>
      <c r="Y9" s="2"/>
      <c r="Z9" s="2"/>
      <c r="AA9" s="2"/>
      <c r="AB9" s="2"/>
      <c r="AC9" s="2"/>
    </row>
    <row r="10" spans="1:29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2683.8</v>
      </c>
      <c r="J10" s="144">
        <f>1750+122.5</f>
        <v>1872.5</v>
      </c>
      <c r="K10" s="144"/>
      <c r="L10" s="144"/>
      <c r="M10" s="144"/>
      <c r="N10" s="144"/>
      <c r="O10" s="26">
        <f>+SUM(E10:N10)</f>
        <v>4556.3</v>
      </c>
      <c r="P10" s="26">
        <f t="shared" si="4"/>
        <v>4180.0917431192656</v>
      </c>
      <c r="Q10" s="26">
        <f t="shared" si="5"/>
        <v>376.20825688073455</v>
      </c>
      <c r="R10" s="39">
        <f>O10/D10</f>
        <v>6509.0000000000009</v>
      </c>
      <c r="S10" s="71"/>
      <c r="T10" s="107">
        <v>2.8</v>
      </c>
      <c r="U10" s="13">
        <f>+R10*T10</f>
        <v>18225.2</v>
      </c>
      <c r="V10" s="2"/>
      <c r="W10" s="138"/>
      <c r="X10" s="2"/>
      <c r="Y10" s="2"/>
      <c r="Z10" s="2"/>
      <c r="AA10" s="2"/>
      <c r="AB10" s="2"/>
      <c r="AC10" s="2"/>
    </row>
    <row r="11" spans="1:29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R11" si="7">+SUM(E12:E17)</f>
        <v>35395.42</v>
      </c>
      <c r="F11" s="16">
        <f t="shared" si="7"/>
        <v>1623576.58</v>
      </c>
      <c r="G11" s="84">
        <f t="shared" si="7"/>
        <v>234183.84000000003</v>
      </c>
      <c r="H11" s="84">
        <f t="shared" si="7"/>
        <v>33962.339999999997</v>
      </c>
      <c r="I11" s="84">
        <f t="shared" si="7"/>
        <v>0</v>
      </c>
      <c r="J11" s="74">
        <f t="shared" si="7"/>
        <v>0</v>
      </c>
      <c r="K11" s="101">
        <f t="shared" si="7"/>
        <v>979081.82000000007</v>
      </c>
      <c r="L11" s="101">
        <f t="shared" si="7"/>
        <v>1591.5399999999543</v>
      </c>
      <c r="M11" s="101">
        <f t="shared" si="7"/>
        <v>9323.82</v>
      </c>
      <c r="N11" s="101">
        <f t="shared" si="7"/>
        <v>148045.54</v>
      </c>
      <c r="O11" s="43">
        <f t="shared" si="7"/>
        <v>3065160.9</v>
      </c>
      <c r="P11" s="43">
        <f t="shared" si="7"/>
        <v>2812074.2201834861</v>
      </c>
      <c r="Q11" s="43">
        <f t="shared" si="7"/>
        <v>253086.67981651417</v>
      </c>
      <c r="R11" s="45">
        <f t="shared" si="7"/>
        <v>1633626</v>
      </c>
      <c r="S11" s="71"/>
      <c r="T11" s="61"/>
      <c r="U11" s="13"/>
      <c r="V11" s="2"/>
      <c r="W11" s="138"/>
      <c r="X11" s="2"/>
      <c r="Y11" s="2"/>
      <c r="Z11" s="2"/>
      <c r="AA11" s="2"/>
      <c r="AB11" s="2"/>
      <c r="AC11" s="2"/>
    </row>
    <row r="12" spans="1:29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28648.400000000001</v>
      </c>
      <c r="F12" s="13">
        <v>1226231.6000000001</v>
      </c>
      <c r="G12" s="13">
        <v>171613.2</v>
      </c>
      <c r="H12" s="13">
        <v>25808.2</v>
      </c>
      <c r="I12" s="13"/>
      <c r="J12" s="33"/>
      <c r="K12" s="33">
        <v>764524.2</v>
      </c>
      <c r="L12" s="305">
        <v>1168.1999999999534</v>
      </c>
      <c r="M12" s="308">
        <v>5964.2</v>
      </c>
      <c r="N12" s="127">
        <f>129782.4-44-2.2-88</f>
        <v>129648.2</v>
      </c>
      <c r="O12" s="5">
        <f t="shared" ref="O12:O17" si="8">+SUM(E12:N12)</f>
        <v>2353606.2000000002</v>
      </c>
      <c r="P12" s="5">
        <f t="shared" ref="P12:P17" si="9">+O12/1.09</f>
        <v>2159271.7431192659</v>
      </c>
      <c r="Q12" s="5">
        <f t="shared" ref="Q12:Q17" si="10">+O12-P12</f>
        <v>194334.4568807343</v>
      </c>
      <c r="R12" s="21">
        <f t="shared" ref="R12:R17" si="11">O12/D12</f>
        <v>1069821</v>
      </c>
      <c r="S12" s="2"/>
      <c r="T12" s="61"/>
      <c r="U12" s="13"/>
      <c r="V12" s="2">
        <f>+L12+R_2014_02_saskaitos!K12</f>
        <v>697804.80000000005</v>
      </c>
      <c r="W12" s="138"/>
      <c r="X12" s="2"/>
      <c r="Y12" s="2"/>
      <c r="Z12" s="2"/>
      <c r="AA12" s="2"/>
      <c r="AB12" s="2"/>
      <c r="AC12" s="2"/>
    </row>
    <row r="13" spans="1:29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6132.5</v>
      </c>
      <c r="F13" s="13">
        <v>371046.5</v>
      </c>
      <c r="G13" s="13">
        <v>57937</v>
      </c>
      <c r="H13" s="13">
        <v>7769.3</v>
      </c>
      <c r="I13" s="13"/>
      <c r="J13" s="33"/>
      <c r="K13" s="33">
        <v>82437.3</v>
      </c>
      <c r="L13" s="306">
        <v>119.89999999999418</v>
      </c>
      <c r="M13" s="13">
        <v>3285.7</v>
      </c>
      <c r="N13" s="127">
        <v>9412.7000000000007</v>
      </c>
      <c r="O13" s="5">
        <f t="shared" si="8"/>
        <v>538140.89999999991</v>
      </c>
      <c r="P13" s="5">
        <f t="shared" si="9"/>
        <v>493707.24770642188</v>
      </c>
      <c r="Q13" s="5">
        <f t="shared" si="10"/>
        <v>44433.652293578023</v>
      </c>
      <c r="R13" s="21">
        <f t="shared" si="11"/>
        <v>489218.99999999988</v>
      </c>
      <c r="S13" s="71"/>
      <c r="T13" s="107">
        <v>1.1000000000000001</v>
      </c>
      <c r="U13" s="13">
        <f t="shared" ref="U13:U14" si="12">+R13*T13</f>
        <v>538140.89999999991</v>
      </c>
      <c r="V13" s="2">
        <f>+L13+R_2014_02_saskaitos!K13</f>
        <v>72201.8</v>
      </c>
      <c r="W13" s="138"/>
      <c r="X13" s="2"/>
      <c r="Y13" s="2"/>
      <c r="Z13" s="2"/>
      <c r="AA13" s="2"/>
      <c r="AB13" s="2"/>
      <c r="AC13" s="2"/>
    </row>
    <row r="14" spans="1:29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130.68</v>
      </c>
      <c r="F14" s="13">
        <v>4326.96</v>
      </c>
      <c r="G14" s="13">
        <v>645.48</v>
      </c>
      <c r="H14" s="13">
        <v>172.04</v>
      </c>
      <c r="I14" s="13"/>
      <c r="J14" s="33"/>
      <c r="K14" s="33">
        <v>1450.24</v>
      </c>
      <c r="L14" s="306">
        <v>2.6400000000001</v>
      </c>
      <c r="M14" s="13">
        <v>56.32</v>
      </c>
      <c r="N14" s="127">
        <v>98.56</v>
      </c>
      <c r="O14" s="5">
        <f t="shared" si="8"/>
        <v>6882.920000000001</v>
      </c>
      <c r="P14" s="5">
        <f t="shared" si="9"/>
        <v>6314.6055045871562</v>
      </c>
      <c r="Q14" s="5">
        <f t="shared" si="10"/>
        <v>568.31449541284474</v>
      </c>
      <c r="R14" s="5">
        <f t="shared" si="11"/>
        <v>15643.000000000002</v>
      </c>
      <c r="S14" s="71"/>
      <c r="T14" s="61">
        <v>1.76</v>
      </c>
      <c r="U14" s="13">
        <f t="shared" si="12"/>
        <v>27531.680000000004</v>
      </c>
      <c r="V14" s="2">
        <f>+L14+R_2014_02_saskaitos!K14</f>
        <v>1338.92</v>
      </c>
      <c r="W14" s="138"/>
      <c r="X14" s="2"/>
      <c r="Y14" s="2"/>
      <c r="Z14" s="2"/>
      <c r="AA14" s="2"/>
      <c r="AB14" s="2"/>
      <c r="AC14" s="2"/>
    </row>
    <row r="15" spans="1:29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336</v>
      </c>
      <c r="F15" s="13">
        <v>17507.2</v>
      </c>
      <c r="G15" s="13">
        <v>3129.6</v>
      </c>
      <c r="H15" s="13">
        <v>131.19999999999999</v>
      </c>
      <c r="I15" s="13"/>
      <c r="J15" s="33"/>
      <c r="K15" s="33">
        <v>116150.39999999999</v>
      </c>
      <c r="L15" s="306">
        <v>281.60000000000582</v>
      </c>
      <c r="M15" s="13">
        <v>16</v>
      </c>
      <c r="N15" s="127">
        <f>8352-121.6</f>
        <v>8230.4</v>
      </c>
      <c r="O15" s="5">
        <f t="shared" si="8"/>
        <v>145782.39999999999</v>
      </c>
      <c r="P15" s="5">
        <f t="shared" si="9"/>
        <v>133745.32110091741</v>
      </c>
      <c r="Q15" s="5">
        <f t="shared" si="10"/>
        <v>12037.078899082582</v>
      </c>
      <c r="R15" s="21">
        <f t="shared" si="11"/>
        <v>45556.999999999993</v>
      </c>
      <c r="S15" s="71"/>
      <c r="T15" s="61"/>
      <c r="U15" s="13"/>
      <c r="V15" s="2">
        <f>+L15+R_2014_02_saskaitos!K15</f>
        <v>107289.60000000001</v>
      </c>
      <c r="W15" s="138"/>
      <c r="X15" s="2"/>
      <c r="Y15" s="2"/>
      <c r="Z15" s="2"/>
      <c r="AA15" s="2"/>
      <c r="AB15" s="2"/>
      <c r="AC15" s="2"/>
    </row>
    <row r="16" spans="1:29" ht="1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>
        <v>144</v>
      </c>
      <c r="F16" s="13">
        <v>4344</v>
      </c>
      <c r="G16" s="13">
        <v>852.8</v>
      </c>
      <c r="H16" s="13">
        <v>81.599999999999994</v>
      </c>
      <c r="I16" s="13"/>
      <c r="J16" s="33"/>
      <c r="K16" s="33">
        <v>14224</v>
      </c>
      <c r="L16" s="306">
        <v>19.200000000000728</v>
      </c>
      <c r="M16" s="13">
        <v>1.6</v>
      </c>
      <c r="N16" s="127">
        <v>635.20000000000005</v>
      </c>
      <c r="O16" s="5">
        <f t="shared" si="8"/>
        <v>20302.400000000001</v>
      </c>
      <c r="P16" s="5">
        <f t="shared" si="9"/>
        <v>18626.055045871559</v>
      </c>
      <c r="Q16" s="5">
        <f t="shared" si="10"/>
        <v>1676.3449541284426</v>
      </c>
      <c r="R16" s="21">
        <f t="shared" si="11"/>
        <v>12689</v>
      </c>
      <c r="S16" s="71"/>
      <c r="T16" s="61">
        <v>1.6</v>
      </c>
      <c r="U16" s="13">
        <f t="shared" ref="U16:U17" si="13">+R16*T16</f>
        <v>20302.400000000001</v>
      </c>
      <c r="V16" s="2">
        <f>+L16+R_2014_02_saskaitos!K16</f>
        <v>12011.2</v>
      </c>
      <c r="W16" s="138"/>
      <c r="X16" s="2"/>
      <c r="Y16" s="2"/>
      <c r="Z16" s="2"/>
      <c r="AA16" s="2"/>
      <c r="AB16" s="2"/>
      <c r="AC16" s="2"/>
    </row>
    <row r="17" spans="1:29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3.84</v>
      </c>
      <c r="F17" s="13">
        <v>120.32</v>
      </c>
      <c r="G17" s="13">
        <v>5.76</v>
      </c>
      <c r="H17" s="14"/>
      <c r="I17" s="14"/>
      <c r="J17" s="76"/>
      <c r="K17" s="76">
        <v>295.68</v>
      </c>
      <c r="L17" s="307">
        <v>0</v>
      </c>
      <c r="M17" s="14"/>
      <c r="N17" s="127">
        <v>20.48</v>
      </c>
      <c r="O17" s="5">
        <f t="shared" si="8"/>
        <v>446.08000000000004</v>
      </c>
      <c r="P17" s="5">
        <f t="shared" si="9"/>
        <v>409.24770642201838</v>
      </c>
      <c r="Q17" s="5">
        <f t="shared" si="10"/>
        <v>36.832293577981659</v>
      </c>
      <c r="R17" s="22">
        <f t="shared" si="11"/>
        <v>697</v>
      </c>
      <c r="S17" s="71"/>
      <c r="T17" s="61">
        <v>2.56</v>
      </c>
      <c r="U17" s="13">
        <f t="shared" si="13"/>
        <v>1784.32</v>
      </c>
      <c r="V17" s="2">
        <f>+L17+R_2014_02_saskaitos!K17</f>
        <v>247.04</v>
      </c>
      <c r="W17" s="138"/>
      <c r="X17" s="2"/>
      <c r="Y17" s="2"/>
      <c r="Z17" s="2"/>
      <c r="AA17" s="2"/>
      <c r="AB17" s="2"/>
      <c r="AC17" s="2"/>
    </row>
    <row r="18" spans="1:29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122642</v>
      </c>
      <c r="F18" s="118">
        <f t="shared" ref="F18:R18" si="14">+SUM(F19:F43)</f>
        <v>5027020</v>
      </c>
      <c r="G18" s="231">
        <f t="shared" si="14"/>
        <v>753718</v>
      </c>
      <c r="H18" s="118">
        <f t="shared" si="14"/>
        <v>115645</v>
      </c>
      <c r="I18" s="231">
        <f t="shared" si="14"/>
        <v>0</v>
      </c>
      <c r="J18" s="118">
        <f t="shared" si="14"/>
        <v>0</v>
      </c>
      <c r="K18" s="118">
        <f t="shared" si="14"/>
        <v>0</v>
      </c>
      <c r="L18" s="118">
        <f t="shared" si="14"/>
        <v>0</v>
      </c>
      <c r="M18" s="118">
        <f t="shared" si="14"/>
        <v>25940</v>
      </c>
      <c r="N18" s="118">
        <f t="shared" si="14"/>
        <v>485746</v>
      </c>
      <c r="O18" s="118">
        <f t="shared" si="14"/>
        <v>6530711</v>
      </c>
      <c r="P18" s="118">
        <f t="shared" si="14"/>
        <v>5991477.9816513751</v>
      </c>
      <c r="Q18" s="118">
        <f t="shared" si="14"/>
        <v>539233.01834862411</v>
      </c>
      <c r="R18" s="253">
        <f t="shared" si="14"/>
        <v>125740</v>
      </c>
      <c r="S18" s="71"/>
      <c r="T18" s="61"/>
      <c r="U18" s="105">
        <f>+SUM(U19:U43)</f>
        <v>5972779</v>
      </c>
      <c r="V18" s="2"/>
      <c r="W18" s="138"/>
      <c r="X18" s="2"/>
      <c r="Y18" s="2"/>
      <c r="Z18" s="2"/>
      <c r="AA18" s="2"/>
      <c r="AB18" s="2"/>
      <c r="AC18" s="2"/>
    </row>
    <row r="19" spans="1:29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74000</v>
      </c>
      <c r="F19" s="92">
        <v>2849200</v>
      </c>
      <c r="G19" s="92">
        <v>414800</v>
      </c>
      <c r="H19" s="92">
        <v>61500</v>
      </c>
      <c r="I19" s="23"/>
      <c r="J19" s="34"/>
      <c r="K19" s="34"/>
      <c r="L19" s="34"/>
      <c r="M19" s="34">
        <v>15800</v>
      </c>
      <c r="N19" s="34">
        <v>251200</v>
      </c>
      <c r="O19" s="5">
        <f t="shared" ref="O19:O43" si="15">+SUM(E19:N19)</f>
        <v>3666500</v>
      </c>
      <c r="P19" s="99">
        <f t="shared" ref="P19:P43" si="16">+O19/1.09</f>
        <v>3363761.4678899082</v>
      </c>
      <c r="Q19" s="24">
        <f>+O19-P19</f>
        <v>302738.53211009176</v>
      </c>
      <c r="R19" s="94">
        <f t="shared" ref="R19:R43" si="17">O19/D19</f>
        <v>36665</v>
      </c>
      <c r="S19" s="41"/>
      <c r="T19" s="61"/>
      <c r="U19" s="106"/>
      <c r="V19" s="2"/>
      <c r="W19" s="138"/>
      <c r="X19" s="2"/>
      <c r="Y19" s="2"/>
      <c r="Z19" s="2"/>
      <c r="AA19" s="2"/>
      <c r="AB19" s="2"/>
      <c r="AC19" s="2"/>
    </row>
    <row r="20" spans="1:29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11050</v>
      </c>
      <c r="F20" s="48">
        <v>771300</v>
      </c>
      <c r="G20" s="48">
        <v>103450</v>
      </c>
      <c r="H20" s="48">
        <v>20300</v>
      </c>
      <c r="I20" s="13"/>
      <c r="J20" s="33"/>
      <c r="K20" s="33"/>
      <c r="L20" s="33"/>
      <c r="M20" s="33">
        <v>4800</v>
      </c>
      <c r="N20" s="36">
        <v>13350</v>
      </c>
      <c r="O20" s="5">
        <f t="shared" si="15"/>
        <v>924250</v>
      </c>
      <c r="P20" s="5">
        <f t="shared" si="16"/>
        <v>847935.77981651365</v>
      </c>
      <c r="Q20" s="5">
        <f t="shared" ref="Q20:Q43" si="18">+O20-P20</f>
        <v>76314.220183486352</v>
      </c>
      <c r="R20" s="21">
        <f t="shared" si="17"/>
        <v>18485</v>
      </c>
      <c r="S20" s="41"/>
      <c r="T20" s="61">
        <v>50</v>
      </c>
      <c r="U20" s="13">
        <f t="shared" ref="U20:U21" si="19">+R20*T20</f>
        <v>924250</v>
      </c>
      <c r="V20" s="2"/>
      <c r="W20" s="138"/>
      <c r="X20" s="2"/>
      <c r="Y20" s="2"/>
      <c r="Z20" s="2"/>
      <c r="AA20" s="2"/>
      <c r="AB20" s="2"/>
      <c r="AC20" s="2"/>
    </row>
    <row r="21" spans="1:29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22880</v>
      </c>
      <c r="F21" s="95">
        <v>900840</v>
      </c>
      <c r="G21" s="95">
        <v>155480</v>
      </c>
      <c r="H21" s="95">
        <v>13960</v>
      </c>
      <c r="I21" s="13"/>
      <c r="J21" s="33"/>
      <c r="K21" s="33"/>
      <c r="L21" s="33"/>
      <c r="M21" s="33">
        <v>2280</v>
      </c>
      <c r="N21" s="36">
        <v>92440</v>
      </c>
      <c r="O21" s="5">
        <f t="shared" si="15"/>
        <v>1187880</v>
      </c>
      <c r="P21" s="5">
        <f t="shared" si="16"/>
        <v>1089798.1651376146</v>
      </c>
      <c r="Q21" s="5">
        <f t="shared" si="18"/>
        <v>98081.834862385411</v>
      </c>
      <c r="R21" s="309">
        <f t="shared" si="17"/>
        <v>59394</v>
      </c>
      <c r="S21" s="41"/>
      <c r="T21" s="61">
        <v>80</v>
      </c>
      <c r="U21" s="13">
        <f t="shared" si="19"/>
        <v>4751520</v>
      </c>
      <c r="V21" s="2"/>
      <c r="W21" s="138"/>
      <c r="X21" s="2"/>
      <c r="Y21" s="2"/>
      <c r="Z21" s="2"/>
      <c r="AA21" s="2"/>
      <c r="AB21" s="2"/>
      <c r="AC21" s="2"/>
    </row>
    <row r="22" spans="1:29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12330</v>
      </c>
      <c r="F22" s="95">
        <v>422820</v>
      </c>
      <c r="G22" s="95">
        <v>68490</v>
      </c>
      <c r="H22" s="95">
        <v>13950</v>
      </c>
      <c r="I22" s="13"/>
      <c r="J22" s="33"/>
      <c r="K22" s="33"/>
      <c r="L22" s="33"/>
      <c r="M22" s="33">
        <v>2610</v>
      </c>
      <c r="N22" s="36">
        <v>77760</v>
      </c>
      <c r="O22" s="5">
        <f t="shared" si="15"/>
        <v>597960</v>
      </c>
      <c r="P22" s="5">
        <f t="shared" si="16"/>
        <v>548587.15596330271</v>
      </c>
      <c r="Q22" s="5">
        <f t="shared" si="18"/>
        <v>49372.844036697294</v>
      </c>
      <c r="R22" s="21">
        <f t="shared" si="17"/>
        <v>6644</v>
      </c>
      <c r="S22" s="41"/>
      <c r="T22" s="61"/>
      <c r="U22" s="13"/>
      <c r="V22" s="2"/>
      <c r="W22" s="138"/>
      <c r="X22" s="2"/>
      <c r="Y22" s="2"/>
      <c r="Z22" s="2"/>
      <c r="AA22" s="2"/>
      <c r="AB22" s="2"/>
      <c r="AC22" s="2"/>
    </row>
    <row r="23" spans="1:29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450</v>
      </c>
      <c r="F23" s="95">
        <v>22680</v>
      </c>
      <c r="G23" s="95">
        <v>3330</v>
      </c>
      <c r="H23" s="95">
        <v>720</v>
      </c>
      <c r="I23" s="13"/>
      <c r="J23" s="33"/>
      <c r="K23" s="33"/>
      <c r="L23" s="33"/>
      <c r="M23" s="33">
        <v>180</v>
      </c>
      <c r="N23" s="36">
        <v>3465</v>
      </c>
      <c r="O23" s="5">
        <f t="shared" si="15"/>
        <v>30825</v>
      </c>
      <c r="P23" s="5">
        <f t="shared" si="16"/>
        <v>28279.816513761467</v>
      </c>
      <c r="Q23" s="5">
        <f t="shared" si="18"/>
        <v>2545.1834862385331</v>
      </c>
      <c r="R23" s="21">
        <f t="shared" si="17"/>
        <v>685</v>
      </c>
      <c r="S23" s="35"/>
      <c r="T23" s="61">
        <v>45</v>
      </c>
      <c r="U23" s="13">
        <f t="shared" ref="U23:U24" si="20">+R23*T23</f>
        <v>30825</v>
      </c>
      <c r="V23" s="2"/>
      <c r="W23" s="138"/>
      <c r="X23" s="2"/>
      <c r="Y23" s="2"/>
      <c r="Z23" s="2"/>
      <c r="AA23" s="2"/>
      <c r="AB23" s="2"/>
      <c r="AC23" s="2"/>
    </row>
    <row r="24" spans="1:29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1080</v>
      </c>
      <c r="F24" s="95">
        <v>18882</v>
      </c>
      <c r="G24" s="95">
        <v>3078</v>
      </c>
      <c r="H24" s="95">
        <v>252</v>
      </c>
      <c r="I24" s="13"/>
      <c r="J24" s="33"/>
      <c r="K24" s="33"/>
      <c r="L24" s="33"/>
      <c r="M24" s="33">
        <v>36</v>
      </c>
      <c r="N24" s="36">
        <f>5634-18</f>
        <v>5616</v>
      </c>
      <c r="O24" s="5">
        <f t="shared" si="15"/>
        <v>28944</v>
      </c>
      <c r="P24" s="5">
        <f t="shared" si="16"/>
        <v>26554.128440366971</v>
      </c>
      <c r="Q24" s="5">
        <f t="shared" si="18"/>
        <v>2389.8715596330294</v>
      </c>
      <c r="R24" s="21">
        <f t="shared" si="17"/>
        <v>1608</v>
      </c>
      <c r="S24" s="35"/>
      <c r="T24" s="61">
        <v>72</v>
      </c>
      <c r="U24" s="13">
        <f t="shared" si="20"/>
        <v>115776</v>
      </c>
      <c r="V24" s="2"/>
      <c r="W24" s="138"/>
      <c r="X24" s="2"/>
      <c r="Y24" s="2"/>
      <c r="Z24" s="2"/>
      <c r="AA24" s="2"/>
      <c r="AB24" s="2"/>
      <c r="AC24" s="2"/>
    </row>
    <row r="25" spans="1:29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3600</v>
      </c>
      <c r="G25" s="95">
        <v>600</v>
      </c>
      <c r="H25" s="95">
        <v>600</v>
      </c>
      <c r="I25" s="13"/>
      <c r="J25" s="33"/>
      <c r="K25" s="33"/>
      <c r="L25" s="33"/>
      <c r="M25" s="33"/>
      <c r="N25" s="36">
        <v>4800</v>
      </c>
      <c r="O25" s="5">
        <f t="shared" si="15"/>
        <v>9600</v>
      </c>
      <c r="P25" s="5">
        <f t="shared" si="16"/>
        <v>8807.3394495412831</v>
      </c>
      <c r="Q25" s="5">
        <f t="shared" si="18"/>
        <v>792.6605504587169</v>
      </c>
      <c r="R25" s="21">
        <f t="shared" si="17"/>
        <v>32</v>
      </c>
      <c r="S25" s="35"/>
      <c r="T25" s="61"/>
      <c r="U25" s="13"/>
      <c r="V25" s="2"/>
      <c r="W25" s="138"/>
      <c r="X25" s="2"/>
      <c r="Y25" s="2"/>
      <c r="Z25" s="2"/>
      <c r="AA25" s="2"/>
      <c r="AB25" s="2"/>
      <c r="AC25" s="2"/>
    </row>
    <row r="26" spans="1:29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6000</v>
      </c>
      <c r="G26" s="95">
        <v>900</v>
      </c>
      <c r="H26" s="95">
        <v>450</v>
      </c>
      <c r="I26" s="13"/>
      <c r="J26" s="33"/>
      <c r="K26" s="33"/>
      <c r="L26" s="33"/>
      <c r="M26" s="33"/>
      <c r="N26" s="33">
        <v>1800</v>
      </c>
      <c r="O26" s="5">
        <f t="shared" si="15"/>
        <v>9150</v>
      </c>
      <c r="P26" s="5">
        <f t="shared" si="16"/>
        <v>8394.4954128440368</v>
      </c>
      <c r="Q26" s="5">
        <f t="shared" si="18"/>
        <v>755.50458715596324</v>
      </c>
      <c r="R26" s="21">
        <f t="shared" si="17"/>
        <v>61</v>
      </c>
      <c r="S26" s="35"/>
      <c r="T26" s="61">
        <v>150</v>
      </c>
      <c r="U26" s="13">
        <f t="shared" ref="U26:U42" si="21">+R26*T26</f>
        <v>9150</v>
      </c>
      <c r="V26" s="2"/>
      <c r="W26" s="138"/>
      <c r="X26" s="2"/>
      <c r="Y26" s="2"/>
      <c r="Z26" s="2"/>
      <c r="AA26" s="2"/>
      <c r="AB26" s="2"/>
      <c r="AC26" s="2"/>
    </row>
    <row r="27" spans="1:29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600</v>
      </c>
      <c r="F27" s="95">
        <v>16080</v>
      </c>
      <c r="G27" s="95">
        <v>2100</v>
      </c>
      <c r="H27" s="95">
        <v>1380</v>
      </c>
      <c r="I27" s="13"/>
      <c r="J27" s="33"/>
      <c r="K27" s="33"/>
      <c r="L27" s="33"/>
      <c r="M27" s="33">
        <v>120</v>
      </c>
      <c r="N27" s="33">
        <v>12060</v>
      </c>
      <c r="O27" s="5">
        <f t="shared" si="15"/>
        <v>32340</v>
      </c>
      <c r="P27" s="5">
        <f t="shared" si="16"/>
        <v>29669.724770642199</v>
      </c>
      <c r="Q27" s="5">
        <f t="shared" si="18"/>
        <v>2670.2752293578014</v>
      </c>
      <c r="R27" s="21">
        <f t="shared" si="17"/>
        <v>539</v>
      </c>
      <c r="S27" s="35"/>
      <c r="T27" s="61">
        <v>240</v>
      </c>
      <c r="U27" s="13">
        <f t="shared" si="21"/>
        <v>129360</v>
      </c>
      <c r="V27" s="2"/>
      <c r="W27" s="138"/>
      <c r="X27" s="2"/>
      <c r="Y27" s="2"/>
      <c r="Z27" s="2"/>
      <c r="AA27" s="2"/>
      <c r="AB27" s="2"/>
      <c r="AC27" s="2"/>
    </row>
    <row r="28" spans="1:29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1620</v>
      </c>
      <c r="G28" s="95"/>
      <c r="H28" s="95"/>
      <c r="I28" s="13"/>
      <c r="J28" s="33"/>
      <c r="K28" s="33"/>
      <c r="L28" s="33"/>
      <c r="M28" s="33"/>
      <c r="N28" s="33">
        <v>20520</v>
      </c>
      <c r="O28" s="5">
        <f t="shared" si="15"/>
        <v>22140</v>
      </c>
      <c r="P28" s="5">
        <f t="shared" si="16"/>
        <v>20311.926605504585</v>
      </c>
      <c r="Q28" s="5">
        <f t="shared" si="18"/>
        <v>1828.0733944954154</v>
      </c>
      <c r="R28" s="21">
        <f t="shared" si="17"/>
        <v>82</v>
      </c>
      <c r="S28" s="35"/>
      <c r="T28" s="61"/>
      <c r="U28" s="13"/>
      <c r="V28" s="2"/>
      <c r="W28" s="138"/>
      <c r="X28" s="2"/>
      <c r="Y28" s="2"/>
      <c r="Z28" s="2"/>
      <c r="AA28" s="2"/>
      <c r="AB28" s="2"/>
      <c r="AC28" s="2"/>
    </row>
    <row r="29" spans="1:29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>
        <v>540</v>
      </c>
      <c r="G29" s="95"/>
      <c r="H29" s="95">
        <v>135</v>
      </c>
      <c r="I29" s="13"/>
      <c r="J29" s="33"/>
      <c r="K29" s="33"/>
      <c r="L29" s="33"/>
      <c r="M29" s="33"/>
      <c r="N29" s="33">
        <v>135</v>
      </c>
      <c r="O29" s="5">
        <f t="shared" si="15"/>
        <v>810</v>
      </c>
      <c r="P29" s="5">
        <f t="shared" si="16"/>
        <v>743.11926605504584</v>
      </c>
      <c r="Q29" s="5">
        <f t="shared" si="18"/>
        <v>66.880733944954159</v>
      </c>
      <c r="R29" s="21">
        <f t="shared" si="17"/>
        <v>6</v>
      </c>
      <c r="S29" s="35"/>
      <c r="T29" s="61">
        <v>135</v>
      </c>
      <c r="U29" s="13">
        <f t="shared" si="21"/>
        <v>810</v>
      </c>
      <c r="V29" s="2"/>
      <c r="W29" s="138"/>
      <c r="X29" s="2"/>
      <c r="Y29" s="2"/>
      <c r="Z29" s="2"/>
      <c r="AA29" s="2"/>
      <c r="AB29" s="2"/>
      <c r="AC29" s="2"/>
    </row>
    <row r="30" spans="1:29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162</v>
      </c>
      <c r="F30" s="95">
        <v>378</v>
      </c>
      <c r="G30" s="95"/>
      <c r="H30" s="95">
        <v>108</v>
      </c>
      <c r="I30" s="13"/>
      <c r="J30" s="33"/>
      <c r="K30" s="33"/>
      <c r="L30" s="33"/>
      <c r="M30" s="33">
        <v>54</v>
      </c>
      <c r="N30" s="33">
        <v>810</v>
      </c>
      <c r="O30" s="5">
        <f t="shared" si="15"/>
        <v>1512</v>
      </c>
      <c r="P30" s="5">
        <f t="shared" si="16"/>
        <v>1387.1559633027523</v>
      </c>
      <c r="Q30" s="5">
        <f t="shared" si="18"/>
        <v>124.8440366972477</v>
      </c>
      <c r="R30" s="21">
        <f t="shared" si="17"/>
        <v>28</v>
      </c>
      <c r="S30" s="35"/>
      <c r="T30" s="61">
        <v>216</v>
      </c>
      <c r="U30" s="13">
        <f t="shared" si="21"/>
        <v>6048</v>
      </c>
      <c r="V30" s="2"/>
      <c r="W30" s="138"/>
      <c r="X30" s="2"/>
      <c r="Y30" s="2"/>
      <c r="Z30" s="2"/>
      <c r="AA30" s="2"/>
      <c r="AB30" s="2"/>
      <c r="AC30" s="2"/>
    </row>
    <row r="31" spans="1:29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>
        <v>600</v>
      </c>
      <c r="G31" s="95"/>
      <c r="H31" s="95"/>
      <c r="I31" s="13"/>
      <c r="J31" s="33"/>
      <c r="K31" s="33"/>
      <c r="L31" s="33"/>
      <c r="M31" s="33"/>
      <c r="N31" s="33">
        <v>0</v>
      </c>
      <c r="O31" s="5">
        <f t="shared" si="15"/>
        <v>600</v>
      </c>
      <c r="P31" s="5">
        <f t="shared" si="16"/>
        <v>550.45871559633019</v>
      </c>
      <c r="Q31" s="5">
        <f t="shared" si="18"/>
        <v>49.541284403669806</v>
      </c>
      <c r="R31" s="21">
        <f t="shared" si="17"/>
        <v>1</v>
      </c>
      <c r="S31" s="35"/>
      <c r="T31" s="61"/>
      <c r="U31" s="13"/>
      <c r="V31" s="2"/>
      <c r="W31" s="138"/>
      <c r="X31" s="2"/>
      <c r="Y31" s="2"/>
      <c r="Z31" s="2"/>
      <c r="AA31" s="2"/>
      <c r="AB31" s="2"/>
      <c r="AC31" s="2"/>
    </row>
    <row r="32" spans="1:29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600</v>
      </c>
      <c r="G32" s="95"/>
      <c r="H32" s="95">
        <v>300</v>
      </c>
      <c r="I32" s="13"/>
      <c r="J32" s="33"/>
      <c r="K32" s="33"/>
      <c r="L32" s="33"/>
      <c r="M32" s="33"/>
      <c r="N32" s="33">
        <v>300</v>
      </c>
      <c r="O32" s="5">
        <f t="shared" si="15"/>
        <v>1200</v>
      </c>
      <c r="P32" s="5">
        <f t="shared" si="16"/>
        <v>1100.9174311926604</v>
      </c>
      <c r="Q32" s="5">
        <f t="shared" si="18"/>
        <v>99.082568807339612</v>
      </c>
      <c r="R32" s="21">
        <f t="shared" si="17"/>
        <v>4</v>
      </c>
      <c r="S32" s="35"/>
      <c r="T32" s="61">
        <v>300</v>
      </c>
      <c r="U32" s="13">
        <f t="shared" si="21"/>
        <v>1200</v>
      </c>
      <c r="V32" s="2"/>
      <c r="W32" s="138"/>
      <c r="X32" s="2"/>
      <c r="Y32" s="2"/>
      <c r="Z32" s="2"/>
      <c r="AA32" s="2"/>
      <c r="AB32" s="2"/>
      <c r="AC32" s="2"/>
    </row>
    <row r="33" spans="1:29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600</v>
      </c>
      <c r="G33" s="95"/>
      <c r="H33" s="95"/>
      <c r="I33" s="13"/>
      <c r="J33" s="33"/>
      <c r="K33" s="33"/>
      <c r="L33" s="33"/>
      <c r="M33" s="33"/>
      <c r="N33" s="33">
        <v>360</v>
      </c>
      <c r="O33" s="5">
        <f t="shared" si="15"/>
        <v>960</v>
      </c>
      <c r="P33" s="5">
        <f t="shared" si="16"/>
        <v>880.73394495412833</v>
      </c>
      <c r="Q33" s="5">
        <f t="shared" si="18"/>
        <v>79.266055045871667</v>
      </c>
      <c r="R33" s="21">
        <f t="shared" si="17"/>
        <v>8</v>
      </c>
      <c r="S33" s="35"/>
      <c r="T33" s="61">
        <v>480</v>
      </c>
      <c r="U33" s="13">
        <f t="shared" si="21"/>
        <v>3840</v>
      </c>
      <c r="V33" s="2"/>
      <c r="W33" s="138"/>
      <c r="X33" s="2"/>
      <c r="Y33" s="2"/>
      <c r="Z33" s="2"/>
      <c r="AA33" s="2"/>
      <c r="AB33" s="2"/>
      <c r="AC33" s="2"/>
    </row>
    <row r="34" spans="1:29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>
        <v>1080</v>
      </c>
      <c r="O34" s="5">
        <f t="shared" si="15"/>
        <v>1080</v>
      </c>
      <c r="P34" s="5">
        <f t="shared" si="16"/>
        <v>990.82568807339442</v>
      </c>
      <c r="Q34" s="5">
        <f t="shared" si="18"/>
        <v>89.174311926605583</v>
      </c>
      <c r="R34" s="21">
        <f t="shared" si="17"/>
        <v>2</v>
      </c>
      <c r="S34" s="35"/>
      <c r="T34" s="61"/>
      <c r="U34" s="13"/>
      <c r="V34" s="2"/>
      <c r="W34" s="138"/>
      <c r="X34" s="2"/>
      <c r="Y34" s="2"/>
      <c r="Z34" s="2"/>
      <c r="AA34" s="2"/>
      <c r="AB34" s="2"/>
      <c r="AC34" s="2"/>
    </row>
    <row r="35" spans="1:29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15"/>
        <v>0</v>
      </c>
      <c r="P35" s="5">
        <f t="shared" si="16"/>
        <v>0</v>
      </c>
      <c r="Q35" s="5">
        <f t="shared" si="18"/>
        <v>0</v>
      </c>
      <c r="R35" s="21">
        <f t="shared" si="17"/>
        <v>0</v>
      </c>
      <c r="S35" s="35"/>
      <c r="T35" s="61">
        <v>270</v>
      </c>
      <c r="U35" s="13">
        <f t="shared" si="21"/>
        <v>0</v>
      </c>
      <c r="V35" s="2"/>
      <c r="W35" s="138"/>
      <c r="X35" s="2"/>
      <c r="Y35" s="2"/>
      <c r="Z35" s="2"/>
      <c r="AA35" s="2"/>
      <c r="AB35" s="2"/>
      <c r="AC35" s="2"/>
    </row>
    <row r="36" spans="1:29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5"/>
        <v>0</v>
      </c>
      <c r="P36" s="5">
        <f t="shared" si="16"/>
        <v>0</v>
      </c>
      <c r="Q36" s="5">
        <f t="shared" si="18"/>
        <v>0</v>
      </c>
      <c r="R36" s="21">
        <f t="shared" si="17"/>
        <v>0</v>
      </c>
      <c r="S36" s="35"/>
      <c r="T36" s="61">
        <v>432</v>
      </c>
      <c r="U36" s="13">
        <f t="shared" si="21"/>
        <v>0</v>
      </c>
      <c r="V36" s="2"/>
      <c r="W36" s="138"/>
      <c r="X36" s="2"/>
      <c r="Y36" s="2"/>
      <c r="Z36" s="2"/>
      <c r="AA36" s="2"/>
      <c r="AB36" s="2"/>
      <c r="AC36" s="2"/>
    </row>
    <row r="37" spans="1:29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5"/>
        <v>0</v>
      </c>
      <c r="P37" s="5">
        <f t="shared" si="16"/>
        <v>0</v>
      </c>
      <c r="Q37" s="5">
        <f t="shared" si="18"/>
        <v>0</v>
      </c>
      <c r="R37" s="21">
        <f t="shared" si="17"/>
        <v>0</v>
      </c>
      <c r="S37" s="35"/>
      <c r="T37" s="61"/>
      <c r="U37" s="13"/>
      <c r="V37" s="2"/>
      <c r="W37" s="138"/>
      <c r="X37" s="2"/>
      <c r="Y37" s="2"/>
      <c r="Z37" s="2"/>
      <c r="AA37" s="2"/>
      <c r="AB37" s="2"/>
      <c r="AC37" s="2"/>
    </row>
    <row r="38" spans="1:29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5"/>
        <v>0</v>
      </c>
      <c r="P38" s="5">
        <f t="shared" si="16"/>
        <v>0</v>
      </c>
      <c r="Q38" s="5">
        <f t="shared" si="18"/>
        <v>0</v>
      </c>
      <c r="R38" s="21">
        <f t="shared" si="17"/>
        <v>0</v>
      </c>
      <c r="S38" s="35"/>
      <c r="T38" s="61">
        <v>450</v>
      </c>
      <c r="U38" s="13">
        <f t="shared" si="21"/>
        <v>0</v>
      </c>
      <c r="V38" s="2"/>
      <c r="W38" s="138"/>
      <c r="X38" s="2"/>
      <c r="Y38" s="2"/>
      <c r="Z38" s="2"/>
      <c r="AA38" s="2"/>
      <c r="AB38" s="2"/>
      <c r="AC38" s="2"/>
    </row>
    <row r="39" spans="1:29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/>
      <c r="G39" s="95"/>
      <c r="H39" s="95"/>
      <c r="I39" s="13"/>
      <c r="J39" s="33"/>
      <c r="K39" s="33"/>
      <c r="L39" s="33"/>
      <c r="M39" s="33"/>
      <c r="N39" s="33"/>
      <c r="O39" s="5">
        <f t="shared" si="15"/>
        <v>0</v>
      </c>
      <c r="P39" s="5">
        <f t="shared" si="16"/>
        <v>0</v>
      </c>
      <c r="Q39" s="5">
        <f t="shared" si="18"/>
        <v>0</v>
      </c>
      <c r="R39" s="21">
        <f t="shared" si="17"/>
        <v>0</v>
      </c>
      <c r="S39" s="35"/>
      <c r="T39" s="61">
        <v>720</v>
      </c>
      <c r="U39" s="13">
        <f t="shared" si="21"/>
        <v>0</v>
      </c>
      <c r="V39" s="2"/>
      <c r="W39" s="138"/>
      <c r="X39" s="2"/>
      <c r="Y39" s="2"/>
      <c r="Z39" s="2"/>
      <c r="AA39" s="2"/>
      <c r="AB39" s="2"/>
      <c r="AC39" s="2"/>
    </row>
    <row r="40" spans="1:29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/>
      <c r="O40" s="5">
        <f t="shared" si="15"/>
        <v>0</v>
      </c>
      <c r="P40" s="5">
        <f t="shared" si="16"/>
        <v>0</v>
      </c>
      <c r="Q40" s="5">
        <f t="shared" si="18"/>
        <v>0</v>
      </c>
      <c r="R40" s="21">
        <f t="shared" si="17"/>
        <v>0</v>
      </c>
      <c r="S40" s="71"/>
      <c r="T40" s="61"/>
      <c r="U40" s="13"/>
      <c r="V40" s="2"/>
      <c r="W40" s="138"/>
      <c r="X40" s="2"/>
      <c r="Y40" s="2"/>
      <c r="Z40" s="2"/>
      <c r="AA40" s="2"/>
      <c r="AB40" s="2"/>
      <c r="AC40" s="2"/>
    </row>
    <row r="41" spans="1:29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15"/>
        <v>0</v>
      </c>
      <c r="P41" s="5">
        <f t="shared" si="16"/>
        <v>0</v>
      </c>
      <c r="Q41" s="5">
        <f t="shared" si="18"/>
        <v>0</v>
      </c>
      <c r="R41" s="21">
        <f t="shared" si="17"/>
        <v>0</v>
      </c>
      <c r="S41" s="71"/>
      <c r="T41" s="61">
        <v>405</v>
      </c>
      <c r="U41" s="13">
        <f t="shared" si="21"/>
        <v>0</v>
      </c>
      <c r="V41" s="2"/>
      <c r="W41" s="138"/>
      <c r="X41" s="2"/>
      <c r="Y41" s="2"/>
      <c r="Z41" s="2"/>
      <c r="AA41" s="2"/>
      <c r="AB41" s="2"/>
      <c r="AC41" s="2"/>
    </row>
    <row r="42" spans="1:29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/>
      <c r="O42" s="26">
        <f t="shared" si="15"/>
        <v>0</v>
      </c>
      <c r="P42" s="26">
        <f t="shared" si="16"/>
        <v>0</v>
      </c>
      <c r="Q42" s="26">
        <f t="shared" si="18"/>
        <v>0</v>
      </c>
      <c r="R42" s="39">
        <f t="shared" si="17"/>
        <v>0</v>
      </c>
      <c r="S42" s="71"/>
      <c r="T42" s="61">
        <v>648</v>
      </c>
      <c r="U42" s="13">
        <f t="shared" si="21"/>
        <v>0</v>
      </c>
      <c r="V42" s="2"/>
      <c r="W42" s="138"/>
      <c r="X42" s="2"/>
      <c r="Y42" s="2"/>
      <c r="Z42" s="2"/>
      <c r="AA42" s="2"/>
      <c r="AB42" s="2"/>
      <c r="AC42" s="2"/>
    </row>
    <row r="43" spans="1:29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90</v>
      </c>
      <c r="F43" s="124">
        <v>11280</v>
      </c>
      <c r="G43" s="124">
        <v>1490</v>
      </c>
      <c r="H43" s="124">
        <v>1990</v>
      </c>
      <c r="I43" s="124"/>
      <c r="J43" s="124"/>
      <c r="K43" s="124"/>
      <c r="L43" s="124"/>
      <c r="M43" s="124">
        <v>60</v>
      </c>
      <c r="N43" s="124">
        <v>50</v>
      </c>
      <c r="O43" s="248">
        <f t="shared" si="15"/>
        <v>14960</v>
      </c>
      <c r="P43" s="26">
        <f t="shared" si="16"/>
        <v>13724.770642201835</v>
      </c>
      <c r="Q43" s="26">
        <f t="shared" si="18"/>
        <v>1235.2293577981654</v>
      </c>
      <c r="R43" s="39">
        <f t="shared" si="17"/>
        <v>1496</v>
      </c>
      <c r="S43" s="71"/>
      <c r="T43" s="61"/>
      <c r="U43" s="13"/>
      <c r="V43" s="2"/>
      <c r="W43" s="138"/>
      <c r="X43" s="2"/>
      <c r="Y43" s="2"/>
      <c r="Z43" s="2"/>
      <c r="AA43" s="2"/>
      <c r="AB43" s="2"/>
      <c r="AC43" s="2"/>
    </row>
    <row r="44" spans="1:29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3267.3</v>
      </c>
      <c r="F44" s="82">
        <f>+SUM(F45:F53)</f>
        <v>132321.70000000001</v>
      </c>
      <c r="G44" s="82">
        <f t="shared" ref="G44:R44" si="22">+SUM(G45:G53)</f>
        <v>22014.1</v>
      </c>
      <c r="H44" s="82">
        <f>+SUM(H45:H53)</f>
        <v>3292</v>
      </c>
      <c r="I44" s="82">
        <f t="shared" si="22"/>
        <v>0</v>
      </c>
      <c r="J44" s="82">
        <f t="shared" si="22"/>
        <v>0</v>
      </c>
      <c r="K44" s="100">
        <f t="shared" si="22"/>
        <v>0</v>
      </c>
      <c r="L44" s="100">
        <f t="shared" si="22"/>
        <v>0</v>
      </c>
      <c r="M44" s="100">
        <f t="shared" si="22"/>
        <v>417.69999999999993</v>
      </c>
      <c r="N44" s="100">
        <f t="shared" si="22"/>
        <v>11297.7</v>
      </c>
      <c r="O44" s="42">
        <f>+SUM(O45:O53)</f>
        <v>172610.5</v>
      </c>
      <c r="P44" s="82">
        <f t="shared" si="22"/>
        <v>158358.25688073394</v>
      </c>
      <c r="Q44" s="82">
        <f t="shared" si="22"/>
        <v>14252.24311926607</v>
      </c>
      <c r="R44" s="19">
        <f t="shared" si="22"/>
        <v>25601</v>
      </c>
      <c r="S44" s="71"/>
      <c r="T44" s="61"/>
      <c r="U44" s="105">
        <f>+SUM(U45:U68)</f>
        <v>251031.5</v>
      </c>
      <c r="V44" s="2"/>
      <c r="W44" s="138"/>
      <c r="X44" s="2"/>
      <c r="Y44" s="2"/>
      <c r="Z44" s="2"/>
      <c r="AA44" s="2"/>
      <c r="AB44" s="2"/>
      <c r="AC44" s="2"/>
    </row>
    <row r="45" spans="1:29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312</v>
      </c>
      <c r="F45" s="23">
        <v>13560</v>
      </c>
      <c r="G45" s="28">
        <v>2292</v>
      </c>
      <c r="H45" s="23">
        <v>204</v>
      </c>
      <c r="I45" s="83"/>
      <c r="J45" s="75"/>
      <c r="K45" s="75"/>
      <c r="L45" s="75"/>
      <c r="M45" s="75">
        <v>60</v>
      </c>
      <c r="N45" s="75">
        <v>1236</v>
      </c>
      <c r="O45" s="5">
        <f t="shared" ref="O45:O55" si="23">+SUM(E45:N45)</f>
        <v>17664</v>
      </c>
      <c r="P45" s="99">
        <f t="shared" ref="P45:P53" si="24">+O45/1.09</f>
        <v>16205.504587155961</v>
      </c>
      <c r="Q45" s="64">
        <f t="shared" ref="Q45:R55" si="25">+O45-P45</f>
        <v>1458.4954128440386</v>
      </c>
      <c r="R45" s="116">
        <f t="shared" ref="R45:R54" si="26">O45/D45</f>
        <v>1472</v>
      </c>
      <c r="S45" s="71"/>
      <c r="T45" s="61"/>
      <c r="U45" s="13"/>
      <c r="V45" s="2"/>
      <c r="W45" s="138"/>
      <c r="X45" s="2"/>
      <c r="Y45" s="2"/>
      <c r="Z45" s="2"/>
      <c r="AA45" s="2"/>
      <c r="AB45" s="2"/>
      <c r="AC45" s="2"/>
    </row>
    <row r="46" spans="1:29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132</v>
      </c>
      <c r="F46" s="13">
        <v>1902</v>
      </c>
      <c r="G46" s="17">
        <v>294</v>
      </c>
      <c r="H46" s="23">
        <v>30</v>
      </c>
      <c r="I46" s="13"/>
      <c r="J46" s="33"/>
      <c r="K46" s="33"/>
      <c r="L46" s="33"/>
      <c r="M46" s="33">
        <v>42</v>
      </c>
      <c r="N46" s="33">
        <v>150</v>
      </c>
      <c r="O46" s="5">
        <f t="shared" si="23"/>
        <v>2550</v>
      </c>
      <c r="P46" s="5">
        <f t="shared" si="24"/>
        <v>2339.4495412844035</v>
      </c>
      <c r="Q46" s="5">
        <f t="shared" si="25"/>
        <v>210.55045871559651</v>
      </c>
      <c r="R46" s="31">
        <f t="shared" si="26"/>
        <v>425</v>
      </c>
      <c r="S46" s="71"/>
      <c r="T46" s="61">
        <v>6</v>
      </c>
      <c r="U46" s="13">
        <f t="shared" ref="U46:U47" si="27">+R46*T46</f>
        <v>2550</v>
      </c>
      <c r="V46" s="2"/>
      <c r="W46" s="138"/>
      <c r="X46" s="2"/>
      <c r="Y46" s="2"/>
      <c r="Z46" s="2"/>
      <c r="AA46" s="2"/>
      <c r="AB46" s="2"/>
      <c r="AC46" s="2"/>
    </row>
    <row r="47" spans="1:29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660</v>
      </c>
      <c r="F47" s="13">
        <v>32544</v>
      </c>
      <c r="G47" s="17">
        <v>6040.8</v>
      </c>
      <c r="H47" s="23">
        <v>201.6</v>
      </c>
      <c r="I47" s="13"/>
      <c r="J47" s="33"/>
      <c r="K47" s="33"/>
      <c r="L47" s="33"/>
      <c r="M47" s="33">
        <v>57.6</v>
      </c>
      <c r="N47" s="33">
        <v>2337.6</v>
      </c>
      <c r="O47" s="5">
        <f t="shared" si="23"/>
        <v>41841.599999999999</v>
      </c>
      <c r="P47" s="5">
        <f t="shared" si="24"/>
        <v>38386.788990825684</v>
      </c>
      <c r="Q47" s="5">
        <f t="shared" si="25"/>
        <v>3454.8110091743147</v>
      </c>
      <c r="R47" s="31">
        <f t="shared" si="26"/>
        <v>17434</v>
      </c>
      <c r="S47" s="71"/>
      <c r="T47" s="61">
        <v>9.6</v>
      </c>
      <c r="U47" s="13">
        <f t="shared" si="27"/>
        <v>167366.39999999999</v>
      </c>
      <c r="V47" s="2"/>
      <c r="W47" s="138"/>
      <c r="X47" s="2"/>
      <c r="Y47" s="2"/>
      <c r="Z47" s="2"/>
      <c r="AA47" s="2"/>
      <c r="AB47" s="2"/>
      <c r="AC47" s="2"/>
    </row>
    <row r="48" spans="1:29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147</v>
      </c>
      <c r="F48" s="13">
        <v>13461</v>
      </c>
      <c r="G48" s="17">
        <v>1911</v>
      </c>
      <c r="H48" s="13">
        <v>420</v>
      </c>
      <c r="I48" s="13"/>
      <c r="J48" s="33"/>
      <c r="K48" s="33"/>
      <c r="L48" s="33"/>
      <c r="M48" s="33">
        <v>42</v>
      </c>
      <c r="N48" s="33">
        <v>987</v>
      </c>
      <c r="O48" s="5">
        <f t="shared" si="23"/>
        <v>16968</v>
      </c>
      <c r="P48" s="5">
        <f t="shared" si="24"/>
        <v>15566.972477064219</v>
      </c>
      <c r="Q48" s="5">
        <f t="shared" si="25"/>
        <v>1401.0275229357812</v>
      </c>
      <c r="R48" s="31">
        <f t="shared" si="26"/>
        <v>808</v>
      </c>
      <c r="S48" s="71"/>
      <c r="T48" s="61"/>
      <c r="U48" s="13"/>
      <c r="V48" s="2"/>
      <c r="W48" s="138"/>
      <c r="X48" s="2"/>
      <c r="Y48" s="2"/>
      <c r="Z48" s="2"/>
      <c r="AA48" s="2"/>
      <c r="AB48" s="2"/>
      <c r="AC48" s="2"/>
    </row>
    <row r="49" spans="1:29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1554</v>
      </c>
      <c r="G49" s="17">
        <v>315</v>
      </c>
      <c r="H49" s="13">
        <v>42</v>
      </c>
      <c r="I49" s="13"/>
      <c r="J49" s="33"/>
      <c r="K49" s="33"/>
      <c r="L49" s="33"/>
      <c r="M49" s="33">
        <v>10.5</v>
      </c>
      <c r="N49" s="33">
        <v>94.5</v>
      </c>
      <c r="O49" s="5">
        <f t="shared" si="23"/>
        <v>2016</v>
      </c>
      <c r="P49" s="5">
        <f t="shared" si="24"/>
        <v>1849.5412844036696</v>
      </c>
      <c r="Q49" s="5">
        <f t="shared" si="25"/>
        <v>166.45871559633042</v>
      </c>
      <c r="R49" s="21">
        <f t="shared" si="26"/>
        <v>192</v>
      </c>
      <c r="S49" s="71"/>
      <c r="T49" s="61">
        <v>10.5</v>
      </c>
      <c r="U49" s="13">
        <f t="shared" ref="U49:U50" si="28">+R49*T49</f>
        <v>2016</v>
      </c>
      <c r="V49" s="2"/>
      <c r="W49" s="138"/>
      <c r="X49" s="2"/>
      <c r="Y49" s="2"/>
      <c r="Z49" s="2"/>
      <c r="AA49" s="2"/>
      <c r="AB49" s="2"/>
      <c r="AC49" s="2"/>
    </row>
    <row r="50" spans="1:29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134.4</v>
      </c>
      <c r="F50" s="13">
        <v>7165.2</v>
      </c>
      <c r="G50" s="17">
        <v>907.2</v>
      </c>
      <c r="H50" s="13">
        <v>172.2</v>
      </c>
      <c r="I50" s="13"/>
      <c r="J50" s="33"/>
      <c r="K50" s="33"/>
      <c r="L50" s="33"/>
      <c r="M50" s="33">
        <v>25.2</v>
      </c>
      <c r="N50" s="33">
        <v>1129.8</v>
      </c>
      <c r="O50" s="5">
        <f t="shared" si="23"/>
        <v>9534</v>
      </c>
      <c r="P50" s="5">
        <f t="shared" si="24"/>
        <v>8746.7889908256875</v>
      </c>
      <c r="Q50" s="5">
        <f t="shared" si="25"/>
        <v>787.21100917431249</v>
      </c>
      <c r="R50" s="21">
        <f t="shared" si="26"/>
        <v>2270</v>
      </c>
      <c r="S50" s="71"/>
      <c r="T50" s="61">
        <v>16.8</v>
      </c>
      <c r="U50" s="13">
        <f t="shared" si="28"/>
        <v>38136</v>
      </c>
      <c r="V50" s="2"/>
      <c r="W50" s="138"/>
      <c r="X50" s="2"/>
      <c r="Y50" s="2"/>
      <c r="Z50" s="2"/>
      <c r="AA50" s="2"/>
      <c r="AB50" s="2"/>
      <c r="AC50" s="2"/>
    </row>
    <row r="51" spans="1:29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1640</v>
      </c>
      <c r="F51" s="13">
        <v>51537</v>
      </c>
      <c r="G51" s="17">
        <v>8364</v>
      </c>
      <c r="H51" s="13">
        <v>1517</v>
      </c>
      <c r="I51" s="13"/>
      <c r="J51" s="33"/>
      <c r="K51" s="33"/>
      <c r="L51" s="33"/>
      <c r="M51" s="33">
        <v>164</v>
      </c>
      <c r="N51" s="33">
        <v>3977</v>
      </c>
      <c r="O51" s="5">
        <f t="shared" si="23"/>
        <v>67199</v>
      </c>
      <c r="P51" s="5">
        <f t="shared" si="24"/>
        <v>61650.458715596324</v>
      </c>
      <c r="Q51" s="5">
        <f t="shared" si="25"/>
        <v>5548.5412844036764</v>
      </c>
      <c r="R51" s="21">
        <f t="shared" si="26"/>
        <v>1639</v>
      </c>
      <c r="S51" s="71"/>
      <c r="T51" s="61"/>
      <c r="U51" s="13"/>
      <c r="V51" s="2"/>
      <c r="W51" s="138"/>
      <c r="X51" s="2"/>
      <c r="Y51" s="2"/>
      <c r="Z51" s="2"/>
      <c r="AA51" s="2"/>
      <c r="AB51" s="2"/>
      <c r="AC51" s="2"/>
    </row>
    <row r="52" spans="1:29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102.5</v>
      </c>
      <c r="F52" s="13">
        <v>4735.5</v>
      </c>
      <c r="G52" s="17">
        <v>1004.5</v>
      </c>
      <c r="H52" s="13">
        <v>123</v>
      </c>
      <c r="I52" s="13"/>
      <c r="J52" s="33"/>
      <c r="K52" s="33"/>
      <c r="L52" s="33"/>
      <c r="M52" s="33"/>
      <c r="N52" s="33">
        <v>164</v>
      </c>
      <c r="O52" s="5">
        <f t="shared" si="23"/>
        <v>6129.5</v>
      </c>
      <c r="P52" s="5">
        <f t="shared" si="24"/>
        <v>5623.3944954128438</v>
      </c>
      <c r="Q52" s="5">
        <f t="shared" si="25"/>
        <v>506.10550458715625</v>
      </c>
      <c r="R52" s="21">
        <f t="shared" si="26"/>
        <v>299</v>
      </c>
      <c r="S52" s="71"/>
      <c r="T52" s="61">
        <v>20.5</v>
      </c>
      <c r="U52" s="13">
        <f t="shared" ref="U52:U53" si="29">+R52*T52</f>
        <v>6129.5</v>
      </c>
      <c r="V52" s="2"/>
      <c r="W52" s="138"/>
      <c r="X52" s="2"/>
      <c r="Y52" s="2"/>
      <c r="Z52" s="2"/>
      <c r="AA52" s="2"/>
      <c r="AB52" s="2"/>
      <c r="AC52" s="2"/>
    </row>
    <row r="53" spans="1:29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139.4</v>
      </c>
      <c r="F53" s="14">
        <v>5863</v>
      </c>
      <c r="G53" s="51">
        <v>885.6</v>
      </c>
      <c r="H53" s="14">
        <v>582.20000000000005</v>
      </c>
      <c r="I53" s="14"/>
      <c r="J53" s="76"/>
      <c r="K53" s="76"/>
      <c r="L53" s="76"/>
      <c r="M53" s="76">
        <v>16.399999999999999</v>
      </c>
      <c r="N53" s="76">
        <v>1221.8</v>
      </c>
      <c r="O53" s="26">
        <f t="shared" si="23"/>
        <v>8708.4</v>
      </c>
      <c r="P53" s="6">
        <f t="shared" si="24"/>
        <v>7989.357798165137</v>
      </c>
      <c r="Q53" s="6">
        <f t="shared" si="25"/>
        <v>719.04220183486268</v>
      </c>
      <c r="R53" s="22">
        <f t="shared" si="26"/>
        <v>1062</v>
      </c>
      <c r="S53" s="35"/>
      <c r="T53" s="61">
        <v>32.799999999999997</v>
      </c>
      <c r="U53" s="13">
        <f t="shared" si="29"/>
        <v>34833.599999999999</v>
      </c>
      <c r="V53" s="2"/>
      <c r="W53" s="138"/>
      <c r="X53" s="2"/>
      <c r="Y53" s="2"/>
      <c r="Z53" s="2"/>
      <c r="AA53" s="2"/>
      <c r="AB53" s="2"/>
      <c r="AC53" s="2"/>
    </row>
    <row r="54" spans="1:29" x14ac:dyDescent="0.25">
      <c r="C54" s="1" t="s">
        <v>150</v>
      </c>
      <c r="D54" s="4">
        <v>4</v>
      </c>
      <c r="E54" s="125">
        <f>250*4</f>
        <v>1000</v>
      </c>
      <c r="F54" s="112">
        <v>40908</v>
      </c>
      <c r="G54" s="112">
        <v>5520</v>
      </c>
      <c r="H54" s="112">
        <v>2668</v>
      </c>
      <c r="I54" s="112"/>
      <c r="J54" s="112"/>
      <c r="K54" s="112"/>
      <c r="L54" s="112"/>
      <c r="O54" s="230">
        <f>+SUM(E54:N54)+N59</f>
        <v>56956</v>
      </c>
      <c r="P54" s="6">
        <f>+O54/1.21</f>
        <v>47071.074380165293</v>
      </c>
      <c r="Q54" s="6">
        <f t="shared" si="25"/>
        <v>9884.9256198347066</v>
      </c>
      <c r="R54" s="22">
        <f t="shared" si="26"/>
        <v>14239</v>
      </c>
      <c r="V54" s="2"/>
      <c r="W54" s="138"/>
    </row>
    <row r="55" spans="1:29" x14ac:dyDescent="0.25">
      <c r="C55" s="1" t="s">
        <v>143</v>
      </c>
      <c r="E55" s="2">
        <v>26683.27</v>
      </c>
      <c r="F55" s="2">
        <v>837106.72</v>
      </c>
      <c r="G55" s="2">
        <v>126008.65</v>
      </c>
      <c r="H55" s="2">
        <v>16207.3</v>
      </c>
      <c r="I55" s="2"/>
      <c r="J55" s="2"/>
      <c r="K55" s="2"/>
      <c r="L55" s="2"/>
      <c r="M55" s="2">
        <v>5168.91</v>
      </c>
      <c r="O55" s="6">
        <f t="shared" si="23"/>
        <v>1011174.8500000001</v>
      </c>
      <c r="P55" s="6">
        <f>+O55</f>
        <v>1011174.8500000001</v>
      </c>
      <c r="Q55" s="6">
        <f t="shared" si="25"/>
        <v>0</v>
      </c>
      <c r="R55" s="6">
        <f t="shared" si="25"/>
        <v>1011174.8500000001</v>
      </c>
      <c r="V55" s="2"/>
      <c r="W55" s="138"/>
    </row>
    <row r="57" spans="1:29" x14ac:dyDescent="0.25">
      <c r="D57" s="4" t="s">
        <v>151</v>
      </c>
      <c r="E57" s="136">
        <f>+E5+E54+E55</f>
        <v>188987.98999999996</v>
      </c>
      <c r="F57" s="136">
        <f t="shared" ref="F57:N57" si="30">+F5+F54+F55</f>
        <v>7660933</v>
      </c>
      <c r="G57" s="136">
        <f t="shared" si="30"/>
        <v>1141444.5900000001</v>
      </c>
      <c r="H57" s="136">
        <f t="shared" si="30"/>
        <v>171774.63999999998</v>
      </c>
      <c r="I57" s="136">
        <f t="shared" si="30"/>
        <v>623585.55000000005</v>
      </c>
      <c r="J57" s="136">
        <f t="shared" si="30"/>
        <v>990661</v>
      </c>
      <c r="K57" s="136">
        <f t="shared" si="30"/>
        <v>979081.82000000007</v>
      </c>
      <c r="L57" s="136">
        <f t="shared" si="30"/>
        <v>1591.5399999999543</v>
      </c>
      <c r="M57" s="136">
        <f t="shared" si="30"/>
        <v>40850.429999999993</v>
      </c>
      <c r="N57" s="136">
        <f t="shared" si="30"/>
        <v>645089.24</v>
      </c>
      <c r="O57" s="103">
        <f>+SUM(E57:N57)</f>
        <v>12443999.800000001</v>
      </c>
      <c r="P57" s="150">
        <f>+P54+P55+P5-((K5+L5)/1.09)</f>
        <v>10601416.190435208</v>
      </c>
      <c r="Q57" s="150"/>
    </row>
    <row r="59" spans="1:29" x14ac:dyDescent="0.25">
      <c r="E59" s="125"/>
      <c r="F59" s="112"/>
      <c r="G59" s="112"/>
      <c r="H59" s="112"/>
      <c r="M59" s="561" t="s">
        <v>609</v>
      </c>
      <c r="N59" s="560">
        <f>1715*4</f>
        <v>6860</v>
      </c>
      <c r="O59" s="112"/>
    </row>
    <row r="60" spans="1:29" x14ac:dyDescent="0.25">
      <c r="E60" s="136"/>
    </row>
    <row r="61" spans="1:29" x14ac:dyDescent="0.25">
      <c r="G61" s="2"/>
      <c r="M61" s="2"/>
    </row>
    <row r="73" spans="2:2" x14ac:dyDescent="0.25">
      <c r="B73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10"/>
  <sheetViews>
    <sheetView workbookViewId="0">
      <selection activeCell="B24" sqref="B24"/>
    </sheetView>
  </sheetViews>
  <sheetFormatPr defaultRowHeight="14.4" x14ac:dyDescent="0.3"/>
  <cols>
    <col min="1" max="1" width="49.6640625" customWidth="1"/>
    <col min="3" max="3" width="14" customWidth="1"/>
    <col min="4" max="4" width="13.5546875" customWidth="1"/>
    <col min="5" max="5" width="11.5546875" customWidth="1"/>
  </cols>
  <sheetData>
    <row r="1" spans="1:5" x14ac:dyDescent="0.3">
      <c r="A1" t="s">
        <v>297</v>
      </c>
    </row>
    <row r="3" spans="1:5" x14ac:dyDescent="0.3">
      <c r="A3" s="266" t="s">
        <v>46</v>
      </c>
      <c r="B3" s="268" t="s">
        <v>208</v>
      </c>
      <c r="C3" s="267" t="s">
        <v>298</v>
      </c>
      <c r="D3" s="267" t="s">
        <v>205</v>
      </c>
      <c r="E3" s="267" t="s">
        <v>206</v>
      </c>
    </row>
    <row r="4" spans="1:5" x14ac:dyDescent="0.3">
      <c r="A4" s="263" t="s">
        <v>54</v>
      </c>
      <c r="B4" s="91">
        <v>2.2000000000000002</v>
      </c>
      <c r="C4" s="264">
        <v>764524.2</v>
      </c>
      <c r="D4" s="264">
        <v>769817.4</v>
      </c>
      <c r="E4" s="265">
        <f>+D4-C4</f>
        <v>5293.2000000000698</v>
      </c>
    </row>
    <row r="5" spans="1:5" x14ac:dyDescent="0.3">
      <c r="A5" s="255" t="s">
        <v>92</v>
      </c>
      <c r="B5" s="60">
        <v>1.1000000000000001</v>
      </c>
      <c r="C5" s="106">
        <v>82437.3</v>
      </c>
      <c r="D5" s="106">
        <v>82960.899999999994</v>
      </c>
      <c r="E5" s="257">
        <f t="shared" ref="E5:E9" si="0">+D5-C5</f>
        <v>523.59999999999127</v>
      </c>
    </row>
    <row r="6" spans="1:5" x14ac:dyDescent="0.3">
      <c r="A6" s="255" t="s">
        <v>93</v>
      </c>
      <c r="B6" s="62">
        <v>0.44</v>
      </c>
      <c r="C6" s="106">
        <v>1450.24</v>
      </c>
      <c r="D6" s="106">
        <v>1460.36</v>
      </c>
      <c r="E6" s="257">
        <f t="shared" si="0"/>
        <v>10.119999999999891</v>
      </c>
    </row>
    <row r="7" spans="1:5" x14ac:dyDescent="0.3">
      <c r="A7" s="255" t="s">
        <v>58</v>
      </c>
      <c r="B7" s="62">
        <v>3.2</v>
      </c>
      <c r="C7" s="106">
        <v>116150.39999999999</v>
      </c>
      <c r="D7" s="106">
        <v>116969.60000000001</v>
      </c>
      <c r="E7" s="257">
        <f t="shared" si="0"/>
        <v>819.20000000001164</v>
      </c>
    </row>
    <row r="8" spans="1:5" x14ac:dyDescent="0.3">
      <c r="A8" s="255" t="s">
        <v>94</v>
      </c>
      <c r="B8" s="62">
        <v>1.6</v>
      </c>
      <c r="C8" s="106">
        <v>14224</v>
      </c>
      <c r="D8" s="106">
        <v>14363.2</v>
      </c>
      <c r="E8" s="257">
        <f t="shared" si="0"/>
        <v>139.20000000000073</v>
      </c>
    </row>
    <row r="9" spans="1:5" x14ac:dyDescent="0.3">
      <c r="A9" s="256" t="s">
        <v>95</v>
      </c>
      <c r="B9" s="63">
        <v>0.64</v>
      </c>
      <c r="C9" s="258">
        <v>295.68</v>
      </c>
      <c r="D9" s="258">
        <v>297.60000000000002</v>
      </c>
      <c r="E9" s="259">
        <f t="shared" si="0"/>
        <v>1.9200000000000159</v>
      </c>
    </row>
    <row r="10" spans="1:5" ht="15" x14ac:dyDescent="0.25">
      <c r="A10" s="260" t="s">
        <v>151</v>
      </c>
      <c r="B10" s="261"/>
      <c r="C10" s="262">
        <f>+SUM(C4:C9)</f>
        <v>979081.82000000007</v>
      </c>
      <c r="D10" s="262">
        <f t="shared" ref="D10:E10" si="1">+SUM(D4:D9)</f>
        <v>985869.05999999994</v>
      </c>
      <c r="E10" s="262">
        <f t="shared" si="1"/>
        <v>6787.2400000000735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F66"/>
  <sheetViews>
    <sheetView zoomScaleNormal="100" workbookViewId="0">
      <pane xSplit="4" ySplit="4" topLeftCell="K8" activePane="bottomRight" state="frozen"/>
      <selection pane="topRight" activeCell="E1" sqref="E1"/>
      <selection pane="bottomLeft" activeCell="A5" sqref="A5"/>
      <selection pane="bottomRight" activeCell="N21" sqref="N21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50.6640625" style="1" bestFit="1" customWidth="1"/>
    <col min="4" max="4" width="9.88671875" style="4" customWidth="1"/>
    <col min="5" max="5" width="14.33203125" style="4" customWidth="1" outlineLevel="1"/>
    <col min="6" max="6" width="12.441406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2" width="12.109375" style="1" customWidth="1" outlineLevel="1"/>
    <col min="13" max="14" width="13" style="1" customWidth="1" outlineLevel="1"/>
    <col min="15" max="15" width="12.33203125" style="1" bestFit="1" customWidth="1"/>
    <col min="16" max="17" width="12.33203125" style="1" customWidth="1"/>
    <col min="18" max="18" width="11.33203125" style="1" customWidth="1" outlineLevel="1"/>
    <col min="19" max="19" width="3.109375" style="1" customWidth="1"/>
    <col min="20" max="20" width="5.109375" style="1" customWidth="1"/>
    <col min="21" max="21" width="13.33203125" style="2" customWidth="1"/>
    <col min="22" max="22" width="11.33203125" style="2" bestFit="1" customWidth="1"/>
    <col min="23" max="23" width="11.6640625" style="1" customWidth="1"/>
    <col min="24" max="16384" width="8.88671875" style="1"/>
  </cols>
  <sheetData>
    <row r="1" spans="1:24" ht="15.6" customHeight="1" x14ac:dyDescent="0.3">
      <c r="A1" s="40" t="s">
        <v>299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"/>
    </row>
    <row r="2" spans="1:24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139"/>
      <c r="P2" s="2"/>
      <c r="Q2" s="2"/>
    </row>
    <row r="3" spans="1:24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4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309</v>
      </c>
      <c r="M4" s="575"/>
      <c r="N4" s="581"/>
      <c r="O4" s="591"/>
      <c r="P4" s="592"/>
      <c r="Q4" s="592"/>
      <c r="R4" s="592"/>
      <c r="T4" s="87"/>
      <c r="U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50826.920000000006</v>
      </c>
      <c r="F5" s="187">
        <f t="shared" si="0"/>
        <v>2078461.4200000004</v>
      </c>
      <c r="G5" s="82">
        <f t="shared" si="0"/>
        <v>309391</v>
      </c>
      <c r="H5" s="82">
        <f t="shared" si="0"/>
        <v>53040.039999999994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12814.21</v>
      </c>
      <c r="N5" s="19">
        <f>+N6+N18+N44</f>
        <v>226264.28</v>
      </c>
      <c r="O5" s="113">
        <f>+SUM(E5:N5)</f>
        <v>2730797.87</v>
      </c>
      <c r="P5" s="114">
        <f>+P6+P18+P44</f>
        <v>2505319.1467889901</v>
      </c>
      <c r="Q5" s="115">
        <f>+Q6+Q18+Q44</f>
        <v>225478.72321100932</v>
      </c>
      <c r="R5" s="197">
        <f>+R6+R18+R44</f>
        <v>52020.215144444432</v>
      </c>
      <c r="S5" s="71"/>
      <c r="T5" s="87"/>
      <c r="U5" s="135">
        <f>+U7+U18+U44</f>
        <v>2416217.1599999997</v>
      </c>
      <c r="W5" s="2"/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1">+E7+E11</f>
        <v>0</v>
      </c>
      <c r="F6" s="187">
        <f t="shared" si="1"/>
        <v>0</v>
      </c>
      <c r="G6" s="82">
        <f t="shared" si="1"/>
        <v>0</v>
      </c>
      <c r="H6" s="82">
        <f t="shared" si="1"/>
        <v>0</v>
      </c>
      <c r="I6" s="82">
        <f t="shared" si="1"/>
        <v>0</v>
      </c>
      <c r="J6" s="82">
        <f t="shared" si="1"/>
        <v>0</v>
      </c>
      <c r="K6" s="100">
        <f t="shared" si="1"/>
        <v>0</v>
      </c>
      <c r="L6" s="100">
        <f t="shared" si="1"/>
        <v>0</v>
      </c>
      <c r="M6" s="192">
        <f>+M7+M11</f>
        <v>0</v>
      </c>
      <c r="N6" s="19">
        <f>+N7+N11</f>
        <v>0</v>
      </c>
      <c r="O6" s="42">
        <f>+SUM(E6:N6)</f>
        <v>0</v>
      </c>
      <c r="P6" s="77">
        <f>+P7+P11</f>
        <v>0</v>
      </c>
      <c r="Q6" s="42">
        <f>+Q7+Q11</f>
        <v>0</v>
      </c>
      <c r="R6" s="44">
        <f>+R7+R11</f>
        <v>0</v>
      </c>
      <c r="T6" s="61"/>
      <c r="U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7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0</v>
      </c>
      <c r="J7" s="126">
        <f t="shared" si="2"/>
        <v>0</v>
      </c>
      <c r="K7" s="126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225">
        <f t="shared" si="3"/>
        <v>0</v>
      </c>
      <c r="P7" s="79">
        <f t="shared" si="3"/>
        <v>0</v>
      </c>
      <c r="Q7" s="79">
        <f t="shared" si="3"/>
        <v>0</v>
      </c>
      <c r="R7" s="240">
        <f t="shared" si="3"/>
        <v>0</v>
      </c>
      <c r="S7" s="71"/>
      <c r="T7" s="134"/>
      <c r="U7" s="105">
        <f>+SUM(U8:U17)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24">
        <f>+SUM(E8:N8)</f>
        <v>0</v>
      </c>
      <c r="P8" s="127">
        <f t="shared" ref="P8:P53" si="4">+O8/1.09</f>
        <v>0</v>
      </c>
      <c r="Q8" s="5">
        <f t="shared" ref="Q8:Q17" si="5">+O8-P8</f>
        <v>0</v>
      </c>
      <c r="R8" s="94">
        <f>+O8/D8</f>
        <v>0</v>
      </c>
      <c r="S8" s="71"/>
      <c r="T8" s="61"/>
      <c r="U8" s="13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6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24">
        <f>+SUM(E9:N9)</f>
        <v>0</v>
      </c>
      <c r="P9" s="127">
        <f t="shared" si="4"/>
        <v>0</v>
      </c>
      <c r="Q9" s="26">
        <f t="shared" si="5"/>
        <v>0</v>
      </c>
      <c r="R9" s="94">
        <f>+O9/D9</f>
        <v>0</v>
      </c>
      <c r="S9" s="71"/>
      <c r="T9" s="61">
        <v>1.75</v>
      </c>
      <c r="U9" s="13">
        <f>+R9*T9</f>
        <v>0</v>
      </c>
    </row>
    <row r="10" spans="1:24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26">
        <f>+SUM(E10:N10)</f>
        <v>0</v>
      </c>
      <c r="P10" s="26">
        <f t="shared" si="4"/>
        <v>0</v>
      </c>
      <c r="Q10" s="26">
        <f t="shared" si="5"/>
        <v>0</v>
      </c>
      <c r="R10" s="39">
        <f>O10/D10</f>
        <v>0</v>
      </c>
      <c r="S10" s="71"/>
      <c r="T10" s="107">
        <v>2.8</v>
      </c>
      <c r="U10" s="13">
        <f>+R10*T10</f>
        <v>0</v>
      </c>
      <c r="W10" s="138"/>
      <c r="X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R11" si="7">+SUM(E12:E17)</f>
        <v>0</v>
      </c>
      <c r="F11" s="84">
        <f t="shared" si="7"/>
        <v>0</v>
      </c>
      <c r="G11" s="84">
        <f t="shared" si="7"/>
        <v>0</v>
      </c>
      <c r="H11" s="84">
        <f t="shared" si="7"/>
        <v>0</v>
      </c>
      <c r="I11" s="84">
        <f t="shared" si="7"/>
        <v>0</v>
      </c>
      <c r="J11" s="74">
        <f t="shared" si="7"/>
        <v>0</v>
      </c>
      <c r="K11" s="101">
        <f t="shared" si="7"/>
        <v>0</v>
      </c>
      <c r="L11" s="101">
        <f t="shared" si="7"/>
        <v>0</v>
      </c>
      <c r="M11" s="101">
        <f t="shared" si="7"/>
        <v>0</v>
      </c>
      <c r="N11" s="101">
        <f t="shared" si="7"/>
        <v>0</v>
      </c>
      <c r="O11" s="43">
        <f t="shared" si="7"/>
        <v>0</v>
      </c>
      <c r="P11" s="72">
        <f t="shared" si="7"/>
        <v>0</v>
      </c>
      <c r="Q11" s="43">
        <f t="shared" si="7"/>
        <v>0</v>
      </c>
      <c r="R11" s="45">
        <f t="shared" si="7"/>
        <v>0</v>
      </c>
      <c r="S11" s="71"/>
      <c r="T11" s="61"/>
      <c r="U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24">
        <f t="shared" ref="O12:O17" si="8">+SUM(E12:N12)</f>
        <v>0</v>
      </c>
      <c r="P12" s="127">
        <f t="shared" si="4"/>
        <v>0</v>
      </c>
      <c r="Q12" s="5">
        <f t="shared" si="5"/>
        <v>0</v>
      </c>
      <c r="R12" s="94">
        <f t="shared" ref="R12:R17" si="9">+O12/D12</f>
        <v>0</v>
      </c>
      <c r="S12" s="71"/>
      <c r="T12" s="61"/>
      <c r="U12" s="13"/>
      <c r="X12" s="104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24">
        <f t="shared" si="8"/>
        <v>0</v>
      </c>
      <c r="P13" s="127">
        <f t="shared" si="4"/>
        <v>0</v>
      </c>
      <c r="Q13" s="5">
        <f t="shared" si="5"/>
        <v>0</v>
      </c>
      <c r="R13" s="94">
        <f t="shared" si="9"/>
        <v>0</v>
      </c>
      <c r="S13" s="71"/>
      <c r="T13" s="107">
        <v>1.1000000000000001</v>
      </c>
      <c r="U13" s="13">
        <f t="shared" ref="U13:U14" si="10">+R13*T13</f>
        <v>0</v>
      </c>
      <c r="X13" s="104"/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24">
        <f t="shared" si="8"/>
        <v>0</v>
      </c>
      <c r="P14" s="127">
        <f t="shared" si="4"/>
        <v>0</v>
      </c>
      <c r="Q14" s="5">
        <f t="shared" si="5"/>
        <v>0</v>
      </c>
      <c r="R14" s="94">
        <f t="shared" si="9"/>
        <v>0</v>
      </c>
      <c r="S14" s="71"/>
      <c r="T14" s="61">
        <v>1.76</v>
      </c>
      <c r="U14" s="13">
        <f t="shared" si="10"/>
        <v>0</v>
      </c>
      <c r="X14" s="104"/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24">
        <f t="shared" si="8"/>
        <v>0</v>
      </c>
      <c r="P15" s="127">
        <f t="shared" si="4"/>
        <v>0</v>
      </c>
      <c r="Q15" s="5">
        <f t="shared" si="5"/>
        <v>0</v>
      </c>
      <c r="R15" s="94">
        <f t="shared" si="9"/>
        <v>0</v>
      </c>
      <c r="S15" s="71"/>
      <c r="T15" s="61"/>
      <c r="U15" s="13"/>
      <c r="X15" s="104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24">
        <f t="shared" si="8"/>
        <v>0</v>
      </c>
      <c r="P16" s="127">
        <f t="shared" si="4"/>
        <v>0</v>
      </c>
      <c r="Q16" s="5">
        <f t="shared" si="5"/>
        <v>0</v>
      </c>
      <c r="R16" s="94">
        <f t="shared" si="9"/>
        <v>0</v>
      </c>
      <c r="S16" s="71"/>
      <c r="T16" s="61">
        <v>1.6</v>
      </c>
      <c r="U16" s="13">
        <f t="shared" ref="U16:U17" si="11">+R16*T16</f>
        <v>0</v>
      </c>
      <c r="X16" s="104"/>
    </row>
    <row r="17" spans="1:32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24">
        <f t="shared" si="8"/>
        <v>0</v>
      </c>
      <c r="P17" s="127">
        <f t="shared" si="4"/>
        <v>0</v>
      </c>
      <c r="Q17" s="5">
        <f t="shared" si="5"/>
        <v>0</v>
      </c>
      <c r="R17" s="94">
        <f t="shared" si="9"/>
        <v>0</v>
      </c>
      <c r="S17" s="71"/>
      <c r="T17" s="61">
        <v>2.56</v>
      </c>
      <c r="U17" s="13">
        <f t="shared" si="11"/>
        <v>0</v>
      </c>
      <c r="X17" s="104"/>
    </row>
    <row r="18" spans="1:32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50384.19</v>
      </c>
      <c r="F18" s="231">
        <f t="shared" ref="F18:N18" si="12">+SUM(F19:F43)</f>
        <v>2067928.3400000003</v>
      </c>
      <c r="G18" s="231">
        <f t="shared" si="12"/>
        <v>307732.26</v>
      </c>
      <c r="H18" s="231">
        <f t="shared" si="12"/>
        <v>52554.579999999994</v>
      </c>
      <c r="I18" s="231">
        <f t="shared" si="12"/>
        <v>0</v>
      </c>
      <c r="J18" s="231">
        <f t="shared" si="12"/>
        <v>0</v>
      </c>
      <c r="K18" s="231">
        <f t="shared" si="12"/>
        <v>0</v>
      </c>
      <c r="L18" s="231">
        <f t="shared" si="12"/>
        <v>0</v>
      </c>
      <c r="M18" s="231">
        <f t="shared" si="12"/>
        <v>12769.49</v>
      </c>
      <c r="N18" s="238">
        <f t="shared" si="12"/>
        <v>225380.43</v>
      </c>
      <c r="O18" s="42">
        <f>+SUM(O19:O43)</f>
        <v>2716749.29</v>
      </c>
      <c r="P18" s="42">
        <f t="shared" ref="P18:R18" si="13">+SUM(P19:P43)</f>
        <v>2492430.5412844028</v>
      </c>
      <c r="Q18" s="42">
        <f t="shared" si="13"/>
        <v>224318.74871559648</v>
      </c>
      <c r="R18" s="42">
        <f t="shared" si="13"/>
        <v>51421.248477777764</v>
      </c>
      <c r="S18" s="71"/>
      <c r="T18" s="61"/>
      <c r="U18" s="105">
        <f>+SUM(U19:U42)</f>
        <v>2407781.4399999995</v>
      </c>
    </row>
    <row r="19" spans="1:32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30306.67</v>
      </c>
      <c r="F19" s="127">
        <v>1178843.33</v>
      </c>
      <c r="G19" s="127">
        <v>169856.67</v>
      </c>
      <c r="H19" s="127">
        <v>26953.33</v>
      </c>
      <c r="I19" s="127"/>
      <c r="J19" s="127"/>
      <c r="K19" s="127"/>
      <c r="L19" s="127"/>
      <c r="M19" s="127">
        <v>7870</v>
      </c>
      <c r="N19" s="127">
        <v>111753.34</v>
      </c>
      <c r="O19" s="24">
        <f t="shared" ref="O19:O43" si="14">+SUM(E19:N19)</f>
        <v>1525583.34</v>
      </c>
      <c r="P19" s="127">
        <f t="shared" si="4"/>
        <v>1399617.7431192661</v>
      </c>
      <c r="Q19" s="24">
        <f>+O19-P19</f>
        <v>125965.59688073397</v>
      </c>
      <c r="R19" s="94">
        <f t="shared" ref="R19:R43" si="15">+O19/D19</f>
        <v>15255.833400000001</v>
      </c>
      <c r="S19" s="71"/>
      <c r="T19" s="61"/>
      <c r="U19" s="106"/>
      <c r="V19" s="112">
        <f>+R_2014_3_iškelta!E19-'R_2014_04_atkelta(viso)'!E19</f>
        <v>0</v>
      </c>
      <c r="W19" s="112">
        <f>+R_2014_3_iškelta!F19-'R_2014_04_atkelta(viso)'!F19</f>
        <v>0</v>
      </c>
      <c r="X19" s="112">
        <f>+R_2014_3_iškelta!G19-'R_2014_04_atkelta(viso)'!G19</f>
        <v>0</v>
      </c>
      <c r="Y19" s="112">
        <f>+R_2014_3_iškelta!H19-'R_2014_04_atkelta(viso)'!H19</f>
        <v>0</v>
      </c>
      <c r="Z19" s="112">
        <f>+R_2014_3_iškelta!I19-'R_2014_04_atkelta(viso)'!I19</f>
        <v>0</v>
      </c>
      <c r="AA19" s="112">
        <f>+R_2014_3_iškelta!J19-'R_2014_04_atkelta(viso)'!J19</f>
        <v>0</v>
      </c>
      <c r="AB19" s="112">
        <f>+R_2014_3_iškelta!K19-'R_2014_04_atkelta(viso)'!K19</f>
        <v>0</v>
      </c>
      <c r="AC19" s="112">
        <f>+R_2014_3_iškelta!L19-'R_2014_04_atkelta(viso)'!L19</f>
        <v>0</v>
      </c>
      <c r="AD19" s="112">
        <f>+R_2014_3_iškelta!M19-'R_2014_04_atkelta(viso)'!M19</f>
        <v>0</v>
      </c>
      <c r="AE19" s="112">
        <f>+R_2014_3_iškelta!N19-'R_2014_04_atkelta(viso)'!N19</f>
        <v>-193.33999999999651</v>
      </c>
      <c r="AF19" s="112">
        <f>+R_2014_3_iškelta!O19-'R_2014_04_atkelta(viso)'!O19</f>
        <v>-193.34000000008382</v>
      </c>
    </row>
    <row r="20" spans="1:32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4853.33</v>
      </c>
      <c r="F20" s="127">
        <v>333843.33</v>
      </c>
      <c r="G20" s="127">
        <v>44665</v>
      </c>
      <c r="H20" s="127">
        <v>9738.33</v>
      </c>
      <c r="I20" s="127"/>
      <c r="J20" s="127"/>
      <c r="K20" s="127"/>
      <c r="L20" s="127"/>
      <c r="M20" s="127">
        <v>2560</v>
      </c>
      <c r="N20" s="127">
        <v>6140</v>
      </c>
      <c r="O20" s="24">
        <f t="shared" si="14"/>
        <v>401799.99000000005</v>
      </c>
      <c r="P20" s="127">
        <f t="shared" si="4"/>
        <v>368623.84403669729</v>
      </c>
      <c r="Q20" s="5">
        <f t="shared" ref="Q20:Q43" si="16">+O20-P20</f>
        <v>33176.145963302755</v>
      </c>
      <c r="R20" s="94">
        <f t="shared" si="15"/>
        <v>8035.9998000000014</v>
      </c>
      <c r="S20" s="71"/>
      <c r="T20" s="61">
        <v>50</v>
      </c>
      <c r="U20" s="13">
        <f t="shared" ref="U20:U21" si="17">+R20*T20</f>
        <v>401799.99000000005</v>
      </c>
      <c r="V20" s="112">
        <f>+R_2014_3_iškelta!E20-'R_2014_04_atkelta(viso)'!E20</f>
        <v>0</v>
      </c>
      <c r="W20" s="112">
        <f>+R_2014_3_iškelta!F20-'R_2014_04_atkelta(viso)'!F20</f>
        <v>0</v>
      </c>
      <c r="X20" s="112">
        <f>+R_2014_3_iškelta!G20-'R_2014_04_atkelta(viso)'!G20</f>
        <v>0</v>
      </c>
      <c r="Y20" s="112">
        <f>+R_2014_3_iškelta!H20-'R_2014_04_atkelta(viso)'!H20</f>
        <v>0</v>
      </c>
      <c r="Z20" s="112">
        <f>+R_2014_3_iškelta!I20-'R_2014_04_atkelta(viso)'!I20</f>
        <v>0</v>
      </c>
      <c r="AA20" s="112">
        <f>+R_2014_3_iškelta!J20-'R_2014_04_atkelta(viso)'!J20</f>
        <v>0</v>
      </c>
      <c r="AB20" s="112">
        <f>+R_2014_3_iškelta!K20-'R_2014_04_atkelta(viso)'!K20</f>
        <v>0</v>
      </c>
      <c r="AC20" s="112">
        <f>+R_2014_3_iškelta!L20-'R_2014_04_atkelta(viso)'!L20</f>
        <v>0</v>
      </c>
      <c r="AD20" s="112">
        <f>+R_2014_3_iškelta!M20-'R_2014_04_atkelta(viso)'!M20</f>
        <v>0</v>
      </c>
      <c r="AE20" s="112">
        <f>+R_2014_3_iškelta!N20-'R_2014_04_atkelta(viso)'!N20</f>
        <v>0</v>
      </c>
      <c r="AF20" s="112">
        <f>+R_2014_3_iškelta!O20-'R_2014_04_atkelta(viso)'!O20</f>
        <v>0</v>
      </c>
    </row>
    <row r="21" spans="1:32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725.33+7825.33</f>
        <v>8550.66</v>
      </c>
      <c r="F21" s="127">
        <f>4208+338942.67</f>
        <v>343150.67</v>
      </c>
      <c r="G21" s="127">
        <f>765.33+58485.33</f>
        <v>59250.66</v>
      </c>
      <c r="H21" s="127">
        <v>5519.33</v>
      </c>
      <c r="I21" s="2"/>
      <c r="J21" s="127"/>
      <c r="K21" s="127"/>
      <c r="L21" s="127"/>
      <c r="M21" s="127">
        <f>33.33+899.33</f>
        <v>932.66000000000008</v>
      </c>
      <c r="N21" s="127">
        <f>344+34603.33</f>
        <v>34947.33</v>
      </c>
      <c r="O21" s="24">
        <f t="shared" si="14"/>
        <v>452351.31</v>
      </c>
      <c r="P21" s="127">
        <f t="shared" si="4"/>
        <v>415001.20183486235</v>
      </c>
      <c r="Q21" s="5">
        <f t="shared" si="16"/>
        <v>37350.108165137644</v>
      </c>
      <c r="R21" s="94">
        <f t="shared" si="15"/>
        <v>22617.565500000001</v>
      </c>
      <c r="S21" s="71"/>
      <c r="T21" s="61">
        <v>80</v>
      </c>
      <c r="U21" s="13">
        <f t="shared" si="17"/>
        <v>1809405.24</v>
      </c>
      <c r="V21" s="112">
        <f>+R_2014_3_iškelta!E21-'R_2014_04_atkelta(viso)'!E21</f>
        <v>1.0000000000218279E-2</v>
      </c>
      <c r="W21" s="112">
        <f>+R_2014_3_iškelta!F21-'R_2014_04_atkelta(viso)'!F21</f>
        <v>0</v>
      </c>
      <c r="X21" s="112">
        <f>+R_2014_3_iškelta!G21-'R_2014_04_atkelta(viso)'!G21</f>
        <v>0</v>
      </c>
      <c r="Y21" s="112">
        <f>+R_2014_3_iškelta!H21-'R_2014_04_atkelta(viso)'!H21</f>
        <v>0</v>
      </c>
      <c r="Z21" s="112">
        <f>+R_2014_3_iškelta!I21-'R_2014_04_atkelta(viso)'!I21</f>
        <v>0</v>
      </c>
      <c r="AA21" s="112">
        <f>+R_2014_3_iškelta!J21-'R_2014_04_atkelta(viso)'!J21</f>
        <v>0</v>
      </c>
      <c r="AB21" s="112">
        <f>+R_2014_3_iškelta!K21-'R_2014_04_atkelta(viso)'!K21</f>
        <v>0</v>
      </c>
      <c r="AC21" s="112">
        <f>+R_2014_3_iškelta!L21-'R_2014_04_atkelta(viso)'!L21</f>
        <v>0</v>
      </c>
      <c r="AD21" s="112">
        <f>+R_2014_3_iškelta!M21-'R_2014_04_atkelta(viso)'!M21</f>
        <v>0</v>
      </c>
      <c r="AE21" s="112">
        <f>+R_2014_3_iškelta!N21-'R_2014_04_atkelta(viso)'!N21</f>
        <v>-381.99000000000524</v>
      </c>
      <c r="AF21" s="112">
        <f>+R_2014_3_iškelta!O21-'R_2014_04_atkelta(viso)'!O21</f>
        <v>-381.98000000003958</v>
      </c>
    </row>
    <row r="22" spans="1:32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4764</v>
      </c>
      <c r="F22" s="127">
        <v>161760</v>
      </c>
      <c r="G22" s="127">
        <v>27165</v>
      </c>
      <c r="H22" s="127">
        <v>5271</v>
      </c>
      <c r="I22" s="127"/>
      <c r="J22" s="127"/>
      <c r="K22" s="127"/>
      <c r="L22" s="127"/>
      <c r="M22" s="127">
        <v>1197</v>
      </c>
      <c r="N22" s="127">
        <v>39768</v>
      </c>
      <c r="O22" s="24">
        <f t="shared" si="14"/>
        <v>239925</v>
      </c>
      <c r="P22" s="127">
        <f t="shared" si="4"/>
        <v>220114.67889908256</v>
      </c>
      <c r="Q22" s="5">
        <f t="shared" si="16"/>
        <v>19810.321100917441</v>
      </c>
      <c r="R22" s="94">
        <f t="shared" si="15"/>
        <v>2665.8333333333335</v>
      </c>
      <c r="S22" s="71"/>
      <c r="T22" s="61"/>
      <c r="U22" s="13"/>
      <c r="V22" s="112">
        <f>+R_2014_3_iškelta!E22-'R_2014_04_atkelta(viso)'!E22</f>
        <v>0</v>
      </c>
      <c r="W22" s="112">
        <f>+R_2014_3_iškelta!F22-'R_2014_04_atkelta(viso)'!F22</f>
        <v>0</v>
      </c>
      <c r="X22" s="112">
        <f>+R_2014_3_iškelta!G22-'R_2014_04_atkelta(viso)'!G22</f>
        <v>0</v>
      </c>
      <c r="Y22" s="112">
        <f>+R_2014_3_iškelta!H22-'R_2014_04_atkelta(viso)'!H22</f>
        <v>0</v>
      </c>
      <c r="Z22" s="112">
        <f>+R_2014_3_iškelta!I22-'R_2014_04_atkelta(viso)'!I22</f>
        <v>0</v>
      </c>
      <c r="AA22" s="112">
        <f>+R_2014_3_iškelta!J22-'R_2014_04_atkelta(viso)'!J22</f>
        <v>0</v>
      </c>
      <c r="AB22" s="112">
        <f>+R_2014_3_iškelta!K22-'R_2014_04_atkelta(viso)'!K22</f>
        <v>0</v>
      </c>
      <c r="AC22" s="112">
        <f>+R_2014_3_iškelta!L22-'R_2014_04_atkelta(viso)'!L22</f>
        <v>0</v>
      </c>
      <c r="AD22" s="112">
        <f>+R_2014_3_iškelta!M22-'R_2014_04_atkelta(viso)'!M22</f>
        <v>0</v>
      </c>
      <c r="AE22" s="112">
        <f>+R_2014_3_iškelta!N22-'R_2014_04_atkelta(viso)'!N22</f>
        <v>0</v>
      </c>
      <c r="AF22" s="112">
        <f>+R_2014_3_iškelta!O22-'R_2014_04_atkelta(viso)'!O22</f>
        <v>0</v>
      </c>
    </row>
    <row r="23" spans="1:32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v>120</v>
      </c>
      <c r="F23" s="127">
        <v>8584.5</v>
      </c>
      <c r="G23" s="127">
        <v>1429.5</v>
      </c>
      <c r="H23" s="127">
        <v>393</v>
      </c>
      <c r="I23" s="127"/>
      <c r="J23" s="127"/>
      <c r="K23" s="127"/>
      <c r="L23" s="127"/>
      <c r="M23" s="127">
        <v>100.5</v>
      </c>
      <c r="N23" s="127">
        <v>2181</v>
      </c>
      <c r="O23" s="24">
        <f t="shared" si="14"/>
        <v>12808.5</v>
      </c>
      <c r="P23" s="127">
        <f t="shared" si="4"/>
        <v>11750.91743119266</v>
      </c>
      <c r="Q23" s="5">
        <f t="shared" si="16"/>
        <v>1057.5825688073401</v>
      </c>
      <c r="R23" s="94">
        <f t="shared" si="15"/>
        <v>284.63333333333333</v>
      </c>
      <c r="S23" s="71"/>
      <c r="T23" s="61">
        <v>45</v>
      </c>
      <c r="U23" s="13">
        <f t="shared" ref="U23:U24" si="18">+R23*T23</f>
        <v>12808.5</v>
      </c>
      <c r="V23" s="112">
        <f>+R_2014_3_iškelta!E23-'R_2014_04_atkelta(viso)'!E23</f>
        <v>0</v>
      </c>
      <c r="W23" s="112">
        <f>+R_2014_3_iškelta!F23-'R_2014_04_atkelta(viso)'!F23</f>
        <v>0</v>
      </c>
      <c r="X23" s="112">
        <f>+R_2014_3_iškelta!G23-'R_2014_04_atkelta(viso)'!G23</f>
        <v>0</v>
      </c>
      <c r="Y23" s="112">
        <f>+R_2014_3_iškelta!H23-'R_2014_04_atkelta(viso)'!H23</f>
        <v>0</v>
      </c>
      <c r="Z23" s="112">
        <f>+R_2014_3_iškelta!I23-'R_2014_04_atkelta(viso)'!I23</f>
        <v>0</v>
      </c>
      <c r="AA23" s="112">
        <f>+R_2014_3_iškelta!J23-'R_2014_04_atkelta(viso)'!J23</f>
        <v>0</v>
      </c>
      <c r="AB23" s="112">
        <f>+R_2014_3_iškelta!K23-'R_2014_04_atkelta(viso)'!K23</f>
        <v>0</v>
      </c>
      <c r="AC23" s="112">
        <f>+R_2014_3_iškelta!L23-'R_2014_04_atkelta(viso)'!L23</f>
        <v>0</v>
      </c>
      <c r="AD23" s="112">
        <f>+R_2014_3_iškelta!M23-'R_2014_04_atkelta(viso)'!M23</f>
        <v>0</v>
      </c>
      <c r="AE23" s="112">
        <f>+R_2014_3_iškelta!N23-'R_2014_04_atkelta(viso)'!N23</f>
        <v>0</v>
      </c>
      <c r="AF23" s="112">
        <f>+R_2014_3_iškelta!O23-'R_2014_04_atkelta(viso)'!O23</f>
        <v>0</v>
      </c>
    </row>
    <row r="24" spans="1:32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39.6+399</f>
        <v>438.6</v>
      </c>
      <c r="F24" s="127">
        <f>70.2+7755.6</f>
        <v>7825.8</v>
      </c>
      <c r="G24" s="127">
        <v>1236.5999999999999</v>
      </c>
      <c r="H24" s="127">
        <v>91.2</v>
      </c>
      <c r="I24" s="127"/>
      <c r="J24" s="127"/>
      <c r="K24" s="127"/>
      <c r="L24" s="127"/>
      <c r="M24" s="127">
        <v>26.4</v>
      </c>
      <c r="N24" s="127">
        <f>61.2+2246.4</f>
        <v>2307.6</v>
      </c>
      <c r="O24" s="24">
        <f t="shared" si="14"/>
        <v>11926.2</v>
      </c>
      <c r="P24" s="127">
        <f t="shared" si="4"/>
        <v>10941.467889908257</v>
      </c>
      <c r="Q24" s="5">
        <f t="shared" si="16"/>
        <v>984.73211009174338</v>
      </c>
      <c r="R24" s="94">
        <f t="shared" si="15"/>
        <v>662.56666666666672</v>
      </c>
      <c r="S24" s="71"/>
      <c r="T24" s="61">
        <v>72</v>
      </c>
      <c r="U24" s="13">
        <f t="shared" si="18"/>
        <v>47704.800000000003</v>
      </c>
      <c r="V24" s="112">
        <f>+R_2014_3_iškelta!E24-'R_2014_04_atkelta(viso)'!E24</f>
        <v>0</v>
      </c>
      <c r="W24" s="112">
        <f>+R_2014_3_iškelta!F24-'R_2014_04_atkelta(viso)'!F24</f>
        <v>0</v>
      </c>
      <c r="X24" s="112">
        <f>+R_2014_3_iškelta!G24-'R_2014_04_atkelta(viso)'!G24</f>
        <v>0</v>
      </c>
      <c r="Y24" s="112">
        <f>+R_2014_3_iškelta!H24-'R_2014_04_atkelta(viso)'!H24</f>
        <v>0</v>
      </c>
      <c r="Z24" s="112">
        <f>+R_2014_3_iškelta!I24-'R_2014_04_atkelta(viso)'!I24</f>
        <v>0</v>
      </c>
      <c r="AA24" s="112">
        <f>+R_2014_3_iškelta!J24-'R_2014_04_atkelta(viso)'!J24</f>
        <v>0</v>
      </c>
      <c r="AB24" s="112">
        <f>+R_2014_3_iškelta!K24-'R_2014_04_atkelta(viso)'!K24</f>
        <v>0</v>
      </c>
      <c r="AC24" s="112">
        <f>+R_2014_3_iškelta!L24-'R_2014_04_atkelta(viso)'!L24</f>
        <v>0</v>
      </c>
      <c r="AD24" s="112">
        <f>+R_2014_3_iškelta!M24-'R_2014_04_atkelta(viso)'!M24</f>
        <v>0</v>
      </c>
      <c r="AE24" s="112">
        <f>+R_2014_3_iškelta!N24-'R_2014_04_atkelta(viso)'!N24</f>
        <v>-40.800000000000182</v>
      </c>
      <c r="AF24" s="112">
        <f>+R_2014_3_iškelta!O24-'R_2014_04_atkelta(viso)'!O24</f>
        <v>-40.800000000001091</v>
      </c>
    </row>
    <row r="25" spans="1:32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7">
        <v>100</v>
      </c>
      <c r="F25" s="127">
        <v>2686.67</v>
      </c>
      <c r="G25" s="127">
        <v>400</v>
      </c>
      <c r="H25" s="127">
        <f>200+200</f>
        <v>400</v>
      </c>
      <c r="I25" s="127"/>
      <c r="J25" s="127"/>
      <c r="K25" s="127"/>
      <c r="L25" s="127"/>
      <c r="M25" s="127"/>
      <c r="N25" s="127">
        <v>3610</v>
      </c>
      <c r="O25" s="24">
        <f t="shared" si="14"/>
        <v>7196.67</v>
      </c>
      <c r="P25" s="127">
        <f t="shared" si="4"/>
        <v>6602.4495412844035</v>
      </c>
      <c r="Q25" s="5">
        <f t="shared" si="16"/>
        <v>594.22045871559658</v>
      </c>
      <c r="R25" s="94">
        <f t="shared" si="15"/>
        <v>23.988900000000001</v>
      </c>
      <c r="S25" s="71"/>
      <c r="T25" s="61"/>
      <c r="U25" s="13"/>
      <c r="V25" s="112"/>
      <c r="W25" s="102"/>
    </row>
    <row r="26" spans="1:32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3853.33</v>
      </c>
      <c r="G26" s="127">
        <v>450</v>
      </c>
      <c r="H26" s="127">
        <f>135+150+250</f>
        <v>535</v>
      </c>
      <c r="I26" s="127"/>
      <c r="J26" s="127"/>
      <c r="K26" s="127"/>
      <c r="L26" s="127"/>
      <c r="M26" s="127"/>
      <c r="N26" s="127">
        <v>1031.67</v>
      </c>
      <c r="O26" s="24">
        <f t="shared" si="14"/>
        <v>5870</v>
      </c>
      <c r="P26" s="127">
        <f t="shared" si="4"/>
        <v>5385.3211009174311</v>
      </c>
      <c r="Q26" s="5">
        <f t="shared" si="16"/>
        <v>484.67889908256893</v>
      </c>
      <c r="R26" s="94">
        <f t="shared" si="15"/>
        <v>39.133333333333333</v>
      </c>
      <c r="S26" s="71"/>
      <c r="T26" s="61">
        <v>150</v>
      </c>
      <c r="U26" s="13">
        <f t="shared" ref="U26:U42" si="19">+R26*T26</f>
        <v>5870</v>
      </c>
      <c r="V26" s="112"/>
      <c r="W26" s="102"/>
    </row>
    <row r="27" spans="1:32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120+283.33</f>
        <v>403.33</v>
      </c>
      <c r="F27" s="127">
        <f>140.67+11281.33</f>
        <v>11422</v>
      </c>
      <c r="G27" s="127">
        <f>40+1531.33</f>
        <v>1571.33</v>
      </c>
      <c r="H27" s="127">
        <f>134+460+260</f>
        <v>854</v>
      </c>
      <c r="I27" s="127"/>
      <c r="J27" s="127"/>
      <c r="K27" s="127"/>
      <c r="L27" s="127"/>
      <c r="M27" s="127">
        <f>20+40</f>
        <v>60</v>
      </c>
      <c r="N27" s="127">
        <f>201.33+9089.33</f>
        <v>9290.66</v>
      </c>
      <c r="O27" s="24">
        <f t="shared" si="14"/>
        <v>23601.32</v>
      </c>
      <c r="P27" s="127">
        <f t="shared" si="4"/>
        <v>21652.587155963301</v>
      </c>
      <c r="Q27" s="5">
        <f t="shared" si="16"/>
        <v>1948.7328440366982</v>
      </c>
      <c r="R27" s="94">
        <f t="shared" si="15"/>
        <v>393.35533333333331</v>
      </c>
      <c r="S27" s="71"/>
      <c r="T27" s="61">
        <v>240</v>
      </c>
      <c r="U27" s="13">
        <f t="shared" si="19"/>
        <v>94405.28</v>
      </c>
    </row>
    <row r="28" spans="1:32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834</v>
      </c>
      <c r="G28" s="127">
        <v>90</v>
      </c>
      <c r="H28" s="127">
        <f>72+270</f>
        <v>342</v>
      </c>
      <c r="I28" s="127"/>
      <c r="J28" s="127"/>
      <c r="K28" s="127"/>
      <c r="L28" s="127"/>
      <c r="M28" s="127"/>
      <c r="N28" s="127">
        <v>8385</v>
      </c>
      <c r="O28" s="24">
        <f t="shared" si="14"/>
        <v>9651</v>
      </c>
      <c r="P28" s="127">
        <f t="shared" si="4"/>
        <v>8854.1284403669724</v>
      </c>
      <c r="Q28" s="5">
        <f t="shared" si="16"/>
        <v>796.87155963302757</v>
      </c>
      <c r="R28" s="94">
        <f t="shared" si="15"/>
        <v>35.744444444444447</v>
      </c>
      <c r="S28" s="71"/>
      <c r="T28" s="61"/>
      <c r="U28" s="13"/>
    </row>
    <row r="29" spans="1:32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180</v>
      </c>
      <c r="G29" s="127"/>
      <c r="H29" s="127">
        <f>45+45</f>
        <v>90</v>
      </c>
      <c r="I29" s="127"/>
      <c r="J29" s="127"/>
      <c r="K29" s="127"/>
      <c r="L29" s="127"/>
      <c r="M29" s="127"/>
      <c r="N29" s="127">
        <v>102</v>
      </c>
      <c r="O29" s="24">
        <f t="shared" si="14"/>
        <v>372</v>
      </c>
      <c r="P29" s="127">
        <f t="shared" si="4"/>
        <v>341.28440366972472</v>
      </c>
      <c r="Q29" s="5">
        <f t="shared" si="16"/>
        <v>30.715596330275275</v>
      </c>
      <c r="R29" s="94">
        <f t="shared" si="15"/>
        <v>2.7555555555555555</v>
      </c>
      <c r="S29" s="71"/>
      <c r="T29" s="61">
        <v>135</v>
      </c>
      <c r="U29" s="13">
        <f t="shared" si="19"/>
        <v>372</v>
      </c>
    </row>
    <row r="30" spans="1:32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76.2</v>
      </c>
      <c r="F30" s="127">
        <v>235.2</v>
      </c>
      <c r="G30" s="127">
        <v>1.2</v>
      </c>
      <c r="H30" s="127">
        <f>14.4+36+18</f>
        <v>68.400000000000006</v>
      </c>
      <c r="I30" s="127"/>
      <c r="J30" s="127"/>
      <c r="K30" s="127"/>
      <c r="L30" s="127"/>
      <c r="M30" s="127">
        <v>18</v>
      </c>
      <c r="N30" s="127">
        <f>9+755.4</f>
        <v>764.4</v>
      </c>
      <c r="O30" s="24">
        <f t="shared" si="14"/>
        <v>1163.4000000000001</v>
      </c>
      <c r="P30" s="127">
        <f t="shared" si="4"/>
        <v>1067.3394495412845</v>
      </c>
      <c r="Q30" s="5">
        <f t="shared" si="16"/>
        <v>96.060550458715625</v>
      </c>
      <c r="R30" s="94">
        <f t="shared" si="15"/>
        <v>21.544444444444448</v>
      </c>
      <c r="S30" s="71"/>
      <c r="T30" s="61">
        <v>216</v>
      </c>
      <c r="U30" s="13">
        <f t="shared" si="19"/>
        <v>4653.6000000000004</v>
      </c>
    </row>
    <row r="31" spans="1:32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100</v>
      </c>
      <c r="F31" s="127">
        <v>200</v>
      </c>
      <c r="G31" s="127">
        <v>16.670000000000002</v>
      </c>
      <c r="H31" s="127">
        <v>76.67</v>
      </c>
      <c r="I31" s="127"/>
      <c r="J31" s="127"/>
      <c r="K31" s="127"/>
      <c r="L31" s="127"/>
      <c r="M31" s="127"/>
      <c r="N31" s="127">
        <v>83.33</v>
      </c>
      <c r="O31" s="24">
        <f t="shared" si="14"/>
        <v>476.67</v>
      </c>
      <c r="P31" s="127">
        <f t="shared" si="4"/>
        <v>437.3119266055046</v>
      </c>
      <c r="Q31" s="5">
        <f t="shared" si="16"/>
        <v>39.35807339449542</v>
      </c>
      <c r="R31" s="94">
        <f t="shared" si="15"/>
        <v>0.79444999999999999</v>
      </c>
      <c r="S31" s="71"/>
      <c r="T31" s="61"/>
      <c r="U31" s="13"/>
    </row>
    <row r="32" spans="1:32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550</v>
      </c>
      <c r="G32" s="127">
        <v>50</v>
      </c>
      <c r="H32" s="127">
        <f>31.67+50+50+50</f>
        <v>181.67000000000002</v>
      </c>
      <c r="I32" s="127"/>
      <c r="J32" s="127"/>
      <c r="K32" s="127"/>
      <c r="L32" s="127"/>
      <c r="M32" s="127"/>
      <c r="N32" s="127">
        <v>170</v>
      </c>
      <c r="O32" s="24">
        <f t="shared" si="14"/>
        <v>951.67000000000007</v>
      </c>
      <c r="P32" s="127">
        <f t="shared" si="4"/>
        <v>873.09174311926608</v>
      </c>
      <c r="Q32" s="5">
        <f t="shared" si="16"/>
        <v>78.578256880733989</v>
      </c>
      <c r="R32" s="94">
        <f t="shared" si="15"/>
        <v>3.1722333333333337</v>
      </c>
      <c r="S32" s="71"/>
      <c r="T32" s="61">
        <v>300</v>
      </c>
      <c r="U32" s="13">
        <f t="shared" si="19"/>
        <v>951.67000000000007</v>
      </c>
    </row>
    <row r="33" spans="1:2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40</v>
      </c>
      <c r="F33" s="127">
        <f>80+1269.33</f>
        <v>1349.33</v>
      </c>
      <c r="G33" s="127">
        <v>145.33000000000001</v>
      </c>
      <c r="H33" s="127">
        <f>4.67+40</f>
        <v>44.67</v>
      </c>
      <c r="I33" s="127"/>
      <c r="J33" s="127"/>
      <c r="K33" s="127"/>
      <c r="L33" s="127"/>
      <c r="M33" s="127"/>
      <c r="N33" s="127">
        <f>44+1268</f>
        <v>1312</v>
      </c>
      <c r="O33" s="24">
        <f t="shared" si="14"/>
        <v>2891.33</v>
      </c>
      <c r="P33" s="127">
        <f t="shared" si="4"/>
        <v>2652.5963302752293</v>
      </c>
      <c r="Q33" s="5">
        <f t="shared" si="16"/>
        <v>238.73366972477061</v>
      </c>
      <c r="R33" s="94">
        <f t="shared" si="15"/>
        <v>24.094416666666667</v>
      </c>
      <c r="S33" s="71"/>
      <c r="T33" s="61">
        <v>480</v>
      </c>
      <c r="U33" s="13">
        <f t="shared" si="19"/>
        <v>11565.32</v>
      </c>
    </row>
    <row r="34" spans="1:2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1356</v>
      </c>
      <c r="O34" s="24">
        <f t="shared" si="14"/>
        <v>1356</v>
      </c>
      <c r="P34" s="127">
        <f t="shared" si="4"/>
        <v>1244.0366972477063</v>
      </c>
      <c r="Q34" s="5">
        <f t="shared" si="16"/>
        <v>111.96330275229366</v>
      </c>
      <c r="R34" s="94">
        <f t="shared" si="15"/>
        <v>2.5111111111111111</v>
      </c>
      <c r="S34" s="71"/>
      <c r="T34" s="61"/>
      <c r="U34" s="13"/>
    </row>
    <row r="35" spans="1:2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24">
        <f t="shared" si="14"/>
        <v>0</v>
      </c>
      <c r="P35" s="127">
        <f t="shared" si="4"/>
        <v>0</v>
      </c>
      <c r="Q35" s="5">
        <f t="shared" si="16"/>
        <v>0</v>
      </c>
      <c r="R35" s="94">
        <f t="shared" si="15"/>
        <v>0</v>
      </c>
      <c r="S35" s="71"/>
      <c r="T35" s="61">
        <v>270</v>
      </c>
      <c r="U35" s="13">
        <f t="shared" si="19"/>
        <v>0</v>
      </c>
    </row>
    <row r="36" spans="1:2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36</v>
      </c>
      <c r="F36" s="127">
        <v>72</v>
      </c>
      <c r="G36" s="127"/>
      <c r="H36" s="127"/>
      <c r="I36" s="127"/>
      <c r="J36" s="127"/>
      <c r="K36" s="127"/>
      <c r="L36" s="127"/>
      <c r="M36" s="127"/>
      <c r="N36" s="127">
        <v>171.6</v>
      </c>
      <c r="O36" s="24">
        <f t="shared" si="14"/>
        <v>279.60000000000002</v>
      </c>
      <c r="P36" s="127">
        <f t="shared" si="4"/>
        <v>256.51376146788994</v>
      </c>
      <c r="Q36" s="5">
        <f t="shared" si="16"/>
        <v>23.086238532110087</v>
      </c>
      <c r="R36" s="94">
        <f t="shared" si="15"/>
        <v>2.588888888888889</v>
      </c>
      <c r="S36" s="71"/>
      <c r="T36" s="61">
        <v>432</v>
      </c>
      <c r="U36" s="13">
        <f t="shared" si="19"/>
        <v>1118.4000000000001</v>
      </c>
    </row>
    <row r="37" spans="1:2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300</v>
      </c>
      <c r="F37" s="127">
        <v>100</v>
      </c>
      <c r="G37" s="127"/>
      <c r="H37" s="127"/>
      <c r="I37" s="127"/>
      <c r="J37" s="127"/>
      <c r="K37" s="127"/>
      <c r="L37" s="127"/>
      <c r="M37" s="127"/>
      <c r="N37" s="127">
        <v>100</v>
      </c>
      <c r="O37" s="24">
        <f t="shared" si="14"/>
        <v>500</v>
      </c>
      <c r="P37" s="127">
        <f t="shared" si="4"/>
        <v>458.71559633027522</v>
      </c>
      <c r="Q37" s="5">
        <f t="shared" si="16"/>
        <v>41.284403669724782</v>
      </c>
      <c r="R37" s="94">
        <f t="shared" si="15"/>
        <v>0.55555555555555558</v>
      </c>
      <c r="S37" s="71"/>
      <c r="T37" s="61"/>
      <c r="U37" s="13"/>
    </row>
    <row r="38" spans="1:2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50</v>
      </c>
      <c r="F38" s="127">
        <v>50</v>
      </c>
      <c r="G38" s="127"/>
      <c r="H38" s="127"/>
      <c r="I38" s="127"/>
      <c r="J38" s="127"/>
      <c r="K38" s="127"/>
      <c r="L38" s="127"/>
      <c r="M38" s="127"/>
      <c r="N38" s="127"/>
      <c r="O38" s="24">
        <f t="shared" si="14"/>
        <v>100</v>
      </c>
      <c r="P38" s="127">
        <f t="shared" si="4"/>
        <v>91.743119266055032</v>
      </c>
      <c r="Q38" s="5">
        <f t="shared" si="16"/>
        <v>8.2568807339449677</v>
      </c>
      <c r="R38" s="94">
        <f t="shared" si="15"/>
        <v>0.22222222222222221</v>
      </c>
      <c r="S38" s="71"/>
      <c r="T38" s="61">
        <v>450</v>
      </c>
      <c r="U38" s="13">
        <f t="shared" si="19"/>
        <v>100</v>
      </c>
    </row>
    <row r="39" spans="1:2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20+80</f>
        <v>100</v>
      </c>
      <c r="F39" s="127">
        <f>80+2103.33</f>
        <v>2183.33</v>
      </c>
      <c r="G39" s="127">
        <v>100</v>
      </c>
      <c r="H39" s="127">
        <f>6.67+80+60+20+20+20</f>
        <v>206.67000000000002</v>
      </c>
      <c r="I39" s="127"/>
      <c r="J39" s="127"/>
      <c r="K39" s="127"/>
      <c r="L39" s="127"/>
      <c r="M39" s="127"/>
      <c r="N39" s="127">
        <f>25.33+1173.33</f>
        <v>1198.6599999999999</v>
      </c>
      <c r="O39" s="24">
        <f t="shared" si="14"/>
        <v>3788.66</v>
      </c>
      <c r="P39" s="127">
        <f t="shared" si="4"/>
        <v>3475.8348623853208</v>
      </c>
      <c r="Q39" s="5">
        <f t="shared" si="16"/>
        <v>312.82513761467908</v>
      </c>
      <c r="R39" s="94">
        <f t="shared" si="15"/>
        <v>21.048111111111112</v>
      </c>
      <c r="S39" s="71"/>
      <c r="T39" s="61">
        <v>720</v>
      </c>
      <c r="U39" s="13">
        <f t="shared" si="19"/>
        <v>15154.640000000001</v>
      </c>
    </row>
    <row r="40" spans="1:2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450</v>
      </c>
      <c r="O40" s="24">
        <f t="shared" si="14"/>
        <v>450</v>
      </c>
      <c r="P40" s="127">
        <f t="shared" si="4"/>
        <v>412.8440366972477</v>
      </c>
      <c r="Q40" s="5">
        <f t="shared" si="16"/>
        <v>37.155963302752298</v>
      </c>
      <c r="R40" s="94">
        <f t="shared" si="15"/>
        <v>0.55555555555555558</v>
      </c>
      <c r="S40" s="71"/>
      <c r="T40" s="61"/>
      <c r="U40" s="13"/>
    </row>
    <row r="41" spans="1:2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24">
        <f t="shared" si="14"/>
        <v>0</v>
      </c>
      <c r="P41" s="127">
        <f t="shared" si="4"/>
        <v>0</v>
      </c>
      <c r="Q41" s="5">
        <f t="shared" si="16"/>
        <v>0</v>
      </c>
      <c r="R41" s="94">
        <f t="shared" si="15"/>
        <v>0</v>
      </c>
      <c r="S41" s="71"/>
      <c r="T41" s="61">
        <v>405</v>
      </c>
      <c r="U41" s="13">
        <f t="shared" si="19"/>
        <v>0</v>
      </c>
    </row>
    <row r="42" spans="1:2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>
        <v>18</v>
      </c>
      <c r="F42" s="221">
        <v>198</v>
      </c>
      <c r="G42" s="221">
        <v>18</v>
      </c>
      <c r="H42" s="221"/>
      <c r="I42" s="221"/>
      <c r="J42" s="221"/>
      <c r="K42" s="221"/>
      <c r="L42" s="221"/>
      <c r="M42" s="221"/>
      <c r="N42" s="221">
        <f>18+216</f>
        <v>234</v>
      </c>
      <c r="O42" s="243">
        <f t="shared" si="14"/>
        <v>468</v>
      </c>
      <c r="P42" s="221">
        <f t="shared" si="4"/>
        <v>429.35779816513758</v>
      </c>
      <c r="Q42" s="26">
        <f t="shared" si="16"/>
        <v>38.642201834862419</v>
      </c>
      <c r="R42" s="244">
        <f t="shared" si="15"/>
        <v>2.8888888888888888</v>
      </c>
      <c r="S42" s="71"/>
      <c r="T42" s="61">
        <v>648</v>
      </c>
      <c r="U42" s="13">
        <f t="shared" si="19"/>
        <v>1872</v>
      </c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127.4</v>
      </c>
      <c r="F43" s="124">
        <v>10006.85</v>
      </c>
      <c r="G43" s="124">
        <v>1286.3</v>
      </c>
      <c r="H43" s="124">
        <f>1371.78+253.97+163.56</f>
        <v>1789.31</v>
      </c>
      <c r="I43" s="124"/>
      <c r="J43" s="124"/>
      <c r="K43" s="124"/>
      <c r="L43" s="124"/>
      <c r="M43" s="124">
        <v>4.93</v>
      </c>
      <c r="N43" s="124">
        <v>23.84</v>
      </c>
      <c r="O43" s="6">
        <f t="shared" si="14"/>
        <v>13238.63</v>
      </c>
      <c r="P43" s="124">
        <f t="shared" si="4"/>
        <v>12145.532110091741</v>
      </c>
      <c r="Q43" s="6">
        <f t="shared" si="16"/>
        <v>1093.0978899082584</v>
      </c>
      <c r="R43" s="22">
        <f t="shared" si="15"/>
        <v>1323.8629999999998</v>
      </c>
      <c r="S43" s="71"/>
      <c r="T43" s="61"/>
      <c r="U43" s="13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442.73</v>
      </c>
      <c r="F44" s="82">
        <f>+SUM(F45:F53)</f>
        <v>10533.08</v>
      </c>
      <c r="G44" s="82">
        <f t="shared" ref="G44:R44" si="20">+SUM(G45:G53)</f>
        <v>1658.7400000000002</v>
      </c>
      <c r="H44" s="82">
        <f t="shared" si="20"/>
        <v>485.46</v>
      </c>
      <c r="I44" s="82">
        <f t="shared" si="20"/>
        <v>0</v>
      </c>
      <c r="J44" s="82">
        <f t="shared" si="20"/>
        <v>0</v>
      </c>
      <c r="K44" s="82">
        <f t="shared" si="20"/>
        <v>0</v>
      </c>
      <c r="L44" s="82">
        <f t="shared" si="20"/>
        <v>0</v>
      </c>
      <c r="M44" s="100">
        <f t="shared" si="20"/>
        <v>44.72</v>
      </c>
      <c r="N44" s="100">
        <f t="shared" si="20"/>
        <v>883.85</v>
      </c>
      <c r="O44" s="42">
        <f>+SUM(O45:O53)</f>
        <v>14048.58</v>
      </c>
      <c r="P44" s="82">
        <f t="shared" si="20"/>
        <v>12888.605504587156</v>
      </c>
      <c r="Q44" s="77">
        <f t="shared" si="20"/>
        <v>1159.9744954128455</v>
      </c>
      <c r="R44" s="44">
        <f t="shared" si="20"/>
        <v>598.9666666666667</v>
      </c>
      <c r="S44" s="71"/>
      <c r="T44" s="61"/>
      <c r="U44" s="105">
        <f>+SUM(U45:U61)</f>
        <v>8435.7200000000012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24">
        <f t="shared" ref="O45:O53" si="21">+SUM(E45:N45)</f>
        <v>0</v>
      </c>
      <c r="P45" s="127">
        <f t="shared" si="4"/>
        <v>0</v>
      </c>
      <c r="Q45" s="24">
        <f t="shared" ref="Q45:Q53" si="22">+O45-P45</f>
        <v>0</v>
      </c>
      <c r="R45" s="94">
        <f t="shared" ref="R45:R53" si="23">+O45/D45</f>
        <v>0</v>
      </c>
      <c r="S45" s="71"/>
      <c r="T45" s="61"/>
      <c r="U45" s="13"/>
      <c r="V45" s="112"/>
      <c r="W45"/>
      <c r="X45"/>
    </row>
    <row r="46" spans="1:2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24">
        <f t="shared" si="21"/>
        <v>0</v>
      </c>
      <c r="P46" s="127">
        <f t="shared" si="4"/>
        <v>0</v>
      </c>
      <c r="Q46" s="5">
        <f t="shared" si="22"/>
        <v>0</v>
      </c>
      <c r="R46" s="94">
        <f t="shared" si="23"/>
        <v>0</v>
      </c>
      <c r="S46" s="71"/>
      <c r="T46" s="61">
        <v>6</v>
      </c>
      <c r="U46" s="13">
        <f t="shared" ref="U46:U47" si="24">+R46*T46</f>
        <v>0</v>
      </c>
      <c r="V46" s="112"/>
    </row>
    <row r="47" spans="1:2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24">
        <f t="shared" si="21"/>
        <v>0</v>
      </c>
      <c r="P47" s="127">
        <f t="shared" si="4"/>
        <v>0</v>
      </c>
      <c r="Q47" s="5">
        <f t="shared" si="22"/>
        <v>0</v>
      </c>
      <c r="R47" s="94">
        <f t="shared" si="23"/>
        <v>0</v>
      </c>
      <c r="S47" s="71"/>
      <c r="T47" s="61">
        <v>9.6</v>
      </c>
      <c r="U47" s="13">
        <f t="shared" si="24"/>
        <v>0</v>
      </c>
      <c r="V47" s="112"/>
    </row>
    <row r="48" spans="1:2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/>
      <c r="F48" s="127">
        <v>385</v>
      </c>
      <c r="G48" s="127">
        <v>56</v>
      </c>
      <c r="H48" s="127">
        <v>14</v>
      </c>
      <c r="I48" s="127"/>
      <c r="J48" s="127"/>
      <c r="K48" s="127"/>
      <c r="L48" s="127"/>
      <c r="M48" s="127"/>
      <c r="N48" s="127">
        <v>49</v>
      </c>
      <c r="O48" s="24">
        <f t="shared" si="21"/>
        <v>504</v>
      </c>
      <c r="P48" s="127">
        <f t="shared" si="4"/>
        <v>462.38532110091739</v>
      </c>
      <c r="Q48" s="5">
        <f t="shared" si="22"/>
        <v>41.614678899082605</v>
      </c>
      <c r="R48" s="94">
        <f t="shared" si="23"/>
        <v>24</v>
      </c>
      <c r="S48" s="71"/>
      <c r="T48" s="61"/>
      <c r="U48" s="13"/>
      <c r="V48" s="112"/>
      <c r="W48" s="2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21</v>
      </c>
      <c r="G49" s="127">
        <v>7</v>
      </c>
      <c r="H49" s="127">
        <v>7</v>
      </c>
      <c r="I49" s="127"/>
      <c r="J49" s="127"/>
      <c r="K49" s="127"/>
      <c r="L49" s="127"/>
      <c r="M49" s="127">
        <v>7</v>
      </c>
      <c r="N49" s="127"/>
      <c r="O49" s="24">
        <f t="shared" si="21"/>
        <v>42</v>
      </c>
      <c r="P49" s="127">
        <f t="shared" si="4"/>
        <v>38.532110091743114</v>
      </c>
      <c r="Q49" s="5">
        <f t="shared" si="22"/>
        <v>3.4678899082568861</v>
      </c>
      <c r="R49" s="94">
        <f t="shared" si="23"/>
        <v>4</v>
      </c>
      <c r="S49" s="71"/>
      <c r="T49" s="61">
        <v>10.5</v>
      </c>
      <c r="U49" s="13">
        <f t="shared" ref="U49:U50" si="25">+R49*T49</f>
        <v>42</v>
      </c>
      <c r="V49" s="112"/>
      <c r="W49" s="2"/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2.8</v>
      </c>
      <c r="F50" s="127">
        <f>2.8+264.6</f>
        <v>267.40000000000003</v>
      </c>
      <c r="G50" s="127">
        <v>23.8</v>
      </c>
      <c r="H50" s="127">
        <v>2.8</v>
      </c>
      <c r="I50" s="127"/>
      <c r="J50" s="127"/>
      <c r="K50" s="127"/>
      <c r="L50" s="127"/>
      <c r="M50" s="127"/>
      <c r="N50" s="127">
        <v>21</v>
      </c>
      <c r="O50" s="24">
        <f t="shared" si="21"/>
        <v>317.80000000000007</v>
      </c>
      <c r="P50" s="127">
        <f t="shared" si="4"/>
        <v>291.55963302752298</v>
      </c>
      <c r="Q50" s="5">
        <f t="shared" si="22"/>
        <v>26.240366972477091</v>
      </c>
      <c r="R50" s="94">
        <f t="shared" si="23"/>
        <v>75.666666666666686</v>
      </c>
      <c r="S50" s="71"/>
      <c r="T50" s="61">
        <v>16.8</v>
      </c>
      <c r="U50" s="13">
        <f t="shared" si="25"/>
        <v>1271.2000000000003</v>
      </c>
      <c r="V50" s="112"/>
      <c r="W50" s="2"/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373.1</v>
      </c>
      <c r="F51" s="127">
        <v>8171.3</v>
      </c>
      <c r="G51" s="127">
        <v>1287.4000000000001</v>
      </c>
      <c r="H51" s="127">
        <v>287</v>
      </c>
      <c r="I51" s="127"/>
      <c r="J51" s="127"/>
      <c r="K51" s="127"/>
      <c r="L51" s="127"/>
      <c r="M51" s="127">
        <v>28.7</v>
      </c>
      <c r="N51" s="127">
        <v>500.2</v>
      </c>
      <c r="O51" s="24">
        <f t="shared" si="21"/>
        <v>10647.7</v>
      </c>
      <c r="P51" s="127">
        <f t="shared" si="4"/>
        <v>9768.5321100917427</v>
      </c>
      <c r="Q51" s="5">
        <f t="shared" si="22"/>
        <v>879.16788990825808</v>
      </c>
      <c r="R51" s="94">
        <f t="shared" si="23"/>
        <v>259.70000000000005</v>
      </c>
      <c r="S51" s="71"/>
      <c r="T51" s="61"/>
      <c r="U51" s="13"/>
      <c r="V51" s="112"/>
      <c r="W51" s="2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38.950000000000003</v>
      </c>
      <c r="F52" s="123">
        <v>717.5</v>
      </c>
      <c r="G52" s="123">
        <v>159.9</v>
      </c>
      <c r="H52" s="123">
        <v>16.399999999999999</v>
      </c>
      <c r="I52" s="123"/>
      <c r="J52" s="123"/>
      <c r="K52" s="123"/>
      <c r="L52" s="127"/>
      <c r="M52" s="127"/>
      <c r="N52" s="123">
        <v>75.849999999999994</v>
      </c>
      <c r="O52" s="24">
        <f t="shared" si="21"/>
        <v>1008.6</v>
      </c>
      <c r="P52" s="127">
        <f t="shared" si="4"/>
        <v>925.32110091743118</v>
      </c>
      <c r="Q52" s="5">
        <f t="shared" si="22"/>
        <v>83.278899082568842</v>
      </c>
      <c r="R52" s="94">
        <f t="shared" si="23"/>
        <v>49.2</v>
      </c>
      <c r="S52" s="71"/>
      <c r="T52" s="61">
        <v>20.5</v>
      </c>
      <c r="U52" s="13">
        <f t="shared" ref="U52:U53" si="26">+R52*T52</f>
        <v>1008.6</v>
      </c>
      <c r="V52" s="112"/>
      <c r="W52" s="2"/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1.64+26.24</f>
        <v>27.88</v>
      </c>
      <c r="F53" s="199">
        <f>10.66+960.22</f>
        <v>970.88</v>
      </c>
      <c r="G53" s="199">
        <v>124.64</v>
      </c>
      <c r="H53" s="199">
        <v>158.26</v>
      </c>
      <c r="I53" s="199"/>
      <c r="J53" s="199"/>
      <c r="K53" s="199"/>
      <c r="L53" s="199"/>
      <c r="M53" s="148">
        <v>9.02</v>
      </c>
      <c r="N53" s="199">
        <f>4.92+232.88</f>
        <v>237.79999999999998</v>
      </c>
      <c r="O53" s="6">
        <f t="shared" si="21"/>
        <v>1528.48</v>
      </c>
      <c r="P53" s="140">
        <f t="shared" si="4"/>
        <v>1402.275229357798</v>
      </c>
      <c r="Q53" s="6">
        <f t="shared" si="22"/>
        <v>126.20477064220199</v>
      </c>
      <c r="R53" s="22">
        <f t="shared" si="23"/>
        <v>186.4</v>
      </c>
      <c r="S53" s="71"/>
      <c r="T53" s="61">
        <v>32.799999999999997</v>
      </c>
      <c r="U53" s="13">
        <f t="shared" si="26"/>
        <v>6113.92</v>
      </c>
      <c r="V53" s="112"/>
      <c r="W53" s="2"/>
    </row>
    <row r="54" spans="1:23" x14ac:dyDescent="0.25">
      <c r="F54" s="2"/>
      <c r="G54" s="2"/>
      <c r="H54" s="2"/>
      <c r="I54" s="2"/>
      <c r="J54" s="2"/>
      <c r="K54" s="2"/>
      <c r="L54" s="2"/>
      <c r="O54" s="2"/>
      <c r="P54" s="2"/>
      <c r="Q54" s="2"/>
      <c r="R54" s="2"/>
    </row>
    <row r="66" spans="2:2" x14ac:dyDescent="0.25">
      <c r="B66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"/>
  <sheetViews>
    <sheetView workbookViewId="0">
      <selection activeCell="F15" sqref="F15"/>
    </sheetView>
  </sheetViews>
  <sheetFormatPr defaultRowHeight="14.4" outlineLevelCol="1" x14ac:dyDescent="0.3"/>
  <cols>
    <col min="1" max="1" width="3.44140625" customWidth="1"/>
    <col min="3" max="3" width="10.109375" bestFit="1" customWidth="1"/>
    <col min="4" max="4" width="9.44140625" bestFit="1" customWidth="1"/>
    <col min="5" max="5" width="11.33203125" bestFit="1" customWidth="1"/>
    <col min="6" max="6" width="18.33203125" customWidth="1"/>
    <col min="8" max="8" width="11" bestFit="1" customWidth="1"/>
    <col min="9" max="9" width="14" customWidth="1"/>
    <col min="10" max="11" width="10.109375" bestFit="1" customWidth="1"/>
    <col min="12" max="12" width="0" hidden="1" customWidth="1" outlineLevel="1"/>
    <col min="13" max="13" width="62" customWidth="1" collapsed="1"/>
    <col min="14" max="14" width="56.44140625" customWidth="1"/>
  </cols>
  <sheetData>
    <row r="1" spans="1:14" x14ac:dyDescent="0.3">
      <c r="A1" s="142" t="s">
        <v>308</v>
      </c>
      <c r="B1" s="142"/>
    </row>
    <row r="3" spans="1:14" ht="43.2" x14ac:dyDescent="0.3">
      <c r="A3" s="310" t="s">
        <v>270</v>
      </c>
      <c r="B3" s="311" t="s">
        <v>271</v>
      </c>
      <c r="C3" s="311" t="s">
        <v>272</v>
      </c>
      <c r="D3" s="311" t="s">
        <v>273</v>
      </c>
      <c r="E3" s="311" t="s">
        <v>274</v>
      </c>
      <c r="F3" s="311" t="s">
        <v>275</v>
      </c>
      <c r="G3" s="311" t="s">
        <v>304</v>
      </c>
      <c r="H3" s="311" t="s">
        <v>307</v>
      </c>
      <c r="I3" s="311" t="s">
        <v>339</v>
      </c>
      <c r="J3" s="311" t="s">
        <v>276</v>
      </c>
      <c r="K3" s="310" t="s">
        <v>277</v>
      </c>
      <c r="L3" s="310" t="s">
        <v>306</v>
      </c>
      <c r="M3" s="310" t="s">
        <v>332</v>
      </c>
      <c r="N3" s="310" t="s">
        <v>384</v>
      </c>
    </row>
    <row r="4" spans="1:14" x14ac:dyDescent="0.3">
      <c r="A4" s="320">
        <v>1</v>
      </c>
      <c r="B4" s="321" t="s">
        <v>278</v>
      </c>
      <c r="C4" s="322">
        <v>41659</v>
      </c>
      <c r="D4" s="323" t="s">
        <v>279</v>
      </c>
      <c r="E4" s="323" t="s">
        <v>280</v>
      </c>
      <c r="F4" s="322" t="s">
        <v>281</v>
      </c>
      <c r="G4" s="324">
        <v>8.8000000000000007</v>
      </c>
      <c r="H4" s="325">
        <v>3118108374</v>
      </c>
      <c r="I4" s="325" t="s">
        <v>342</v>
      </c>
      <c r="J4" s="322">
        <v>41661</v>
      </c>
      <c r="K4" s="322">
        <v>41666</v>
      </c>
      <c r="L4" s="345" t="s">
        <v>329</v>
      </c>
      <c r="M4" s="345" t="s">
        <v>333</v>
      </c>
      <c r="N4" s="345" t="s">
        <v>333</v>
      </c>
    </row>
    <row r="5" spans="1:14" x14ac:dyDescent="0.3">
      <c r="A5" s="320">
        <v>2</v>
      </c>
      <c r="B5" s="321" t="s">
        <v>282</v>
      </c>
      <c r="C5" s="322">
        <v>41666</v>
      </c>
      <c r="D5" s="323" t="s">
        <v>283</v>
      </c>
      <c r="E5" s="323" t="s">
        <v>284</v>
      </c>
      <c r="F5" s="322" t="s">
        <v>281</v>
      </c>
      <c r="G5" s="326">
        <v>4.4000000000000004</v>
      </c>
      <c r="H5" s="327">
        <v>3630614994</v>
      </c>
      <c r="I5" s="327" t="s">
        <v>341</v>
      </c>
      <c r="J5" s="322">
        <v>41666</v>
      </c>
      <c r="K5" s="322">
        <v>41674</v>
      </c>
      <c r="L5" s="345" t="s">
        <v>329</v>
      </c>
      <c r="M5" s="345" t="s">
        <v>334</v>
      </c>
      <c r="N5" s="345" t="s">
        <v>334</v>
      </c>
    </row>
    <row r="6" spans="1:14" x14ac:dyDescent="0.3">
      <c r="A6" s="320">
        <v>3</v>
      </c>
      <c r="B6" s="328" t="s">
        <v>285</v>
      </c>
      <c r="C6" s="322">
        <v>41680</v>
      </c>
      <c r="D6" s="323" t="s">
        <v>286</v>
      </c>
      <c r="E6" s="323" t="s">
        <v>287</v>
      </c>
      <c r="F6" s="322" t="s">
        <v>281</v>
      </c>
      <c r="G6" s="324">
        <v>3.2</v>
      </c>
      <c r="H6" s="325">
        <v>3404425254</v>
      </c>
      <c r="I6" s="325" t="s">
        <v>343</v>
      </c>
      <c r="J6" s="322">
        <v>41680</v>
      </c>
      <c r="K6" s="322">
        <v>41688</v>
      </c>
      <c r="L6" s="345" t="s">
        <v>329</v>
      </c>
      <c r="M6" s="345" t="s">
        <v>335</v>
      </c>
      <c r="N6" s="345" t="s">
        <v>335</v>
      </c>
    </row>
    <row r="7" spans="1:14" x14ac:dyDescent="0.3">
      <c r="A7" s="320">
        <v>4</v>
      </c>
      <c r="B7" s="329" t="s">
        <v>288</v>
      </c>
      <c r="C7" s="329">
        <v>41691</v>
      </c>
      <c r="D7" s="330" t="s">
        <v>289</v>
      </c>
      <c r="E7" s="330" t="s">
        <v>290</v>
      </c>
      <c r="F7" s="329" t="s">
        <v>281</v>
      </c>
      <c r="G7" s="324">
        <v>4.4000000000000004</v>
      </c>
      <c r="H7" s="325">
        <v>3623796770</v>
      </c>
      <c r="I7" s="325" t="s">
        <v>342</v>
      </c>
      <c r="J7" s="329">
        <v>41694</v>
      </c>
      <c r="K7" s="322">
        <v>41696</v>
      </c>
      <c r="L7" s="345" t="s">
        <v>329</v>
      </c>
      <c r="M7" s="345" t="s">
        <v>336</v>
      </c>
      <c r="N7" s="345" t="s">
        <v>336</v>
      </c>
    </row>
    <row r="8" spans="1:14" x14ac:dyDescent="0.3">
      <c r="A8" s="320">
        <v>6</v>
      </c>
      <c r="B8" s="331" t="s">
        <v>291</v>
      </c>
      <c r="C8" s="332">
        <v>41718</v>
      </c>
      <c r="D8" s="331" t="s">
        <v>292</v>
      </c>
      <c r="E8" s="331" t="s">
        <v>293</v>
      </c>
      <c r="F8" s="329" t="s">
        <v>281</v>
      </c>
      <c r="G8" s="324">
        <v>6.6</v>
      </c>
      <c r="H8" s="325">
        <v>2416471062</v>
      </c>
      <c r="I8" s="325" t="s">
        <v>344</v>
      </c>
      <c r="J8" s="332">
        <v>41725</v>
      </c>
      <c r="K8" s="332">
        <v>41732</v>
      </c>
      <c r="L8" s="345" t="s">
        <v>330</v>
      </c>
      <c r="M8" s="345" t="s">
        <v>337</v>
      </c>
      <c r="N8" s="345" t="s">
        <v>337</v>
      </c>
    </row>
    <row r="9" spans="1:14" x14ac:dyDescent="0.3">
      <c r="A9" s="320">
        <v>7</v>
      </c>
      <c r="B9" s="331" t="s">
        <v>294</v>
      </c>
      <c r="C9" s="332">
        <v>41724</v>
      </c>
      <c r="D9" s="331" t="s">
        <v>295</v>
      </c>
      <c r="E9" s="331" t="s">
        <v>296</v>
      </c>
      <c r="F9" s="329" t="s">
        <v>281</v>
      </c>
      <c r="G9" s="324">
        <v>11</v>
      </c>
      <c r="H9" s="325">
        <v>2834941138</v>
      </c>
      <c r="I9" s="325" t="s">
        <v>340</v>
      </c>
      <c r="J9" s="332">
        <v>41729</v>
      </c>
      <c r="K9" s="332">
        <v>41732</v>
      </c>
      <c r="L9" s="345" t="s">
        <v>331</v>
      </c>
      <c r="M9" s="346" t="s">
        <v>338</v>
      </c>
      <c r="N9" s="346" t="s">
        <v>338</v>
      </c>
    </row>
    <row r="10" spans="1:14" x14ac:dyDescent="0.3">
      <c r="A10" s="320">
        <v>8</v>
      </c>
      <c r="B10" s="331" t="s">
        <v>403</v>
      </c>
      <c r="C10" s="332">
        <v>41757</v>
      </c>
      <c r="D10" s="331" t="s">
        <v>404</v>
      </c>
      <c r="E10" s="331" t="s">
        <v>405</v>
      </c>
      <c r="F10" s="329" t="s">
        <v>281</v>
      </c>
      <c r="G10" s="324">
        <v>4.4000000000000004</v>
      </c>
      <c r="H10" s="325">
        <v>2420023098</v>
      </c>
      <c r="I10" s="325" t="s">
        <v>406</v>
      </c>
      <c r="J10" s="332">
        <v>41763</v>
      </c>
      <c r="K10" s="332">
        <v>41766</v>
      </c>
      <c r="L10" s="345" t="s">
        <v>402</v>
      </c>
      <c r="M10" s="346"/>
      <c r="N10" s="346"/>
    </row>
    <row r="11" spans="1:14" x14ac:dyDescent="0.3">
      <c r="A11" s="320">
        <v>9</v>
      </c>
      <c r="B11" s="331" t="s">
        <v>408</v>
      </c>
      <c r="C11" s="332">
        <v>41829</v>
      </c>
      <c r="D11" s="331" t="s">
        <v>409</v>
      </c>
      <c r="E11" s="331" t="s">
        <v>410</v>
      </c>
      <c r="F11" s="329" t="s">
        <v>281</v>
      </c>
      <c r="G11" s="324">
        <v>4.4000000000000004</v>
      </c>
      <c r="H11" s="325">
        <v>3403903654</v>
      </c>
      <c r="I11" s="325" t="s">
        <v>411</v>
      </c>
      <c r="J11" s="332">
        <v>41857</v>
      </c>
      <c r="K11" s="332">
        <v>41857</v>
      </c>
      <c r="L11" s="345" t="s">
        <v>407</v>
      </c>
      <c r="M11" s="346"/>
      <c r="N11" s="34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X74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N22" sqref="N22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6640625" style="1" customWidth="1" outlineLevel="1"/>
    <col min="10" max="10" width="14.664062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1093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4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24" s="141" customFormat="1" ht="19.2" customHeight="1" x14ac:dyDescent="0.3">
      <c r="A2" s="40" t="s">
        <v>299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"/>
      <c r="P2" s="1"/>
      <c r="Q2" s="1"/>
      <c r="R2" s="1"/>
      <c r="S2" s="1"/>
      <c r="T2" s="1"/>
      <c r="U2" s="2"/>
      <c r="V2" s="1"/>
      <c r="X2" s="1"/>
    </row>
    <row r="3" spans="1:24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1"/>
      <c r="P3" s="3"/>
      <c r="Q3" s="1"/>
      <c r="R3" s="3"/>
      <c r="S3" s="1"/>
      <c r="T3" s="1"/>
      <c r="U3" s="2"/>
      <c r="V3" s="1"/>
      <c r="X3" s="1"/>
    </row>
    <row r="4" spans="1:24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80" t="s">
        <v>178</v>
      </c>
      <c r="O4" s="590" t="s">
        <v>43</v>
      </c>
      <c r="P4" s="590" t="s">
        <v>44</v>
      </c>
      <c r="Q4" s="590" t="s">
        <v>41</v>
      </c>
      <c r="R4" s="590" t="s">
        <v>149</v>
      </c>
      <c r="S4" s="1"/>
      <c r="T4" s="61"/>
      <c r="U4" s="584" t="s">
        <v>148</v>
      </c>
      <c r="V4" s="1"/>
      <c r="X4" s="1"/>
    </row>
    <row r="5" spans="1:24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309</v>
      </c>
      <c r="M5" s="575"/>
      <c r="N5" s="581"/>
      <c r="O5" s="591"/>
      <c r="P5" s="592"/>
      <c r="Q5" s="592"/>
      <c r="R5" s="592"/>
      <c r="S5" s="1"/>
      <c r="T5" s="87"/>
      <c r="U5" s="585"/>
      <c r="V5" s="1"/>
      <c r="X5" s="1"/>
    </row>
    <row r="6" spans="1:24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R6" si="0">+E7+E19+E45</f>
        <v>104814.08</v>
      </c>
      <c r="F6" s="82">
        <f t="shared" si="0"/>
        <v>4450167.9200000009</v>
      </c>
      <c r="G6" s="82">
        <f t="shared" si="0"/>
        <v>658446.80999999994</v>
      </c>
      <c r="H6" s="82">
        <f t="shared" si="0"/>
        <v>106878.14000000001</v>
      </c>
      <c r="I6" s="82">
        <f t="shared" si="0"/>
        <v>649972.05000000005</v>
      </c>
      <c r="J6" s="187">
        <f t="shared" si="0"/>
        <v>1060215.45</v>
      </c>
      <c r="K6" s="187">
        <f t="shared" si="0"/>
        <v>1002169.18</v>
      </c>
      <c r="L6" s="187">
        <f t="shared" si="0"/>
        <v>6787.2400000000735</v>
      </c>
      <c r="M6" s="187">
        <f t="shared" si="0"/>
        <v>31391.609999999997</v>
      </c>
      <c r="N6" s="19">
        <f t="shared" si="0"/>
        <v>391049.25999999995</v>
      </c>
      <c r="O6" s="42">
        <f t="shared" si="0"/>
        <v>8461891.7400000002</v>
      </c>
      <c r="P6" s="42">
        <f t="shared" si="0"/>
        <v>7763203.4311926607</v>
      </c>
      <c r="Q6" s="42">
        <f t="shared" si="0"/>
        <v>698688.30880734022</v>
      </c>
      <c r="R6" s="42">
        <f t="shared" si="0"/>
        <v>2420556.115274074</v>
      </c>
      <c r="S6" s="71"/>
      <c r="T6" s="87"/>
      <c r="U6" s="135">
        <f>+U8+U19+U45</f>
        <v>4491859.330000001</v>
      </c>
      <c r="V6" s="1"/>
      <c r="X6" s="1"/>
    </row>
    <row r="7" spans="1:24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R7" si="1">+E8+E12</f>
        <v>35659.860000000008</v>
      </c>
      <c r="F7" s="82">
        <f t="shared" si="1"/>
        <v>1667353.6800000002</v>
      </c>
      <c r="G7" s="82">
        <f t="shared" si="1"/>
        <v>241172.69999999998</v>
      </c>
      <c r="H7" s="82">
        <f t="shared" si="1"/>
        <v>34913.140000000007</v>
      </c>
      <c r="I7" s="82">
        <f t="shared" si="1"/>
        <v>649972.05000000005</v>
      </c>
      <c r="J7" s="187">
        <f t="shared" si="1"/>
        <v>1060215.45</v>
      </c>
      <c r="K7" s="187">
        <f t="shared" si="1"/>
        <v>1002169.18</v>
      </c>
      <c r="L7" s="187">
        <f t="shared" si="1"/>
        <v>6787.2400000000735</v>
      </c>
      <c r="M7" s="187">
        <f t="shared" si="1"/>
        <v>13647.619999999999</v>
      </c>
      <c r="N7" s="19">
        <f t="shared" si="1"/>
        <v>153287.29999999999</v>
      </c>
      <c r="O7" s="42">
        <f t="shared" si="1"/>
        <v>4865178.22</v>
      </c>
      <c r="P7" s="42">
        <f t="shared" si="1"/>
        <v>4463466.2568807332</v>
      </c>
      <c r="Q7" s="42">
        <f t="shared" si="1"/>
        <v>401711.9631192665</v>
      </c>
      <c r="R7" s="44">
        <f t="shared" si="1"/>
        <v>2327151</v>
      </c>
      <c r="S7" s="1"/>
      <c r="T7" s="61"/>
      <c r="U7" s="13"/>
      <c r="V7" s="1"/>
      <c r="X7" s="1"/>
    </row>
    <row r="8" spans="1:24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2">+SUM(E9:E11)</f>
        <v>0</v>
      </c>
      <c r="F8" s="219">
        <f t="shared" si="2"/>
        <v>0</v>
      </c>
      <c r="G8" s="79">
        <f t="shared" si="2"/>
        <v>0</v>
      </c>
      <c r="H8" s="79">
        <f t="shared" si="2"/>
        <v>0</v>
      </c>
      <c r="I8" s="126">
        <f t="shared" si="2"/>
        <v>649972.05000000005</v>
      </c>
      <c r="J8" s="126">
        <f t="shared" si="2"/>
        <v>1060215.45</v>
      </c>
      <c r="K8" s="79">
        <f t="shared" si="2"/>
        <v>0</v>
      </c>
      <c r="L8" s="79">
        <f t="shared" si="2"/>
        <v>0</v>
      </c>
      <c r="M8" s="79">
        <f t="shared" ref="M8:R8" si="3">+SUM(M9:M11)</f>
        <v>0</v>
      </c>
      <c r="N8" s="79">
        <f t="shared" si="3"/>
        <v>0</v>
      </c>
      <c r="O8" s="43">
        <f t="shared" si="3"/>
        <v>1710187.5</v>
      </c>
      <c r="P8" s="43">
        <f t="shared" si="3"/>
        <v>1568979.3577981649</v>
      </c>
      <c r="Q8" s="43">
        <f t="shared" si="3"/>
        <v>141208.14220183503</v>
      </c>
      <c r="R8" s="45">
        <f t="shared" si="3"/>
        <v>644162</v>
      </c>
      <c r="S8" s="71"/>
      <c r="T8" s="134"/>
      <c r="U8" s="105">
        <f>+SUM(U9:U18)</f>
        <v>1155725.58</v>
      </c>
      <c r="W8" s="138"/>
    </row>
    <row r="9" spans="1:24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444605</v>
      </c>
      <c r="J9" s="127">
        <f>740362+28511</f>
        <v>768873</v>
      </c>
      <c r="K9" s="36"/>
      <c r="L9" s="36"/>
      <c r="M9" s="36"/>
      <c r="N9" s="36"/>
      <c r="O9" s="5">
        <f>+SUM(E9:N9)</f>
        <v>1213478</v>
      </c>
      <c r="P9" s="5">
        <f t="shared" ref="P9:P11" si="4">+O9/1.09</f>
        <v>1113282.5688073393</v>
      </c>
      <c r="Q9" s="5">
        <f t="shared" ref="Q9:Q11" si="5">+O9-P9</f>
        <v>100195.4311926607</v>
      </c>
      <c r="R9" s="21">
        <f>O9/D9</f>
        <v>346708</v>
      </c>
      <c r="S9" s="71"/>
      <c r="T9" s="61"/>
      <c r="U9" s="13"/>
      <c r="V9" s="2"/>
      <c r="X9" s="1"/>
    </row>
    <row r="10" spans="1:24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6">+D9*0.5</f>
        <v>1.75</v>
      </c>
      <c r="E10" s="122"/>
      <c r="F10" s="17"/>
      <c r="G10" s="13"/>
      <c r="H10" s="13"/>
      <c r="I10" s="127">
        <v>201720.75</v>
      </c>
      <c r="J10" s="127">
        <f>270672.5+8426.25</f>
        <v>279098.75</v>
      </c>
      <c r="K10" s="143"/>
      <c r="L10" s="143"/>
      <c r="M10" s="143"/>
      <c r="N10" s="143"/>
      <c r="O10" s="5">
        <f>+SUM(E10:N10)</f>
        <v>480819.5</v>
      </c>
      <c r="P10" s="5">
        <f t="shared" si="4"/>
        <v>441118.80733944953</v>
      </c>
      <c r="Q10" s="5">
        <f t="shared" si="5"/>
        <v>39700.69266055047</v>
      </c>
      <c r="R10" s="21">
        <f>O10/D10</f>
        <v>274754</v>
      </c>
      <c r="S10" s="71"/>
      <c r="T10" s="61">
        <v>1.75</v>
      </c>
      <c r="U10" s="13">
        <f>+R10*T10</f>
        <v>480819.5</v>
      </c>
      <c r="V10" s="1"/>
      <c r="X10" s="1"/>
    </row>
    <row r="11" spans="1:24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3646.3</v>
      </c>
      <c r="J11" s="144">
        <f>12102.3+141.4</f>
        <v>12243.699999999999</v>
      </c>
      <c r="K11" s="144"/>
      <c r="L11" s="144"/>
      <c r="M11" s="144"/>
      <c r="N11" s="144"/>
      <c r="O11" s="26">
        <f>+SUM(E11:N11)</f>
        <v>15890</v>
      </c>
      <c r="P11" s="243">
        <f t="shared" si="4"/>
        <v>14577.981651376145</v>
      </c>
      <c r="Q11" s="243">
        <f t="shared" si="5"/>
        <v>1312.0183486238548</v>
      </c>
      <c r="R11" s="244">
        <f>O11/D11</f>
        <v>22700</v>
      </c>
      <c r="S11" s="71"/>
      <c r="T11" s="107">
        <v>2.8</v>
      </c>
      <c r="U11" s="13">
        <f>+R11*T11</f>
        <v>63559.999999999993</v>
      </c>
      <c r="V11" s="2"/>
      <c r="W11" s="138"/>
      <c r="X11" s="2"/>
    </row>
    <row r="12" spans="1:24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09">
        <f t="shared" ref="E12:R12" si="7">+SUM(E13:E18)</f>
        <v>35659.860000000008</v>
      </c>
      <c r="F12" s="84">
        <f t="shared" si="7"/>
        <v>1667353.6800000002</v>
      </c>
      <c r="G12" s="84">
        <f t="shared" si="7"/>
        <v>241172.69999999998</v>
      </c>
      <c r="H12" s="84">
        <f t="shared" si="7"/>
        <v>34913.140000000007</v>
      </c>
      <c r="I12" s="84">
        <f t="shared" si="7"/>
        <v>0</v>
      </c>
      <c r="J12" s="74">
        <f t="shared" si="7"/>
        <v>0</v>
      </c>
      <c r="K12" s="101">
        <f t="shared" si="7"/>
        <v>1002169.18</v>
      </c>
      <c r="L12" s="101">
        <f t="shared" si="7"/>
        <v>6787.2400000000735</v>
      </c>
      <c r="M12" s="101">
        <f t="shared" si="7"/>
        <v>13647.619999999999</v>
      </c>
      <c r="N12" s="101">
        <f t="shared" si="7"/>
        <v>153287.29999999999</v>
      </c>
      <c r="O12" s="43">
        <f t="shared" si="7"/>
        <v>3154990.7199999997</v>
      </c>
      <c r="P12" s="43">
        <f t="shared" si="7"/>
        <v>2894486.899082568</v>
      </c>
      <c r="Q12" s="43">
        <f t="shared" si="7"/>
        <v>260503.82091743147</v>
      </c>
      <c r="R12" s="45">
        <f t="shared" si="7"/>
        <v>1682989</v>
      </c>
      <c r="S12" s="71"/>
      <c r="T12" s="61"/>
      <c r="U12" s="13"/>
      <c r="V12" s="1"/>
      <c r="X12" s="1"/>
    </row>
    <row r="13" spans="1:24" x14ac:dyDescent="0.25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28747.4</v>
      </c>
      <c r="F13" s="13">
        <v>1252235.6000000001</v>
      </c>
      <c r="G13" s="13">
        <v>175430.2</v>
      </c>
      <c r="H13" s="13">
        <v>26166.799999999999</v>
      </c>
      <c r="I13" s="13"/>
      <c r="J13" s="33"/>
      <c r="K13" s="33">
        <v>777018</v>
      </c>
      <c r="L13" s="33">
        <v>5293.2000000000698</v>
      </c>
      <c r="M13" s="33">
        <v>9519.4</v>
      </c>
      <c r="N13" s="127">
        <v>135568.4</v>
      </c>
      <c r="O13" s="5">
        <f t="shared" ref="O13:O18" si="8">+SUM(E13:N13)</f>
        <v>2409979</v>
      </c>
      <c r="P13" s="5">
        <f t="shared" ref="P13:P18" si="9">+O13/1.09</f>
        <v>2210989.9082568805</v>
      </c>
      <c r="Q13" s="5">
        <f t="shared" ref="Q13:Q18" si="10">+O13-P13</f>
        <v>198989.09174311953</v>
      </c>
      <c r="R13" s="21">
        <f t="shared" ref="R13:R18" si="11">O13/D13</f>
        <v>1095445</v>
      </c>
      <c r="S13" s="2"/>
      <c r="T13" s="61"/>
      <c r="U13" s="13"/>
    </row>
    <row r="14" spans="1:24" x14ac:dyDescent="0.25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6339.3</v>
      </c>
      <c r="F14" s="13">
        <v>386727</v>
      </c>
      <c r="G14" s="13">
        <v>61141.3</v>
      </c>
      <c r="H14" s="13">
        <v>8416.1</v>
      </c>
      <c r="I14" s="13"/>
      <c r="J14" s="33"/>
      <c r="K14" s="33">
        <v>82294.3</v>
      </c>
      <c r="L14" s="33">
        <v>523.59999999999127</v>
      </c>
      <c r="M14" s="33">
        <v>4009.5</v>
      </c>
      <c r="N14" s="127">
        <v>9436.9</v>
      </c>
      <c r="O14" s="5">
        <f t="shared" si="8"/>
        <v>558888</v>
      </c>
      <c r="P14" s="5">
        <f t="shared" si="9"/>
        <v>512741.28440366971</v>
      </c>
      <c r="Q14" s="5">
        <f t="shared" si="10"/>
        <v>46146.715596330294</v>
      </c>
      <c r="R14" s="21">
        <f t="shared" si="11"/>
        <v>508079.99999999994</v>
      </c>
      <c r="S14" s="71"/>
      <c r="T14" s="107">
        <v>1.1000000000000001</v>
      </c>
      <c r="U14" s="13">
        <f t="shared" ref="U14:U15" si="12">+R14*T14</f>
        <v>558888</v>
      </c>
    </row>
    <row r="15" spans="1:24" x14ac:dyDescent="0.25">
      <c r="A15" s="58" t="s">
        <v>56</v>
      </c>
      <c r="B15" s="53" t="s">
        <v>140</v>
      </c>
      <c r="C15" s="59" t="s">
        <v>93</v>
      </c>
      <c r="D15" s="62">
        <v>0.44</v>
      </c>
      <c r="E15" s="130">
        <v>85.8</v>
      </c>
      <c r="F15" s="13">
        <v>4362.6000000000004</v>
      </c>
      <c r="G15" s="13">
        <v>630.96</v>
      </c>
      <c r="H15" s="13">
        <v>116.16</v>
      </c>
      <c r="I15" s="13"/>
      <c r="J15" s="33"/>
      <c r="K15" s="33">
        <v>1514.48</v>
      </c>
      <c r="L15" s="33">
        <v>10.119999999999891</v>
      </c>
      <c r="M15" s="33">
        <v>17.600000000000001</v>
      </c>
      <c r="N15" s="127">
        <v>171.6</v>
      </c>
      <c r="O15" s="5">
        <f t="shared" si="8"/>
        <v>6909.3200000000006</v>
      </c>
      <c r="P15" s="5">
        <f t="shared" si="9"/>
        <v>6338.8256880733943</v>
      </c>
      <c r="Q15" s="5">
        <f t="shared" si="10"/>
        <v>570.49431192660631</v>
      </c>
      <c r="R15" s="21">
        <f t="shared" si="11"/>
        <v>15703.000000000002</v>
      </c>
      <c r="S15" s="71"/>
      <c r="T15" s="61">
        <v>1.76</v>
      </c>
      <c r="U15" s="13">
        <f t="shared" si="12"/>
        <v>27637.280000000002</v>
      </c>
    </row>
    <row r="16" spans="1:24" x14ac:dyDescent="0.25">
      <c r="A16" s="58" t="s">
        <v>57</v>
      </c>
      <c r="B16" s="53" t="s">
        <v>192</v>
      </c>
      <c r="C16" s="59" t="s">
        <v>58</v>
      </c>
      <c r="D16" s="62">
        <v>3.2</v>
      </c>
      <c r="E16" s="130">
        <v>396.8</v>
      </c>
      <c r="F16" s="13">
        <v>19244.8</v>
      </c>
      <c r="G16" s="13">
        <v>3027.2</v>
      </c>
      <c r="H16" s="13">
        <v>80</v>
      </c>
      <c r="I16" s="13"/>
      <c r="J16" s="33"/>
      <c r="K16" s="33">
        <v>124764.8</v>
      </c>
      <c r="L16" s="33">
        <v>819.20000000001164</v>
      </c>
      <c r="M16" s="33">
        <v>60.8</v>
      </c>
      <c r="N16" s="127">
        <v>7392</v>
      </c>
      <c r="O16" s="5">
        <f t="shared" si="8"/>
        <v>155785.60000000001</v>
      </c>
      <c r="P16" s="5">
        <f t="shared" si="9"/>
        <v>142922.56880733944</v>
      </c>
      <c r="Q16" s="5">
        <f t="shared" si="10"/>
        <v>12863.031192660565</v>
      </c>
      <c r="R16" s="21">
        <f t="shared" si="11"/>
        <v>48683</v>
      </c>
      <c r="S16" s="71"/>
      <c r="T16" s="61"/>
      <c r="U16" s="13"/>
    </row>
    <row r="17" spans="1:24" ht="12.75" x14ac:dyDescent="0.2">
      <c r="A17" s="58" t="s">
        <v>59</v>
      </c>
      <c r="B17" s="53" t="s">
        <v>193</v>
      </c>
      <c r="C17" s="59" t="s">
        <v>94</v>
      </c>
      <c r="D17" s="62">
        <v>1.6</v>
      </c>
      <c r="E17" s="130">
        <v>81.599999999999994</v>
      </c>
      <c r="F17" s="13">
        <v>4670.3999999999996</v>
      </c>
      <c r="G17" s="13">
        <v>932.8</v>
      </c>
      <c r="H17" s="13">
        <v>129.6</v>
      </c>
      <c r="I17" s="13"/>
      <c r="J17" s="33"/>
      <c r="K17" s="33">
        <v>16264</v>
      </c>
      <c r="L17" s="33">
        <v>139.20000000000073</v>
      </c>
      <c r="M17" s="33">
        <v>28.8</v>
      </c>
      <c r="N17" s="127">
        <v>718.4</v>
      </c>
      <c r="O17" s="5">
        <f t="shared" si="8"/>
        <v>22964.800000000003</v>
      </c>
      <c r="P17" s="5">
        <f t="shared" si="9"/>
        <v>21068.623853211011</v>
      </c>
      <c r="Q17" s="5">
        <f t="shared" si="10"/>
        <v>1896.1761467889919</v>
      </c>
      <c r="R17" s="21">
        <f t="shared" si="11"/>
        <v>14353.000000000002</v>
      </c>
      <c r="S17" s="71"/>
      <c r="T17" s="107">
        <v>1.6</v>
      </c>
      <c r="U17" s="13">
        <f t="shared" ref="U17:U18" si="13">+R17*T17</f>
        <v>22964.800000000003</v>
      </c>
    </row>
    <row r="18" spans="1:24" x14ac:dyDescent="0.25">
      <c r="A18" s="241" t="s">
        <v>60</v>
      </c>
      <c r="B18" s="53" t="s">
        <v>194</v>
      </c>
      <c r="C18" s="63" t="s">
        <v>95</v>
      </c>
      <c r="D18" s="63">
        <v>0.64</v>
      </c>
      <c r="E18" s="132">
        <v>8.9600000000000009</v>
      </c>
      <c r="F18" s="14">
        <v>113.28</v>
      </c>
      <c r="G18" s="13">
        <v>10.24</v>
      </c>
      <c r="H18" s="14">
        <v>4.4800000000000004</v>
      </c>
      <c r="I18" s="14"/>
      <c r="J18" s="76"/>
      <c r="K18" s="76">
        <v>313.60000000000002</v>
      </c>
      <c r="L18" s="76">
        <v>1.9200000000000159</v>
      </c>
      <c r="M18" s="76">
        <v>11.52</v>
      </c>
      <c r="N18" s="127"/>
      <c r="O18" s="5">
        <f t="shared" si="8"/>
        <v>464.00000000000006</v>
      </c>
      <c r="P18" s="5">
        <f t="shared" si="9"/>
        <v>425.68807339449546</v>
      </c>
      <c r="Q18" s="5">
        <f t="shared" si="10"/>
        <v>38.311926605504595</v>
      </c>
      <c r="R18" s="22">
        <f t="shared" si="11"/>
        <v>725.00000000000011</v>
      </c>
      <c r="S18" s="71"/>
      <c r="T18" s="61">
        <v>2.56</v>
      </c>
      <c r="U18" s="13">
        <f t="shared" si="13"/>
        <v>1856.0000000000002</v>
      </c>
    </row>
    <row r="19" spans="1:24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65557.73</v>
      </c>
      <c r="F19" s="118">
        <f t="shared" ref="F19:R19" si="14">+SUM(F20:F44)</f>
        <v>2642518.9500000002</v>
      </c>
      <c r="G19" s="118">
        <f t="shared" si="14"/>
        <v>396431.16</v>
      </c>
      <c r="H19" s="118">
        <f t="shared" si="14"/>
        <v>67142.06</v>
      </c>
      <c r="I19" s="118">
        <f t="shared" si="14"/>
        <v>0</v>
      </c>
      <c r="J19" s="118">
        <f t="shared" si="14"/>
        <v>0</v>
      </c>
      <c r="K19" s="118">
        <f t="shared" si="14"/>
        <v>0</v>
      </c>
      <c r="L19" s="118">
        <f t="shared" si="14"/>
        <v>0</v>
      </c>
      <c r="M19" s="118">
        <f t="shared" si="14"/>
        <v>17158.689999999999</v>
      </c>
      <c r="N19" s="118">
        <f t="shared" si="14"/>
        <v>225553.99999999997</v>
      </c>
      <c r="O19" s="118">
        <f t="shared" si="14"/>
        <v>3414362.59</v>
      </c>
      <c r="P19" s="118">
        <f t="shared" si="14"/>
        <v>3132442.7431192663</v>
      </c>
      <c r="Q19" s="118">
        <f t="shared" si="14"/>
        <v>281919.8468807342</v>
      </c>
      <c r="R19" s="253">
        <f t="shared" si="14"/>
        <v>65015.115274074102</v>
      </c>
      <c r="S19" s="71"/>
      <c r="T19" s="61"/>
      <c r="U19" s="105">
        <f>+SUM(U20:U43)</f>
        <v>3052426.6800000006</v>
      </c>
    </row>
    <row r="20" spans="1:24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39786.67</v>
      </c>
      <c r="F20" s="92">
        <v>1518716.67</v>
      </c>
      <c r="G20" s="92">
        <v>214693.33</v>
      </c>
      <c r="H20" s="92">
        <v>39580</v>
      </c>
      <c r="I20" s="23"/>
      <c r="J20" s="34"/>
      <c r="K20" s="34"/>
      <c r="L20" s="34"/>
      <c r="M20" s="34">
        <v>11050</v>
      </c>
      <c r="N20" s="34">
        <v>119313.34</v>
      </c>
      <c r="O20" s="5">
        <f t="shared" ref="O20:O44" si="15">+SUM(E20:N20)</f>
        <v>1943140.01</v>
      </c>
      <c r="P20" s="99">
        <f t="shared" ref="P20:P44" si="16">+O20/1.09</f>
        <v>1782697.2568807339</v>
      </c>
      <c r="Q20" s="24">
        <f>+O20-P20</f>
        <v>160442.75311926613</v>
      </c>
      <c r="R20" s="94">
        <f t="shared" ref="R20:R43" si="17">O20/D20</f>
        <v>19431.400099999999</v>
      </c>
      <c r="S20" s="41"/>
      <c r="T20" s="61"/>
      <c r="U20" s="106"/>
      <c r="V20"/>
      <c r="W20" s="142"/>
      <c r="X20"/>
    </row>
    <row r="21" spans="1:24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6656.67</v>
      </c>
      <c r="F21" s="48">
        <v>406690</v>
      </c>
      <c r="G21" s="48">
        <v>61015</v>
      </c>
      <c r="H21" s="48">
        <v>11345</v>
      </c>
      <c r="I21" s="13"/>
      <c r="J21" s="33"/>
      <c r="K21" s="33"/>
      <c r="L21" s="33"/>
      <c r="M21" s="33">
        <v>3178.33</v>
      </c>
      <c r="N21" s="33">
        <v>5850</v>
      </c>
      <c r="O21" s="5">
        <f t="shared" si="15"/>
        <v>494735</v>
      </c>
      <c r="P21" s="5">
        <f t="shared" si="16"/>
        <v>453885.32110091741</v>
      </c>
      <c r="Q21" s="5">
        <f t="shared" ref="Q21:Q44" si="18">+O21-P21</f>
        <v>40849.678899082588</v>
      </c>
      <c r="R21" s="21">
        <f t="shared" si="17"/>
        <v>9894.7000000000007</v>
      </c>
      <c r="S21" s="41"/>
      <c r="T21" s="61">
        <v>50</v>
      </c>
      <c r="U21" s="13">
        <f t="shared" ref="U21:U22" si="19">+R21*T21</f>
        <v>494735.00000000006</v>
      </c>
      <c r="W21" s="142"/>
    </row>
    <row r="22" spans="1:24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f>611.33+10900.67</f>
        <v>11512</v>
      </c>
      <c r="F22" s="95">
        <f>5229.33+464456</f>
        <v>469685.33</v>
      </c>
      <c r="G22" s="95">
        <f>655.33+79134.67</f>
        <v>79790</v>
      </c>
      <c r="H22" s="95">
        <v>6974.67</v>
      </c>
      <c r="I22" s="13"/>
      <c r="J22" s="33"/>
      <c r="K22" s="33"/>
      <c r="L22" s="33"/>
      <c r="M22" s="33">
        <f>42+1496</f>
        <v>1538</v>
      </c>
      <c r="N22" s="33">
        <f>543.33+50476-20</f>
        <v>50999.33</v>
      </c>
      <c r="O22" s="5">
        <f t="shared" si="15"/>
        <v>620499.33000000007</v>
      </c>
      <c r="P22" s="5">
        <f t="shared" si="16"/>
        <v>569265.44036697247</v>
      </c>
      <c r="Q22" s="5">
        <f t="shared" si="18"/>
        <v>51233.889633027604</v>
      </c>
      <c r="R22" s="21">
        <f t="shared" si="17"/>
        <v>31024.966500000002</v>
      </c>
      <c r="S22" s="41"/>
      <c r="T22" s="61">
        <v>80</v>
      </c>
      <c r="U22" s="13">
        <f t="shared" si="19"/>
        <v>2481997.3200000003</v>
      </c>
      <c r="W22" s="142"/>
    </row>
    <row r="23" spans="1:24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6900</v>
      </c>
      <c r="F23" s="95">
        <v>224763</v>
      </c>
      <c r="G23" s="95">
        <v>37323</v>
      </c>
      <c r="H23" s="95">
        <v>8145</v>
      </c>
      <c r="I23" s="13"/>
      <c r="J23" s="33"/>
      <c r="K23" s="33"/>
      <c r="L23" s="33"/>
      <c r="M23" s="33">
        <v>1242</v>
      </c>
      <c r="N23" s="33">
        <v>40926</v>
      </c>
      <c r="O23" s="5">
        <f t="shared" si="15"/>
        <v>319299</v>
      </c>
      <c r="P23" s="5">
        <f t="shared" si="16"/>
        <v>292934.86238532106</v>
      </c>
      <c r="Q23" s="5">
        <f t="shared" si="18"/>
        <v>26364.137614678941</v>
      </c>
      <c r="R23" s="21">
        <f t="shared" si="17"/>
        <v>3547.7666666666669</v>
      </c>
      <c r="S23" s="41"/>
      <c r="T23" s="61"/>
      <c r="U23" s="13"/>
      <c r="W23" s="142"/>
    </row>
    <row r="24" spans="1:24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244.5</v>
      </c>
      <c r="F24" s="95">
        <v>12219</v>
      </c>
      <c r="G24" s="95">
        <v>2086.5</v>
      </c>
      <c r="H24" s="95">
        <v>507</v>
      </c>
      <c r="I24" s="13"/>
      <c r="J24" s="33"/>
      <c r="K24" s="33"/>
      <c r="L24" s="33"/>
      <c r="M24" s="33">
        <v>43.5</v>
      </c>
      <c r="N24" s="33">
        <v>1209</v>
      </c>
      <c r="O24" s="5">
        <f t="shared" si="15"/>
        <v>16309.5</v>
      </c>
      <c r="P24" s="5">
        <f t="shared" si="16"/>
        <v>14962.844036697246</v>
      </c>
      <c r="Q24" s="5">
        <f t="shared" si="18"/>
        <v>1346.6559633027537</v>
      </c>
      <c r="R24" s="21">
        <f t="shared" si="17"/>
        <v>362.43333333333334</v>
      </c>
      <c r="S24" s="35"/>
      <c r="T24" s="61">
        <v>45</v>
      </c>
      <c r="U24" s="13">
        <f t="shared" ref="U24:U25" si="20">+R24*T24</f>
        <v>16309.5</v>
      </c>
      <c r="W24" s="142"/>
    </row>
    <row r="25" spans="1:24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f>18.6+379.2</f>
        <v>397.8</v>
      </c>
      <c r="F25" s="95">
        <f>50.4+6861.6</f>
        <v>6912</v>
      </c>
      <c r="G25" s="95">
        <f>17.4+1218</f>
        <v>1235.4000000000001</v>
      </c>
      <c r="H25" s="95">
        <v>277.8</v>
      </c>
      <c r="I25" s="13"/>
      <c r="J25" s="33"/>
      <c r="K25" s="33"/>
      <c r="L25" s="33"/>
      <c r="M25" s="33">
        <v>84.6</v>
      </c>
      <c r="N25" s="33">
        <f>142.2+2424</f>
        <v>2566.1999999999998</v>
      </c>
      <c r="O25" s="5">
        <f t="shared" si="15"/>
        <v>11473.8</v>
      </c>
      <c r="P25" s="5">
        <f t="shared" si="16"/>
        <v>10526.422018348623</v>
      </c>
      <c r="Q25" s="5">
        <f t="shared" si="18"/>
        <v>947.3779816513761</v>
      </c>
      <c r="R25" s="21">
        <f t="shared" si="17"/>
        <v>637.43333333333328</v>
      </c>
      <c r="S25" s="35"/>
      <c r="T25" s="61">
        <v>72</v>
      </c>
      <c r="U25" s="13">
        <f t="shared" si="20"/>
        <v>45895.199999999997</v>
      </c>
      <c r="W25" s="142"/>
    </row>
    <row r="26" spans="1:24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/>
      <c r="F26" s="95">
        <v>1053.33</v>
      </c>
      <c r="G26" s="95">
        <v>10</v>
      </c>
      <c r="H26" s="95"/>
      <c r="I26" s="13"/>
      <c r="J26" s="33"/>
      <c r="K26" s="33"/>
      <c r="L26" s="33"/>
      <c r="M26" s="33"/>
      <c r="N26" s="33">
        <v>1723.33</v>
      </c>
      <c r="O26" s="5">
        <f t="shared" si="15"/>
        <v>2786.66</v>
      </c>
      <c r="P26" s="5">
        <f t="shared" si="16"/>
        <v>2556.568807339449</v>
      </c>
      <c r="Q26" s="5">
        <f t="shared" si="18"/>
        <v>230.09119266055086</v>
      </c>
      <c r="R26" s="21">
        <f t="shared" si="17"/>
        <v>9.2888666666666655</v>
      </c>
      <c r="S26" s="35"/>
      <c r="T26" s="61"/>
      <c r="U26" s="13"/>
      <c r="W26" s="142"/>
    </row>
    <row r="27" spans="1:24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485</v>
      </c>
      <c r="G27" s="95">
        <v>1.67</v>
      </c>
      <c r="H27" s="95">
        <v>21.67</v>
      </c>
      <c r="I27" s="13"/>
      <c r="J27" s="33"/>
      <c r="K27" s="33"/>
      <c r="L27" s="33"/>
      <c r="M27" s="33"/>
      <c r="N27" s="33">
        <v>228.33</v>
      </c>
      <c r="O27" s="5">
        <f t="shared" si="15"/>
        <v>736.67000000000007</v>
      </c>
      <c r="P27" s="5">
        <f t="shared" si="16"/>
        <v>675.8440366972477</v>
      </c>
      <c r="Q27" s="5">
        <f t="shared" si="18"/>
        <v>60.825963302752371</v>
      </c>
      <c r="R27" s="21">
        <f t="shared" si="17"/>
        <v>4.9111333333333338</v>
      </c>
      <c r="S27" s="35"/>
      <c r="T27" s="61">
        <v>150</v>
      </c>
      <c r="U27" s="13">
        <f t="shared" ref="U27:U43" si="21">+R27*T27</f>
        <v>736.67000000000007</v>
      </c>
      <c r="W27" s="142"/>
    </row>
    <row r="28" spans="1:24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34.67</v>
      </c>
      <c r="F28" s="95">
        <f>1.33+1528.67</f>
        <v>1530</v>
      </c>
      <c r="G28" s="95">
        <f>2+210.67</f>
        <v>212.67</v>
      </c>
      <c r="H28" s="95">
        <v>84.67</v>
      </c>
      <c r="I28" s="13"/>
      <c r="J28" s="33"/>
      <c r="K28" s="33"/>
      <c r="L28" s="33"/>
      <c r="M28" s="33">
        <v>4.67</v>
      </c>
      <c r="N28" s="33">
        <f>40.67+1035.33</f>
        <v>1076</v>
      </c>
      <c r="O28" s="5">
        <f t="shared" si="15"/>
        <v>2942.6800000000003</v>
      </c>
      <c r="P28" s="5">
        <f t="shared" si="16"/>
        <v>2699.7064220183488</v>
      </c>
      <c r="Q28" s="5">
        <f t="shared" si="18"/>
        <v>242.97357798165149</v>
      </c>
      <c r="R28" s="21">
        <f t="shared" si="17"/>
        <v>49.044666666666672</v>
      </c>
      <c r="S28" s="35"/>
      <c r="T28" s="61">
        <v>240</v>
      </c>
      <c r="U28" s="13">
        <f t="shared" si="21"/>
        <v>11770.720000000001</v>
      </c>
      <c r="W28" s="142"/>
    </row>
    <row r="29" spans="1:24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/>
      <c r="G29" s="95"/>
      <c r="H29" s="95">
        <v>45</v>
      </c>
      <c r="I29" s="13"/>
      <c r="J29" s="33"/>
      <c r="K29" s="33"/>
      <c r="L29" s="33"/>
      <c r="M29" s="33"/>
      <c r="N29" s="33">
        <v>1425</v>
      </c>
      <c r="O29" s="5">
        <f t="shared" si="15"/>
        <v>1470</v>
      </c>
      <c r="P29" s="5">
        <f t="shared" si="16"/>
        <v>1348.623853211009</v>
      </c>
      <c r="Q29" s="5">
        <f t="shared" si="18"/>
        <v>121.37614678899104</v>
      </c>
      <c r="R29" s="21">
        <f t="shared" si="17"/>
        <v>5.4444444444444446</v>
      </c>
      <c r="S29" s="35"/>
      <c r="T29" s="61"/>
      <c r="U29" s="13"/>
      <c r="W29" s="142"/>
    </row>
    <row r="30" spans="1:24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/>
      <c r="G30" s="95"/>
      <c r="H30" s="95"/>
      <c r="I30" s="13"/>
      <c r="J30" s="33"/>
      <c r="K30" s="33"/>
      <c r="L30" s="33"/>
      <c r="M30" s="33"/>
      <c r="N30" s="33"/>
      <c r="O30" s="5">
        <f t="shared" si="15"/>
        <v>0</v>
      </c>
      <c r="P30" s="5">
        <f t="shared" si="16"/>
        <v>0</v>
      </c>
      <c r="Q30" s="5">
        <f t="shared" si="18"/>
        <v>0</v>
      </c>
      <c r="R30" s="21">
        <f t="shared" si="17"/>
        <v>0</v>
      </c>
      <c r="S30" s="35"/>
      <c r="T30" s="61">
        <v>135</v>
      </c>
      <c r="U30" s="13">
        <f t="shared" si="21"/>
        <v>0</v>
      </c>
      <c r="W30" s="142"/>
    </row>
    <row r="31" spans="1:24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18</v>
      </c>
      <c r="F31" s="95">
        <v>18</v>
      </c>
      <c r="G31" s="95"/>
      <c r="H31" s="95"/>
      <c r="I31" s="13"/>
      <c r="J31" s="33"/>
      <c r="K31" s="33"/>
      <c r="L31" s="33"/>
      <c r="M31" s="33"/>
      <c r="N31" s="33">
        <f>9.6+79.8</f>
        <v>89.399999999999991</v>
      </c>
      <c r="O31" s="5">
        <f t="shared" si="15"/>
        <v>125.39999999999999</v>
      </c>
      <c r="P31" s="5">
        <f t="shared" si="16"/>
        <v>115.04587155963301</v>
      </c>
      <c r="Q31" s="5">
        <f t="shared" si="18"/>
        <v>10.354128440366978</v>
      </c>
      <c r="R31" s="21">
        <f t="shared" si="17"/>
        <v>2.322222222222222</v>
      </c>
      <c r="S31" s="35"/>
      <c r="T31" s="61">
        <v>216</v>
      </c>
      <c r="U31" s="13">
        <f t="shared" si="21"/>
        <v>501.59999999999997</v>
      </c>
      <c r="W31" s="142"/>
    </row>
    <row r="32" spans="1:24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90</v>
      </c>
      <c r="G32" s="95"/>
      <c r="H32" s="95">
        <v>80</v>
      </c>
      <c r="I32" s="13"/>
      <c r="J32" s="33"/>
      <c r="K32" s="33"/>
      <c r="L32" s="33"/>
      <c r="M32" s="33"/>
      <c r="N32" s="33"/>
      <c r="O32" s="5">
        <f t="shared" si="15"/>
        <v>170</v>
      </c>
      <c r="P32" s="5">
        <f t="shared" si="16"/>
        <v>155.96330275229357</v>
      </c>
      <c r="Q32" s="5">
        <f t="shared" si="18"/>
        <v>14.036697247706428</v>
      </c>
      <c r="R32" s="21">
        <f t="shared" si="17"/>
        <v>0.28333333333333333</v>
      </c>
      <c r="S32" s="35"/>
      <c r="T32" s="61"/>
      <c r="U32" s="13"/>
      <c r="W32" s="142"/>
    </row>
    <row r="33" spans="1:24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/>
      <c r="G33" s="95"/>
      <c r="H33" s="95">
        <v>16.670000000000002</v>
      </c>
      <c r="I33" s="13"/>
      <c r="J33" s="33"/>
      <c r="K33" s="33"/>
      <c r="L33" s="33"/>
      <c r="M33" s="33"/>
      <c r="N33" s="33"/>
      <c r="O33" s="5">
        <f t="shared" si="15"/>
        <v>16.670000000000002</v>
      </c>
      <c r="P33" s="5">
        <f t="shared" si="16"/>
        <v>15.293577981651376</v>
      </c>
      <c r="Q33" s="5">
        <f t="shared" si="18"/>
        <v>1.3764220183486255</v>
      </c>
      <c r="R33" s="21">
        <f t="shared" si="17"/>
        <v>5.5566666666666674E-2</v>
      </c>
      <c r="S33" s="35"/>
      <c r="T33" s="61">
        <v>300</v>
      </c>
      <c r="U33" s="13">
        <f t="shared" si="21"/>
        <v>16.670000000000002</v>
      </c>
      <c r="W33" s="142"/>
    </row>
    <row r="34" spans="1:24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4</v>
      </c>
      <c r="F34" s="95">
        <v>34</v>
      </c>
      <c r="G34" s="95"/>
      <c r="H34" s="95"/>
      <c r="I34" s="13"/>
      <c r="J34" s="33"/>
      <c r="K34" s="33"/>
      <c r="L34" s="33"/>
      <c r="M34" s="33">
        <v>14</v>
      </c>
      <c r="N34" s="33"/>
      <c r="O34" s="5">
        <f t="shared" si="15"/>
        <v>52</v>
      </c>
      <c r="P34" s="5">
        <f t="shared" si="16"/>
        <v>47.706422018348619</v>
      </c>
      <c r="Q34" s="5">
        <f t="shared" si="18"/>
        <v>4.2935779816513815</v>
      </c>
      <c r="R34" s="21">
        <f t="shared" si="17"/>
        <v>0.43333333333333335</v>
      </c>
      <c r="S34" s="35"/>
      <c r="T34" s="61">
        <v>480</v>
      </c>
      <c r="U34" s="13">
        <f t="shared" si="21"/>
        <v>208</v>
      </c>
      <c r="W34" s="142"/>
    </row>
    <row r="35" spans="1:24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15"/>
        <v>0</v>
      </c>
      <c r="P35" s="5">
        <f t="shared" si="16"/>
        <v>0</v>
      </c>
      <c r="Q35" s="5">
        <f t="shared" si="18"/>
        <v>0</v>
      </c>
      <c r="R35" s="21">
        <f t="shared" si="17"/>
        <v>0</v>
      </c>
      <c r="S35" s="35"/>
      <c r="T35" s="61"/>
      <c r="U35" s="13"/>
      <c r="W35" s="142"/>
    </row>
    <row r="36" spans="1:24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5"/>
        <v>0</v>
      </c>
      <c r="P36" s="5">
        <f t="shared" si="16"/>
        <v>0</v>
      </c>
      <c r="Q36" s="5">
        <f t="shared" si="18"/>
        <v>0</v>
      </c>
      <c r="R36" s="21">
        <f t="shared" si="17"/>
        <v>0</v>
      </c>
      <c r="S36" s="35"/>
      <c r="T36" s="61">
        <v>270</v>
      </c>
      <c r="U36" s="13">
        <f t="shared" si="21"/>
        <v>0</v>
      </c>
      <c r="W36" s="142"/>
    </row>
    <row r="37" spans="1:24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5">
        <f t="shared" si="15"/>
        <v>0</v>
      </c>
      <c r="P37" s="5">
        <f t="shared" si="16"/>
        <v>0</v>
      </c>
      <c r="Q37" s="5">
        <f t="shared" si="18"/>
        <v>0</v>
      </c>
      <c r="R37" s="21">
        <f t="shared" si="17"/>
        <v>0</v>
      </c>
      <c r="S37" s="35"/>
      <c r="T37" s="61">
        <v>432</v>
      </c>
      <c r="U37" s="13">
        <f t="shared" si="21"/>
        <v>0</v>
      </c>
      <c r="W37" s="142"/>
    </row>
    <row r="38" spans="1:24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/>
      <c r="I38" s="13"/>
      <c r="J38" s="33"/>
      <c r="K38" s="33"/>
      <c r="L38" s="33"/>
      <c r="M38" s="33"/>
      <c r="N38" s="33">
        <v>13.33</v>
      </c>
      <c r="O38" s="5">
        <f t="shared" si="15"/>
        <v>13.33</v>
      </c>
      <c r="P38" s="5">
        <f t="shared" si="16"/>
        <v>12.229357798165136</v>
      </c>
      <c r="Q38" s="5">
        <f t="shared" si="18"/>
        <v>1.1006422018348641</v>
      </c>
      <c r="R38" s="21">
        <f t="shared" si="17"/>
        <v>1.4811111111111112E-2</v>
      </c>
      <c r="S38" s="35"/>
      <c r="T38" s="61"/>
      <c r="U38" s="13"/>
      <c r="W38" s="142"/>
    </row>
    <row r="39" spans="1:24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/>
      <c r="G39" s="95"/>
      <c r="H39" s="95"/>
      <c r="I39" s="13"/>
      <c r="J39" s="33"/>
      <c r="K39" s="33"/>
      <c r="L39" s="33"/>
      <c r="M39" s="33"/>
      <c r="N39" s="33"/>
      <c r="O39" s="5">
        <f t="shared" si="15"/>
        <v>0</v>
      </c>
      <c r="P39" s="5">
        <f t="shared" si="16"/>
        <v>0</v>
      </c>
      <c r="Q39" s="5">
        <f t="shared" si="18"/>
        <v>0</v>
      </c>
      <c r="R39" s="21">
        <f t="shared" si="17"/>
        <v>0</v>
      </c>
      <c r="S39" s="35"/>
      <c r="T39" s="61">
        <v>450</v>
      </c>
      <c r="U39" s="13">
        <f t="shared" si="21"/>
        <v>0</v>
      </c>
      <c r="W39" s="142"/>
    </row>
    <row r="40" spans="1:24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95">
        <v>1.33</v>
      </c>
      <c r="G40" s="95">
        <f>14+2</f>
        <v>16</v>
      </c>
      <c r="H40" s="95"/>
      <c r="I40" s="13"/>
      <c r="J40" s="33"/>
      <c r="K40" s="33"/>
      <c r="L40" s="33"/>
      <c r="M40" s="33"/>
      <c r="N40" s="33">
        <f>20+26.67</f>
        <v>46.67</v>
      </c>
      <c r="O40" s="5">
        <f t="shared" si="15"/>
        <v>64</v>
      </c>
      <c r="P40" s="5">
        <f t="shared" si="16"/>
        <v>58.715596330275226</v>
      </c>
      <c r="Q40" s="5">
        <f t="shared" si="18"/>
        <v>5.2844036697247745</v>
      </c>
      <c r="R40" s="21">
        <f t="shared" si="17"/>
        <v>0.35555555555555557</v>
      </c>
      <c r="S40" s="35"/>
      <c r="T40" s="61">
        <v>720</v>
      </c>
      <c r="U40" s="13">
        <f t="shared" si="21"/>
        <v>256</v>
      </c>
      <c r="W40" s="142"/>
    </row>
    <row r="41" spans="1:24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33">
        <v>87</v>
      </c>
      <c r="O41" s="5">
        <f t="shared" si="15"/>
        <v>87</v>
      </c>
      <c r="P41" s="5">
        <f t="shared" si="16"/>
        <v>79.816513761467888</v>
      </c>
      <c r="Q41" s="5">
        <f t="shared" si="18"/>
        <v>7.1834862385321117</v>
      </c>
      <c r="R41" s="21">
        <f t="shared" si="17"/>
        <v>0.10740740740740741</v>
      </c>
      <c r="S41" s="71"/>
      <c r="T41" s="61"/>
      <c r="U41" s="13"/>
      <c r="W41" s="142"/>
    </row>
    <row r="42" spans="1:24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33"/>
      <c r="O42" s="5">
        <f t="shared" si="15"/>
        <v>0</v>
      </c>
      <c r="P42" s="5">
        <f t="shared" si="16"/>
        <v>0</v>
      </c>
      <c r="Q42" s="5">
        <f t="shared" si="18"/>
        <v>0</v>
      </c>
      <c r="R42" s="21">
        <f t="shared" si="17"/>
        <v>0</v>
      </c>
      <c r="S42" s="71"/>
      <c r="T42" s="61">
        <v>405</v>
      </c>
      <c r="U42" s="13">
        <f t="shared" si="21"/>
        <v>0</v>
      </c>
      <c r="W42" s="142"/>
    </row>
    <row r="43" spans="1:24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39"/>
      <c r="O43" s="26">
        <f t="shared" si="15"/>
        <v>0</v>
      </c>
      <c r="P43" s="26">
        <f t="shared" si="16"/>
        <v>0</v>
      </c>
      <c r="Q43" s="26">
        <f t="shared" si="18"/>
        <v>0</v>
      </c>
      <c r="R43" s="39">
        <f t="shared" si="17"/>
        <v>0</v>
      </c>
      <c r="S43" s="71"/>
      <c r="T43" s="61">
        <v>648</v>
      </c>
      <c r="U43" s="13">
        <f t="shared" si="21"/>
        <v>0</v>
      </c>
      <c r="W43" s="142"/>
    </row>
    <row r="44" spans="1:24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3.42</v>
      </c>
      <c r="F44" s="124">
        <v>321.29000000000002</v>
      </c>
      <c r="G44" s="124">
        <v>47.59</v>
      </c>
      <c r="H44" s="124">
        <v>64.58</v>
      </c>
      <c r="I44" s="124"/>
      <c r="J44" s="124"/>
      <c r="K44" s="124"/>
      <c r="L44" s="124"/>
      <c r="M44" s="124">
        <v>3.59</v>
      </c>
      <c r="N44" s="124">
        <v>1.07</v>
      </c>
      <c r="O44" s="6">
        <f t="shared" si="15"/>
        <v>441.54</v>
      </c>
      <c r="P44" s="124">
        <f t="shared" si="16"/>
        <v>405.08256880733944</v>
      </c>
      <c r="Q44" s="6">
        <f t="shared" si="18"/>
        <v>36.457431192660579</v>
      </c>
      <c r="R44" s="22">
        <f>+O44/D44</f>
        <v>44.154000000000003</v>
      </c>
      <c r="S44" s="71"/>
      <c r="T44" s="61"/>
      <c r="U44" s="13"/>
      <c r="V44" s="2"/>
      <c r="W44" s="1"/>
    </row>
    <row r="45" spans="1:24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3596.49</v>
      </c>
      <c r="F45" s="82">
        <f>+SUM(F46:F54)</f>
        <v>140295.29</v>
      </c>
      <c r="G45" s="82">
        <f>+SUM(G46:G54)</f>
        <v>20842.95</v>
      </c>
      <c r="H45" s="82">
        <f>+SUM(H46:H54)</f>
        <v>4822.9400000000005</v>
      </c>
      <c r="I45" s="82">
        <f t="shared" ref="I45:R45" si="22">+SUM(I46:I54)</f>
        <v>0</v>
      </c>
      <c r="J45" s="82">
        <f t="shared" si="22"/>
        <v>0</v>
      </c>
      <c r="K45" s="100">
        <f t="shared" si="22"/>
        <v>0</v>
      </c>
      <c r="L45" s="100">
        <f t="shared" si="22"/>
        <v>0</v>
      </c>
      <c r="M45" s="100">
        <f t="shared" si="22"/>
        <v>585.30000000000007</v>
      </c>
      <c r="N45" s="100">
        <f t="shared" si="22"/>
        <v>12207.96</v>
      </c>
      <c r="O45" s="42">
        <f>+SUM(O46:O54)</f>
        <v>182350.93</v>
      </c>
      <c r="P45" s="82">
        <f t="shared" si="22"/>
        <v>167294.43119266056</v>
      </c>
      <c r="Q45" s="82">
        <f t="shared" si="22"/>
        <v>15056.498807339462</v>
      </c>
      <c r="R45" s="19">
        <f t="shared" si="22"/>
        <v>28390.000000000004</v>
      </c>
      <c r="S45" s="71"/>
      <c r="T45" s="61"/>
      <c r="U45" s="105">
        <f>+SUM(U46:U69)</f>
        <v>283707.07000000007</v>
      </c>
    </row>
    <row r="46" spans="1:24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360</v>
      </c>
      <c r="F46" s="23">
        <v>15360</v>
      </c>
      <c r="G46" s="28">
        <v>2376</v>
      </c>
      <c r="H46" s="23">
        <v>588</v>
      </c>
      <c r="I46" s="83"/>
      <c r="J46" s="75"/>
      <c r="K46" s="75"/>
      <c r="L46" s="75"/>
      <c r="M46" s="75">
        <v>108</v>
      </c>
      <c r="N46" s="75">
        <v>1236</v>
      </c>
      <c r="O46" s="5">
        <f t="shared" ref="O46:O54" si="23">+SUM(E46:N46)</f>
        <v>20028</v>
      </c>
      <c r="P46" s="99">
        <f t="shared" ref="P46:P54" si="24">+O46/1.09</f>
        <v>18374.311926605504</v>
      </c>
      <c r="Q46" s="64">
        <f t="shared" ref="Q46:Q54" si="25">+O46-P46</f>
        <v>1653.6880733944963</v>
      </c>
      <c r="R46" s="85">
        <f t="shared" ref="R46:R54" si="26">O46/D46</f>
        <v>1669</v>
      </c>
      <c r="S46" s="71"/>
      <c r="T46" s="61"/>
      <c r="U46" s="13"/>
      <c r="V46"/>
      <c r="W46" s="142"/>
      <c r="X46"/>
    </row>
    <row r="47" spans="1:24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198</v>
      </c>
      <c r="F47" s="13">
        <v>2040</v>
      </c>
      <c r="G47" s="17">
        <v>264</v>
      </c>
      <c r="H47" s="23">
        <v>30</v>
      </c>
      <c r="I47" s="13"/>
      <c r="J47" s="33"/>
      <c r="K47" s="33"/>
      <c r="L47" s="33"/>
      <c r="M47" s="33">
        <v>12</v>
      </c>
      <c r="N47" s="33">
        <v>108</v>
      </c>
      <c r="O47" s="5">
        <f t="shared" si="23"/>
        <v>2652</v>
      </c>
      <c r="P47" s="5">
        <f t="shared" si="24"/>
        <v>2433.0275229357794</v>
      </c>
      <c r="Q47" s="5">
        <f t="shared" si="25"/>
        <v>218.97247706422058</v>
      </c>
      <c r="R47" s="31">
        <f t="shared" si="26"/>
        <v>442</v>
      </c>
      <c r="S47" s="71"/>
      <c r="T47" s="61">
        <v>6</v>
      </c>
      <c r="U47" s="13">
        <f t="shared" ref="U47:U48" si="27">+R47*T47</f>
        <v>2652</v>
      </c>
      <c r="W47" s="142"/>
    </row>
    <row r="48" spans="1:24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f>40.8+698.4</f>
        <v>739.19999999999993</v>
      </c>
      <c r="F48" s="13">
        <f>141.6+35476.8</f>
        <v>35618.400000000001</v>
      </c>
      <c r="G48" s="17">
        <f>28.8+6849.6</f>
        <v>6878.4000000000005</v>
      </c>
      <c r="H48" s="23">
        <v>268.8</v>
      </c>
      <c r="I48" s="13"/>
      <c r="J48" s="33"/>
      <c r="K48" s="33"/>
      <c r="L48" s="33"/>
      <c r="M48" s="33">
        <f>4.8+84</f>
        <v>88.8</v>
      </c>
      <c r="N48" s="33">
        <f>24+2359.2</f>
        <v>2383.1999999999998</v>
      </c>
      <c r="O48" s="5">
        <f t="shared" si="23"/>
        <v>45976.800000000003</v>
      </c>
      <c r="P48" s="5">
        <f t="shared" si="24"/>
        <v>42180.550458715596</v>
      </c>
      <c r="Q48" s="5">
        <f t="shared" si="25"/>
        <v>3796.2495412844073</v>
      </c>
      <c r="R48" s="31">
        <f t="shared" si="26"/>
        <v>19157.000000000004</v>
      </c>
      <c r="S48" s="71"/>
      <c r="T48" s="61">
        <v>9.6</v>
      </c>
      <c r="U48" s="13">
        <f t="shared" si="27"/>
        <v>183907.20000000004</v>
      </c>
      <c r="W48" s="142"/>
    </row>
    <row r="49" spans="1:23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322</v>
      </c>
      <c r="F49" s="13">
        <v>14301</v>
      </c>
      <c r="G49" s="13">
        <v>1491</v>
      </c>
      <c r="H49" s="13">
        <v>1232</v>
      </c>
      <c r="I49" s="13"/>
      <c r="J49" s="33"/>
      <c r="K49" s="33"/>
      <c r="L49" s="33"/>
      <c r="M49" s="33">
        <v>42</v>
      </c>
      <c r="N49" s="33">
        <v>1239</v>
      </c>
      <c r="O49" s="5">
        <f t="shared" si="23"/>
        <v>18627</v>
      </c>
      <c r="P49" s="5">
        <f t="shared" si="24"/>
        <v>17088.990825688074</v>
      </c>
      <c r="Q49" s="5">
        <f t="shared" si="25"/>
        <v>1538.0091743119265</v>
      </c>
      <c r="R49" s="31">
        <f t="shared" si="26"/>
        <v>887</v>
      </c>
      <c r="S49" s="71"/>
      <c r="T49" s="61"/>
      <c r="U49" s="13"/>
      <c r="W49" s="142"/>
    </row>
    <row r="50" spans="1:23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31.5</v>
      </c>
      <c r="F50" s="13">
        <v>1421</v>
      </c>
      <c r="G50" s="13">
        <v>224</v>
      </c>
      <c r="H50" s="13">
        <v>52.5</v>
      </c>
      <c r="I50" s="13"/>
      <c r="J50" s="33"/>
      <c r="K50" s="33"/>
      <c r="L50" s="33"/>
      <c r="M50" s="33">
        <v>31.5</v>
      </c>
      <c r="N50" s="33">
        <v>94.5</v>
      </c>
      <c r="O50" s="5">
        <f t="shared" si="23"/>
        <v>1855</v>
      </c>
      <c r="P50" s="5">
        <f t="shared" si="24"/>
        <v>1701.834862385321</v>
      </c>
      <c r="Q50" s="5">
        <f t="shared" si="25"/>
        <v>153.165137614679</v>
      </c>
      <c r="R50" s="21">
        <f t="shared" si="26"/>
        <v>176.66666666666666</v>
      </c>
      <c r="S50" s="71"/>
      <c r="T50" s="61">
        <v>10.5</v>
      </c>
      <c r="U50" s="13">
        <f t="shared" ref="U50:U51" si="28">+R50*T50</f>
        <v>1855</v>
      </c>
      <c r="W50" s="142"/>
    </row>
    <row r="51" spans="1:23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f>37.8+194.6</f>
        <v>232.39999999999998</v>
      </c>
      <c r="F51" s="13">
        <f>68.6+9318.4</f>
        <v>9387</v>
      </c>
      <c r="G51" s="13">
        <f>8.4+1190</f>
        <v>1198.4000000000001</v>
      </c>
      <c r="H51" s="13">
        <v>173.6</v>
      </c>
      <c r="I51" s="13"/>
      <c r="J51" s="33"/>
      <c r="K51" s="33"/>
      <c r="L51" s="33"/>
      <c r="M51" s="33">
        <v>40.6</v>
      </c>
      <c r="N51" s="33">
        <f>12.6+1531.6</f>
        <v>1544.1999999999998</v>
      </c>
      <c r="O51" s="5">
        <f t="shared" si="23"/>
        <v>12576.2</v>
      </c>
      <c r="P51" s="5">
        <f t="shared" si="24"/>
        <v>11537.798165137614</v>
      </c>
      <c r="Q51" s="5">
        <f t="shared" si="25"/>
        <v>1038.4018348623867</v>
      </c>
      <c r="R51" s="21">
        <f t="shared" si="26"/>
        <v>2994.3333333333335</v>
      </c>
      <c r="S51" s="71"/>
      <c r="T51" s="61">
        <v>16.8</v>
      </c>
      <c r="U51" s="13">
        <f t="shared" si="28"/>
        <v>50304.800000000003</v>
      </c>
      <c r="W51" s="142"/>
    </row>
    <row r="52" spans="1:23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1439.1</v>
      </c>
      <c r="F52" s="13">
        <v>50454.6</v>
      </c>
      <c r="G52" s="13">
        <v>6666.6</v>
      </c>
      <c r="H52" s="13">
        <v>2222.1999999999998</v>
      </c>
      <c r="I52" s="13"/>
      <c r="J52" s="33"/>
      <c r="K52" s="33"/>
      <c r="L52" s="33"/>
      <c r="M52" s="33">
        <v>200.9</v>
      </c>
      <c r="N52" s="33">
        <v>4268.1000000000004</v>
      </c>
      <c r="O52" s="5">
        <f t="shared" si="23"/>
        <v>65251.499999999993</v>
      </c>
      <c r="P52" s="5">
        <f t="shared" si="24"/>
        <v>59863.761467889897</v>
      </c>
      <c r="Q52" s="5">
        <f t="shared" si="25"/>
        <v>5387.7385321100955</v>
      </c>
      <c r="R52" s="21">
        <f t="shared" si="26"/>
        <v>1591.4999999999998</v>
      </c>
      <c r="S52" s="71"/>
      <c r="T52" s="61"/>
      <c r="U52" s="13"/>
      <c r="W52" s="142"/>
    </row>
    <row r="53" spans="1:23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120.95</v>
      </c>
      <c r="F53" s="13">
        <v>4434.1499999999996</v>
      </c>
      <c r="G53" s="13">
        <v>649.85</v>
      </c>
      <c r="H53" s="13">
        <v>73.8</v>
      </c>
      <c r="I53" s="13"/>
      <c r="J53" s="33"/>
      <c r="K53" s="33"/>
      <c r="L53" s="33"/>
      <c r="M53" s="33">
        <v>61.5</v>
      </c>
      <c r="N53" s="33">
        <v>176.3</v>
      </c>
      <c r="O53" s="5">
        <f t="shared" si="23"/>
        <v>5516.55</v>
      </c>
      <c r="P53" s="5">
        <f t="shared" si="24"/>
        <v>5061.0550458715597</v>
      </c>
      <c r="Q53" s="5">
        <f t="shared" si="25"/>
        <v>455.49495412844044</v>
      </c>
      <c r="R53" s="21">
        <f t="shared" si="26"/>
        <v>269.10000000000002</v>
      </c>
      <c r="S53" s="71"/>
      <c r="T53" s="61">
        <v>20.5</v>
      </c>
      <c r="U53" s="13">
        <f t="shared" ref="U53:U54" si="29">+R53*T53</f>
        <v>5516.55</v>
      </c>
      <c r="W53" s="142"/>
    </row>
    <row r="54" spans="1:23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153.34</v>
      </c>
      <c r="F54" s="14">
        <f>89.38+7189.76</f>
        <v>7279.14</v>
      </c>
      <c r="G54" s="14">
        <f>8.2+1086.5</f>
        <v>1094.7</v>
      </c>
      <c r="H54" s="14">
        <v>182.04</v>
      </c>
      <c r="I54" s="14"/>
      <c r="J54" s="76"/>
      <c r="K54" s="76"/>
      <c r="L54" s="76"/>
      <c r="M54" s="76"/>
      <c r="N54" s="76">
        <f>8.2+1150.46</f>
        <v>1158.6600000000001</v>
      </c>
      <c r="O54" s="6">
        <f t="shared" si="23"/>
        <v>9867.880000000001</v>
      </c>
      <c r="P54" s="6">
        <f t="shared" si="24"/>
        <v>9053.100917431193</v>
      </c>
      <c r="Q54" s="6">
        <f t="shared" si="25"/>
        <v>814.77908256880801</v>
      </c>
      <c r="R54" s="22">
        <f t="shared" si="26"/>
        <v>1203.4000000000003</v>
      </c>
      <c r="S54" s="35"/>
      <c r="T54" s="61">
        <v>32.799999999999997</v>
      </c>
      <c r="U54" s="13">
        <f t="shared" si="29"/>
        <v>39471.520000000004</v>
      </c>
      <c r="W54" s="142"/>
    </row>
    <row r="55" spans="1:23" x14ac:dyDescent="0.25"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6" spans="1:23" x14ac:dyDescent="0.25">
      <c r="E56" s="2"/>
      <c r="F56" s="2"/>
      <c r="G56" s="2"/>
      <c r="H56" s="2"/>
      <c r="I56" s="2"/>
      <c r="J56" s="2"/>
      <c r="K56" s="2"/>
      <c r="L56" s="2"/>
      <c r="M56" s="2"/>
      <c r="O56" s="2"/>
      <c r="P56" s="2"/>
      <c r="Q56" s="2"/>
    </row>
    <row r="58" spans="1:23" x14ac:dyDescent="0.25">
      <c r="N58" s="137"/>
    </row>
    <row r="74" spans="2:2" x14ac:dyDescent="0.25">
      <c r="B74" s="1"/>
    </row>
  </sheetData>
  <mergeCells count="18">
    <mergeCell ref="U4:U5"/>
    <mergeCell ref="G4:G5"/>
    <mergeCell ref="H4:H5"/>
    <mergeCell ref="I4:I5"/>
    <mergeCell ref="J4:J5"/>
    <mergeCell ref="K4:L4"/>
    <mergeCell ref="M4:M5"/>
    <mergeCell ref="N4:N5"/>
    <mergeCell ref="O4:O5"/>
    <mergeCell ref="P4:P5"/>
    <mergeCell ref="Q4:Q5"/>
    <mergeCell ref="R4:R5"/>
    <mergeCell ref="F4:F5"/>
    <mergeCell ref="A4:A5"/>
    <mergeCell ref="B4:B5"/>
    <mergeCell ref="C4:C5"/>
    <mergeCell ref="D4:D5"/>
    <mergeCell ref="E4:E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X73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21" sqref="N21"/>
    </sheetView>
  </sheetViews>
  <sheetFormatPr defaultColWidth="8.88671875" defaultRowHeight="13.2" outlineLevelCol="1" x14ac:dyDescent="0.25"/>
  <cols>
    <col min="1" max="1" width="10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 outlineLevel="1"/>
    <col min="6" max="6" width="13.332031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4" width="13" style="1" customWidth="1" outlineLevel="1"/>
    <col min="15" max="15" width="12.3320312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5546875" style="2" customWidth="1"/>
    <col min="22" max="22" width="11.33203125" style="1" bestFit="1" customWidth="1"/>
    <col min="23" max="23" width="8.88671875" style="141"/>
    <col min="24" max="16384" width="8.88671875" style="1"/>
  </cols>
  <sheetData>
    <row r="1" spans="1:22" ht="22.2" customHeight="1" x14ac:dyDescent="0.3">
      <c r="A1" s="40" t="s">
        <v>299</v>
      </c>
      <c r="K1" s="2"/>
      <c r="L1" s="2"/>
      <c r="M1" s="2"/>
      <c r="N1" s="2"/>
    </row>
    <row r="2" spans="1:22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P2" s="3"/>
      <c r="R2" s="3"/>
    </row>
    <row r="3" spans="1:22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2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309</v>
      </c>
      <c r="M4" s="575"/>
      <c r="N4" s="581"/>
      <c r="O4" s="591"/>
      <c r="P4" s="592"/>
      <c r="Q4" s="592"/>
      <c r="R4" s="592"/>
      <c r="T4" s="87"/>
      <c r="U4" s="585"/>
    </row>
    <row r="5" spans="1:22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51334.680000000008</v>
      </c>
      <c r="F5" s="82">
        <f t="shared" si="0"/>
        <v>2125995.46</v>
      </c>
      <c r="G5" s="82">
        <f t="shared" si="0"/>
        <v>322140.09000000003</v>
      </c>
      <c r="H5" s="82">
        <f t="shared" si="0"/>
        <v>48586.8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87">
        <f t="shared" ref="M5:R5" si="1">+M6+M18+M44</f>
        <v>17374.810000000001</v>
      </c>
      <c r="N5" s="19">
        <f t="shared" si="1"/>
        <v>226161.74000000002</v>
      </c>
      <c r="O5" s="42">
        <f t="shared" si="1"/>
        <v>2791593.58</v>
      </c>
      <c r="P5" s="42">
        <f t="shared" si="1"/>
        <v>2561095.0275229365</v>
      </c>
      <c r="Q5" s="42">
        <f t="shared" si="1"/>
        <v>230498.55247706434</v>
      </c>
      <c r="R5" s="42">
        <f t="shared" si="1"/>
        <v>54332.884725925898</v>
      </c>
      <c r="S5" s="71"/>
      <c r="T5" s="87"/>
      <c r="U5" s="135">
        <f>+U7+U18+U44</f>
        <v>2542814.1499999994</v>
      </c>
    </row>
    <row r="6" spans="1:22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2">+E7+E11</f>
        <v>0</v>
      </c>
      <c r="F6" s="82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187">
        <f t="shared" si="2"/>
        <v>0</v>
      </c>
      <c r="K6" s="187">
        <f t="shared" si="2"/>
        <v>0</v>
      </c>
      <c r="L6" s="187"/>
      <c r="M6" s="187">
        <f t="shared" ref="M6:R6" si="3">+M7+M11</f>
        <v>0</v>
      </c>
      <c r="N6" s="19">
        <f t="shared" si="3"/>
        <v>0</v>
      </c>
      <c r="O6" s="42">
        <f t="shared" si="3"/>
        <v>0</v>
      </c>
      <c r="P6" s="42">
        <f t="shared" si="3"/>
        <v>0</v>
      </c>
      <c r="Q6" s="42">
        <f t="shared" si="3"/>
        <v>0</v>
      </c>
      <c r="R6" s="44">
        <f t="shared" si="3"/>
        <v>0</v>
      </c>
      <c r="T6" s="61"/>
      <c r="U6" s="13"/>
    </row>
    <row r="7" spans="1:22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4">+SUM(E8:E10)</f>
        <v>0</v>
      </c>
      <c r="F7" s="79">
        <f t="shared" si="4"/>
        <v>0</v>
      </c>
      <c r="G7" s="79">
        <f t="shared" si="4"/>
        <v>0</v>
      </c>
      <c r="H7" s="79">
        <f t="shared" si="4"/>
        <v>0</v>
      </c>
      <c r="I7" s="79">
        <f t="shared" si="4"/>
        <v>0</v>
      </c>
      <c r="J7" s="79">
        <f t="shared" si="4"/>
        <v>0</v>
      </c>
      <c r="K7" s="79">
        <f t="shared" si="4"/>
        <v>0</v>
      </c>
      <c r="L7" s="79"/>
      <c r="M7" s="79">
        <f t="shared" ref="M7:R7" si="5">+SUM(M8:M10)</f>
        <v>0</v>
      </c>
      <c r="N7" s="79">
        <f t="shared" si="5"/>
        <v>0</v>
      </c>
      <c r="O7" s="225">
        <f t="shared" si="5"/>
        <v>0</v>
      </c>
      <c r="P7" s="79">
        <f t="shared" si="5"/>
        <v>0</v>
      </c>
      <c r="Q7" s="79">
        <f t="shared" si="5"/>
        <v>0</v>
      </c>
      <c r="R7" s="226">
        <f t="shared" si="5"/>
        <v>0</v>
      </c>
      <c r="S7" s="71"/>
      <c r="T7" s="134"/>
      <c r="U7" s="105">
        <f>+SUM(U8:U17)</f>
        <v>0</v>
      </c>
    </row>
    <row r="8" spans="1:22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36"/>
      <c r="O8" s="5">
        <f>+SUM(E8:N8)</f>
        <v>0</v>
      </c>
      <c r="P8" s="5">
        <f t="shared" ref="P8:P10" si="6">+O8/1.09</f>
        <v>0</v>
      </c>
      <c r="Q8" s="5">
        <f t="shared" ref="Q8:Q10" si="7">+O8-P8</f>
        <v>0</v>
      </c>
      <c r="R8" s="21">
        <f>O8/D8</f>
        <v>0</v>
      </c>
      <c r="S8" s="71"/>
      <c r="T8" s="61"/>
      <c r="U8" s="13"/>
      <c r="V8" s="2"/>
    </row>
    <row r="9" spans="1:22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8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43"/>
      <c r="O9" s="26">
        <f>+SUM(E9:N9)</f>
        <v>0</v>
      </c>
      <c r="P9" s="26">
        <f t="shared" si="6"/>
        <v>0</v>
      </c>
      <c r="Q9" s="26">
        <f t="shared" si="7"/>
        <v>0</v>
      </c>
      <c r="R9" s="39">
        <f>O9/D9</f>
        <v>0</v>
      </c>
      <c r="S9" s="71"/>
      <c r="T9" s="61">
        <v>1.75</v>
      </c>
      <c r="U9" s="13">
        <f>+R9*T9</f>
        <v>0</v>
      </c>
    </row>
    <row r="10" spans="1:22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6">
        <f>+SUM(E10:N10)</f>
        <v>0</v>
      </c>
      <c r="P10" s="6">
        <f t="shared" si="6"/>
        <v>0</v>
      </c>
      <c r="Q10" s="6">
        <f t="shared" si="7"/>
        <v>0</v>
      </c>
      <c r="R10" s="22">
        <f>O10/D10</f>
        <v>0</v>
      </c>
      <c r="S10" s="71"/>
      <c r="T10" s="107">
        <v>2.8</v>
      </c>
      <c r="U10" s="13">
        <f>+R10*T10</f>
        <v>0</v>
      </c>
    </row>
    <row r="11" spans="1:22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9">+SUM(E12:E17)</f>
        <v>0</v>
      </c>
      <c r="F11" s="84">
        <f t="shared" si="9"/>
        <v>0</v>
      </c>
      <c r="G11" s="84">
        <f t="shared" si="9"/>
        <v>0</v>
      </c>
      <c r="H11" s="84">
        <f t="shared" si="9"/>
        <v>0</v>
      </c>
      <c r="I11" s="84">
        <f t="shared" si="9"/>
        <v>0</v>
      </c>
      <c r="J11" s="74">
        <f t="shared" si="9"/>
        <v>0</v>
      </c>
      <c r="K11" s="101">
        <f t="shared" si="9"/>
        <v>0</v>
      </c>
      <c r="L11" s="101"/>
      <c r="M11" s="101">
        <f t="shared" ref="M11:R11" si="10">+SUM(M12:M17)</f>
        <v>0</v>
      </c>
      <c r="N11" s="101">
        <f t="shared" si="10"/>
        <v>0</v>
      </c>
      <c r="O11" s="43">
        <f t="shared" si="10"/>
        <v>0</v>
      </c>
      <c r="P11" s="43">
        <f t="shared" si="10"/>
        <v>0</v>
      </c>
      <c r="Q11" s="43">
        <f t="shared" si="10"/>
        <v>0</v>
      </c>
      <c r="R11" s="45">
        <f t="shared" si="10"/>
        <v>0</v>
      </c>
      <c r="S11" s="71"/>
      <c r="T11" s="61"/>
      <c r="U11" s="13"/>
    </row>
    <row r="12" spans="1:22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33"/>
      <c r="O12" s="5">
        <f t="shared" ref="O12:O17" si="11">+SUM(E12:N12)</f>
        <v>0</v>
      </c>
      <c r="P12" s="5">
        <f t="shared" ref="P12:P17" si="12">+O12/1.09</f>
        <v>0</v>
      </c>
      <c r="Q12" s="5">
        <f t="shared" ref="Q12:Q17" si="13">+O12-P12</f>
        <v>0</v>
      </c>
      <c r="R12" s="21">
        <f t="shared" ref="R12:R17" si="14">O12/D12</f>
        <v>0</v>
      </c>
      <c r="S12" s="2"/>
      <c r="T12" s="61"/>
      <c r="U12" s="13"/>
    </row>
    <row r="13" spans="1:22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33"/>
      <c r="O13" s="5">
        <f t="shared" si="11"/>
        <v>0</v>
      </c>
      <c r="P13" s="5">
        <f t="shared" si="12"/>
        <v>0</v>
      </c>
      <c r="Q13" s="5">
        <f t="shared" si="13"/>
        <v>0</v>
      </c>
      <c r="R13" s="21">
        <f t="shared" si="14"/>
        <v>0</v>
      </c>
      <c r="S13" s="71"/>
      <c r="T13" s="107">
        <v>1.1000000000000001</v>
      </c>
      <c r="U13" s="13">
        <f t="shared" ref="U13:U14" si="15">+R13*T13</f>
        <v>0</v>
      </c>
    </row>
    <row r="14" spans="1:22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33"/>
      <c r="O14" s="5">
        <f t="shared" si="11"/>
        <v>0</v>
      </c>
      <c r="P14" s="5">
        <f t="shared" si="12"/>
        <v>0</v>
      </c>
      <c r="Q14" s="5">
        <f t="shared" si="13"/>
        <v>0</v>
      </c>
      <c r="R14" s="21">
        <f t="shared" si="14"/>
        <v>0</v>
      </c>
      <c r="S14" s="71"/>
      <c r="T14" s="61">
        <v>1.76</v>
      </c>
      <c r="U14" s="13">
        <f t="shared" si="15"/>
        <v>0</v>
      </c>
    </row>
    <row r="15" spans="1:22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33"/>
      <c r="O15" s="5">
        <f t="shared" si="11"/>
        <v>0</v>
      </c>
      <c r="P15" s="5">
        <f t="shared" si="12"/>
        <v>0</v>
      </c>
      <c r="Q15" s="5">
        <f t="shared" si="13"/>
        <v>0</v>
      </c>
      <c r="R15" s="21">
        <f t="shared" si="14"/>
        <v>0</v>
      </c>
      <c r="S15" s="71"/>
      <c r="T15" s="61"/>
      <c r="U15" s="13"/>
    </row>
    <row r="16" spans="1:22" ht="12.75" x14ac:dyDescent="0.2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33"/>
      <c r="O16" s="5">
        <f t="shared" si="11"/>
        <v>0</v>
      </c>
      <c r="P16" s="5">
        <f t="shared" si="12"/>
        <v>0</v>
      </c>
      <c r="Q16" s="5">
        <f t="shared" si="13"/>
        <v>0</v>
      </c>
      <c r="R16" s="21">
        <f t="shared" si="14"/>
        <v>0</v>
      </c>
      <c r="S16" s="71"/>
      <c r="T16" s="107">
        <v>1.6</v>
      </c>
      <c r="U16" s="13">
        <f t="shared" ref="U16:U17" si="16">+R16*T16</f>
        <v>0</v>
      </c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76"/>
      <c r="O17" s="5">
        <f t="shared" si="11"/>
        <v>0</v>
      </c>
      <c r="P17" s="5">
        <f t="shared" si="12"/>
        <v>0</v>
      </c>
      <c r="Q17" s="5">
        <f t="shared" si="13"/>
        <v>0</v>
      </c>
      <c r="R17" s="22">
        <f t="shared" si="14"/>
        <v>0</v>
      </c>
      <c r="S17" s="71"/>
      <c r="T17" s="61">
        <v>2.56</v>
      </c>
      <c r="U17" s="13">
        <f t="shared" si="16"/>
        <v>0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51104.270000000004</v>
      </c>
      <c r="F18" s="118">
        <f t="shared" ref="F18:R18" si="17">+SUM(F19:F43)</f>
        <v>2115211.0499999998</v>
      </c>
      <c r="G18" s="118">
        <f t="shared" si="17"/>
        <v>320797.84000000003</v>
      </c>
      <c r="H18" s="118">
        <f t="shared" si="17"/>
        <v>48180.94</v>
      </c>
      <c r="I18" s="118">
        <f t="shared" si="17"/>
        <v>0</v>
      </c>
      <c r="J18" s="118">
        <f t="shared" si="17"/>
        <v>0</v>
      </c>
      <c r="K18" s="118">
        <f t="shared" si="17"/>
        <v>0</v>
      </c>
      <c r="L18" s="118"/>
      <c r="M18" s="118">
        <f t="shared" si="17"/>
        <v>17328.310000000001</v>
      </c>
      <c r="N18" s="118">
        <f t="shared" si="17"/>
        <v>225417.00000000003</v>
      </c>
      <c r="O18" s="118">
        <f t="shared" si="17"/>
        <v>2778039.41</v>
      </c>
      <c r="P18" s="118">
        <f t="shared" si="17"/>
        <v>2548660.0091743125</v>
      </c>
      <c r="Q18" s="118">
        <f t="shared" si="17"/>
        <v>229379.40082568818</v>
      </c>
      <c r="R18" s="118">
        <f t="shared" si="17"/>
        <v>53745.884725925898</v>
      </c>
      <c r="S18" s="71"/>
      <c r="T18" s="61"/>
      <c r="U18" s="105">
        <f>+SUM(U19:U42)</f>
        <v>2534841.3199999994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30813.33</v>
      </c>
      <c r="F19" s="92">
        <v>1193283.33</v>
      </c>
      <c r="G19" s="92">
        <v>172706.67</v>
      </c>
      <c r="H19" s="92">
        <v>26520</v>
      </c>
      <c r="I19" s="23"/>
      <c r="J19" s="34"/>
      <c r="K19" s="34"/>
      <c r="L19" s="34"/>
      <c r="M19" s="34">
        <v>10950</v>
      </c>
      <c r="N19" s="34">
        <v>111886.66</v>
      </c>
      <c r="O19" s="5">
        <f t="shared" ref="O19:O43" si="18">+SUM(E19:N19)</f>
        <v>1546159.99</v>
      </c>
      <c r="P19" s="99">
        <f t="shared" ref="P19:P43" si="19">+O19/1.09</f>
        <v>1418495.4036697247</v>
      </c>
      <c r="Q19" s="24">
        <f>+O19-P19</f>
        <v>127664.58633027528</v>
      </c>
      <c r="R19" s="94">
        <f t="shared" ref="R19:R42" si="20">O19/D19</f>
        <v>15461.599899999999</v>
      </c>
      <c r="S19" s="41"/>
      <c r="T19" s="61"/>
      <c r="U19" s="106"/>
      <c r="V19"/>
      <c r="W19" s="142"/>
      <c r="X19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5343.33</v>
      </c>
      <c r="F20" s="48">
        <v>351210</v>
      </c>
      <c r="G20" s="48">
        <v>51435</v>
      </c>
      <c r="H20" s="48">
        <v>8705</v>
      </c>
      <c r="I20" s="13"/>
      <c r="J20" s="33"/>
      <c r="K20" s="33"/>
      <c r="L20" s="33"/>
      <c r="M20" s="33">
        <v>3421.67</v>
      </c>
      <c r="N20" s="33">
        <v>6500</v>
      </c>
      <c r="O20" s="5">
        <f t="shared" si="18"/>
        <v>426615</v>
      </c>
      <c r="P20" s="5">
        <f t="shared" si="19"/>
        <v>391389.90825688071</v>
      </c>
      <c r="Q20" s="5">
        <f t="shared" ref="Q20:Q43" si="21">+O20-P20</f>
        <v>35225.091743119294</v>
      </c>
      <c r="R20" s="21">
        <f t="shared" si="20"/>
        <v>8532.2999999999993</v>
      </c>
      <c r="S20" s="41"/>
      <c r="T20" s="61">
        <v>50</v>
      </c>
      <c r="U20" s="13">
        <f t="shared" ref="U20:U21" si="22">+R20*T20</f>
        <v>426614.99999999994</v>
      </c>
      <c r="W20" s="142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f>728.67+8659.33</f>
        <v>9388</v>
      </c>
      <c r="F21" s="95">
        <f>4530.67+369004</f>
        <v>373534.67</v>
      </c>
      <c r="G21" s="95">
        <f>924.67+64645.33</f>
        <v>65570</v>
      </c>
      <c r="H21" s="95">
        <v>4645.33</v>
      </c>
      <c r="I21" s="13"/>
      <c r="J21" s="33"/>
      <c r="K21" s="33"/>
      <c r="L21" s="33"/>
      <c r="M21" s="33">
        <f>18+1344</f>
        <v>1362</v>
      </c>
      <c r="N21" s="33">
        <f>456.67+41284-80</f>
        <v>41660.67</v>
      </c>
      <c r="O21" s="5">
        <f t="shared" si="18"/>
        <v>496160.67</v>
      </c>
      <c r="P21" s="5">
        <f t="shared" si="19"/>
        <v>455193.27522935777</v>
      </c>
      <c r="Q21" s="5">
        <f t="shared" si="21"/>
        <v>40967.394770642219</v>
      </c>
      <c r="R21" s="21">
        <f t="shared" si="20"/>
        <v>24808.033499999998</v>
      </c>
      <c r="S21" s="41"/>
      <c r="T21" s="61">
        <v>80</v>
      </c>
      <c r="U21" s="13">
        <f t="shared" si="22"/>
        <v>1984642.6799999997</v>
      </c>
      <c r="W21" s="142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4530</v>
      </c>
      <c r="F22" s="48">
        <v>160347</v>
      </c>
      <c r="G22" s="95">
        <v>25407</v>
      </c>
      <c r="H22" s="95">
        <v>4815</v>
      </c>
      <c r="I22" s="13"/>
      <c r="J22" s="33"/>
      <c r="K22" s="33"/>
      <c r="L22" s="33"/>
      <c r="M22" s="33">
        <v>1278</v>
      </c>
      <c r="N22" s="33">
        <v>43314</v>
      </c>
      <c r="O22" s="5">
        <f t="shared" si="18"/>
        <v>239691</v>
      </c>
      <c r="P22" s="5">
        <f t="shared" si="19"/>
        <v>219899.99999999997</v>
      </c>
      <c r="Q22" s="5">
        <f t="shared" si="21"/>
        <v>19791.000000000029</v>
      </c>
      <c r="R22" s="21">
        <f t="shared" si="20"/>
        <v>2663.2333333333331</v>
      </c>
      <c r="S22" s="41"/>
      <c r="T22" s="61"/>
      <c r="U22" s="13"/>
      <c r="W22" s="142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115.5</v>
      </c>
      <c r="F23" s="95">
        <v>9021</v>
      </c>
      <c r="G23" s="95">
        <v>1558.5</v>
      </c>
      <c r="H23" s="95">
        <v>348</v>
      </c>
      <c r="I23" s="13"/>
      <c r="J23" s="33"/>
      <c r="K23" s="33"/>
      <c r="L23" s="33"/>
      <c r="M23" s="33">
        <v>1.5</v>
      </c>
      <c r="N23" s="33">
        <v>1896</v>
      </c>
      <c r="O23" s="5">
        <f t="shared" si="18"/>
        <v>12940.5</v>
      </c>
      <c r="P23" s="5">
        <f t="shared" si="19"/>
        <v>11872.018348623853</v>
      </c>
      <c r="Q23" s="5">
        <f t="shared" si="21"/>
        <v>1068.4816513761471</v>
      </c>
      <c r="R23" s="21">
        <f t="shared" si="20"/>
        <v>287.56666666666666</v>
      </c>
      <c r="S23" s="35"/>
      <c r="T23" s="61">
        <v>45</v>
      </c>
      <c r="U23" s="13">
        <f t="shared" ref="U23:U24" si="23">+R23*T23</f>
        <v>12940.5</v>
      </c>
      <c r="W23" s="142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f>53.4+466.8</f>
        <v>520.20000000000005</v>
      </c>
      <c r="F24" s="95">
        <f>39.6+8294.4</f>
        <v>8334</v>
      </c>
      <c r="G24" s="95">
        <f>0.6+1428</f>
        <v>1428.6</v>
      </c>
      <c r="H24" s="95">
        <v>280.2</v>
      </c>
      <c r="I24" s="13"/>
      <c r="J24" s="33"/>
      <c r="K24" s="33"/>
      <c r="L24" s="33"/>
      <c r="M24" s="33">
        <v>77.400000000000006</v>
      </c>
      <c r="N24" s="33">
        <f>91.8+3210</f>
        <v>3301.8</v>
      </c>
      <c r="O24" s="5">
        <f t="shared" si="18"/>
        <v>13942.2</v>
      </c>
      <c r="P24" s="5">
        <f t="shared" si="19"/>
        <v>12791.009174311926</v>
      </c>
      <c r="Q24" s="5">
        <f t="shared" si="21"/>
        <v>1151.1908256880743</v>
      </c>
      <c r="R24" s="21">
        <f t="shared" si="20"/>
        <v>774.56666666666672</v>
      </c>
      <c r="S24" s="35"/>
      <c r="T24" s="61">
        <v>72</v>
      </c>
      <c r="U24" s="13">
        <f t="shared" si="23"/>
        <v>55768.800000000003</v>
      </c>
      <c r="W24" s="142"/>
    </row>
    <row r="25" spans="1:24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3746.67</v>
      </c>
      <c r="G25" s="95">
        <v>290</v>
      </c>
      <c r="H25" s="95"/>
      <c r="I25" s="13"/>
      <c r="J25" s="33"/>
      <c r="K25" s="33"/>
      <c r="L25" s="33"/>
      <c r="M25" s="33"/>
      <c r="N25" s="33">
        <v>4876.67</v>
      </c>
      <c r="O25" s="5">
        <f t="shared" si="18"/>
        <v>8913.34</v>
      </c>
      <c r="P25" s="5">
        <f t="shared" si="19"/>
        <v>8177.3761467889908</v>
      </c>
      <c r="Q25" s="5">
        <f t="shared" si="21"/>
        <v>735.96385321100934</v>
      </c>
      <c r="R25" s="21">
        <f t="shared" si="20"/>
        <v>29.711133333333333</v>
      </c>
      <c r="S25" s="35"/>
      <c r="T25" s="61"/>
      <c r="U25" s="13"/>
      <c r="W25" s="142"/>
    </row>
    <row r="26" spans="1:24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2215</v>
      </c>
      <c r="G26" s="95">
        <v>148.33000000000001</v>
      </c>
      <c r="H26" s="95">
        <v>278.33</v>
      </c>
      <c r="I26" s="13"/>
      <c r="J26" s="33"/>
      <c r="K26" s="33"/>
      <c r="L26" s="33"/>
      <c r="M26" s="33"/>
      <c r="N26" s="33">
        <v>821.67</v>
      </c>
      <c r="O26" s="5">
        <f t="shared" si="18"/>
        <v>3463.33</v>
      </c>
      <c r="P26" s="5">
        <f t="shared" si="19"/>
        <v>3177.3669724770639</v>
      </c>
      <c r="Q26" s="5">
        <f t="shared" si="21"/>
        <v>285.96302752293604</v>
      </c>
      <c r="R26" s="21">
        <f t="shared" si="20"/>
        <v>23.088866666666664</v>
      </c>
      <c r="S26" s="35"/>
      <c r="T26" s="61">
        <v>150</v>
      </c>
      <c r="U26" s="13">
        <f t="shared" ref="U26:U42" si="24">+R26*T26</f>
        <v>3463.3299999999995</v>
      </c>
      <c r="W26" s="142"/>
    </row>
    <row r="27" spans="1:24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145.33000000000001</v>
      </c>
      <c r="F27" s="95">
        <f>58.67+5611.33</f>
        <v>5670</v>
      </c>
      <c r="G27" s="95">
        <f>58+809.33</f>
        <v>867.33</v>
      </c>
      <c r="H27" s="95">
        <v>275.33</v>
      </c>
      <c r="I27" s="13"/>
      <c r="J27" s="33"/>
      <c r="K27" s="33"/>
      <c r="L27" s="33"/>
      <c r="M27" s="33">
        <v>55.33</v>
      </c>
      <c r="N27" s="33">
        <f>139.33+3824.67</f>
        <v>3964</v>
      </c>
      <c r="O27" s="5">
        <f t="shared" si="18"/>
        <v>10977.32</v>
      </c>
      <c r="P27" s="5">
        <f t="shared" si="19"/>
        <v>10070.935779816513</v>
      </c>
      <c r="Q27" s="5">
        <f t="shared" si="21"/>
        <v>906.38422018348683</v>
      </c>
      <c r="R27" s="21">
        <f t="shared" si="20"/>
        <v>182.95533333333333</v>
      </c>
      <c r="S27" s="35"/>
      <c r="T27" s="61">
        <v>240</v>
      </c>
      <c r="U27" s="13">
        <f t="shared" si="24"/>
        <v>43909.279999999999</v>
      </c>
      <c r="W27" s="142"/>
    </row>
    <row r="28" spans="1:24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/>
      <c r="G28" s="95"/>
      <c r="H28" s="95">
        <v>225</v>
      </c>
      <c r="I28" s="13"/>
      <c r="J28" s="33"/>
      <c r="K28" s="33"/>
      <c r="L28" s="33"/>
      <c r="M28" s="33"/>
      <c r="N28" s="33">
        <v>4785</v>
      </c>
      <c r="O28" s="5">
        <f t="shared" si="18"/>
        <v>5010</v>
      </c>
      <c r="P28" s="5">
        <f t="shared" si="19"/>
        <v>4596.3302752293575</v>
      </c>
      <c r="Q28" s="5">
        <f t="shared" si="21"/>
        <v>413.66972477064246</v>
      </c>
      <c r="R28" s="21">
        <f t="shared" si="20"/>
        <v>18.555555555555557</v>
      </c>
      <c r="S28" s="35"/>
      <c r="T28" s="61"/>
      <c r="U28" s="13"/>
      <c r="W28" s="142"/>
    </row>
    <row r="29" spans="1:24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/>
      <c r="G29" s="95"/>
      <c r="H29" s="95"/>
      <c r="I29" s="13"/>
      <c r="J29" s="33"/>
      <c r="K29" s="33"/>
      <c r="L29" s="33"/>
      <c r="M29" s="33"/>
      <c r="N29" s="33"/>
      <c r="O29" s="5">
        <f t="shared" si="18"/>
        <v>0</v>
      </c>
      <c r="P29" s="5">
        <f t="shared" si="19"/>
        <v>0</v>
      </c>
      <c r="Q29" s="5">
        <f t="shared" si="21"/>
        <v>0</v>
      </c>
      <c r="R29" s="21">
        <f t="shared" si="20"/>
        <v>0</v>
      </c>
      <c r="S29" s="35"/>
      <c r="T29" s="61">
        <v>135</v>
      </c>
      <c r="U29" s="13">
        <f t="shared" si="24"/>
        <v>0</v>
      </c>
      <c r="W29" s="142"/>
    </row>
    <row r="30" spans="1:24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0">
        <v>36</v>
      </c>
      <c r="F30" s="95">
        <v>36</v>
      </c>
      <c r="G30" s="95"/>
      <c r="H30" s="95"/>
      <c r="I30" s="13"/>
      <c r="J30" s="33"/>
      <c r="K30" s="33"/>
      <c r="L30" s="33"/>
      <c r="M30" s="33"/>
      <c r="N30" s="33">
        <f>44.4+244.2</f>
        <v>288.59999999999997</v>
      </c>
      <c r="O30" s="5">
        <f t="shared" si="18"/>
        <v>360.59999999999997</v>
      </c>
      <c r="P30" s="5">
        <f t="shared" si="19"/>
        <v>330.82568807339442</v>
      </c>
      <c r="Q30" s="5">
        <f t="shared" si="21"/>
        <v>29.774311926605549</v>
      </c>
      <c r="R30" s="21">
        <f t="shared" si="20"/>
        <v>6.6777777777777771</v>
      </c>
      <c r="S30" s="35"/>
      <c r="T30" s="61">
        <v>216</v>
      </c>
      <c r="U30" s="13">
        <f t="shared" si="24"/>
        <v>1442.3999999999999</v>
      </c>
      <c r="W30" s="142"/>
    </row>
    <row r="31" spans="1:24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>
        <v>510</v>
      </c>
      <c r="G31" s="95"/>
      <c r="H31" s="95">
        <v>520</v>
      </c>
      <c r="I31" s="13"/>
      <c r="J31" s="33"/>
      <c r="K31" s="33"/>
      <c r="L31" s="33"/>
      <c r="M31" s="33"/>
      <c r="N31" s="33"/>
      <c r="O31" s="5">
        <f t="shared" si="18"/>
        <v>1030</v>
      </c>
      <c r="P31" s="5">
        <f t="shared" si="19"/>
        <v>944.95412844036696</v>
      </c>
      <c r="Q31" s="5">
        <f t="shared" si="21"/>
        <v>85.045871559633042</v>
      </c>
      <c r="R31" s="21">
        <f t="shared" si="20"/>
        <v>1.7166666666666666</v>
      </c>
      <c r="S31" s="35"/>
      <c r="T31" s="61"/>
      <c r="U31" s="13"/>
      <c r="W31" s="142"/>
    </row>
    <row r="32" spans="1:24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/>
      <c r="G32" s="95"/>
      <c r="H32" s="95">
        <v>283.33</v>
      </c>
      <c r="I32" s="13"/>
      <c r="J32" s="33"/>
      <c r="K32" s="33"/>
      <c r="L32" s="33"/>
      <c r="M32" s="33"/>
      <c r="N32" s="33"/>
      <c r="O32" s="5">
        <f t="shared" si="18"/>
        <v>283.33</v>
      </c>
      <c r="P32" s="5">
        <f t="shared" si="19"/>
        <v>259.93577981651373</v>
      </c>
      <c r="Q32" s="5">
        <f t="shared" si="21"/>
        <v>23.394220183486254</v>
      </c>
      <c r="R32" s="21">
        <f t="shared" si="20"/>
        <v>0.94443333333333324</v>
      </c>
      <c r="S32" s="35"/>
      <c r="T32" s="61">
        <v>300</v>
      </c>
      <c r="U32" s="13">
        <f t="shared" si="24"/>
        <v>283.33</v>
      </c>
      <c r="W32" s="142"/>
    </row>
    <row r="33" spans="1:24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116</v>
      </c>
      <c r="F33" s="95">
        <v>206</v>
      </c>
      <c r="G33" s="95"/>
      <c r="H33" s="95"/>
      <c r="I33" s="13"/>
      <c r="J33" s="33"/>
      <c r="K33" s="33"/>
      <c r="L33" s="33"/>
      <c r="M33" s="33">
        <v>106</v>
      </c>
      <c r="N33" s="33"/>
      <c r="O33" s="5">
        <f t="shared" si="18"/>
        <v>428</v>
      </c>
      <c r="P33" s="5">
        <f t="shared" si="19"/>
        <v>392.66055045871559</v>
      </c>
      <c r="Q33" s="5">
        <f t="shared" si="21"/>
        <v>35.339449541284409</v>
      </c>
      <c r="R33" s="21">
        <f t="shared" si="20"/>
        <v>3.5666666666666669</v>
      </c>
      <c r="S33" s="35"/>
      <c r="T33" s="61">
        <v>480</v>
      </c>
      <c r="U33" s="13">
        <f t="shared" si="24"/>
        <v>1712</v>
      </c>
      <c r="W33" s="142"/>
    </row>
    <row r="34" spans="1:24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33"/>
      <c r="O34" s="5">
        <f t="shared" si="18"/>
        <v>0</v>
      </c>
      <c r="P34" s="5">
        <f t="shared" si="19"/>
        <v>0</v>
      </c>
      <c r="Q34" s="5">
        <f t="shared" si="21"/>
        <v>0</v>
      </c>
      <c r="R34" s="21">
        <f t="shared" si="20"/>
        <v>0</v>
      </c>
      <c r="S34" s="35"/>
      <c r="T34" s="61"/>
      <c r="U34" s="13"/>
      <c r="W34" s="142"/>
    </row>
    <row r="35" spans="1:24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33"/>
      <c r="O35" s="5">
        <f t="shared" si="18"/>
        <v>0</v>
      </c>
      <c r="P35" s="5">
        <f t="shared" si="19"/>
        <v>0</v>
      </c>
      <c r="Q35" s="5">
        <f t="shared" si="21"/>
        <v>0</v>
      </c>
      <c r="R35" s="21">
        <f t="shared" si="20"/>
        <v>0</v>
      </c>
      <c r="S35" s="35"/>
      <c r="T35" s="61">
        <v>270</v>
      </c>
      <c r="U35" s="13">
        <f t="shared" si="24"/>
        <v>0</v>
      </c>
      <c r="W35" s="142"/>
    </row>
    <row r="36" spans="1:24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5">
        <f t="shared" si="18"/>
        <v>0</v>
      </c>
      <c r="P36" s="5">
        <f t="shared" si="19"/>
        <v>0</v>
      </c>
      <c r="Q36" s="5">
        <f t="shared" si="21"/>
        <v>0</v>
      </c>
      <c r="R36" s="21">
        <f t="shared" si="20"/>
        <v>0</v>
      </c>
      <c r="S36" s="35"/>
      <c r="T36" s="61">
        <v>432</v>
      </c>
      <c r="U36" s="13">
        <f t="shared" si="24"/>
        <v>0</v>
      </c>
      <c r="W36" s="142"/>
    </row>
    <row r="37" spans="1:24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33">
        <v>886.67</v>
      </c>
      <c r="O37" s="5">
        <f t="shared" si="18"/>
        <v>886.67</v>
      </c>
      <c r="P37" s="5">
        <f t="shared" si="19"/>
        <v>813.45871559633019</v>
      </c>
      <c r="Q37" s="5">
        <f t="shared" si="21"/>
        <v>73.211284403669765</v>
      </c>
      <c r="R37" s="21">
        <f t="shared" si="20"/>
        <v>0.98518888888888889</v>
      </c>
      <c r="S37" s="35"/>
      <c r="T37" s="61"/>
      <c r="U37" s="13"/>
      <c r="W37" s="142"/>
    </row>
    <row r="38" spans="1:24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5">
        <f t="shared" si="18"/>
        <v>0</v>
      </c>
      <c r="P38" s="5">
        <f t="shared" si="19"/>
        <v>0</v>
      </c>
      <c r="Q38" s="5">
        <f t="shared" si="21"/>
        <v>0</v>
      </c>
      <c r="R38" s="21">
        <f t="shared" si="20"/>
        <v>0</v>
      </c>
      <c r="S38" s="35"/>
      <c r="T38" s="61">
        <v>450</v>
      </c>
      <c r="U38" s="13">
        <f t="shared" si="24"/>
        <v>0</v>
      </c>
      <c r="W38" s="142"/>
    </row>
    <row r="39" spans="1:24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>
        <v>178.67</v>
      </c>
      <c r="G39" s="95">
        <f>166+178</f>
        <v>344</v>
      </c>
      <c r="H39" s="95"/>
      <c r="I39" s="13"/>
      <c r="J39" s="33"/>
      <c r="K39" s="33"/>
      <c r="L39" s="33"/>
      <c r="M39" s="33"/>
      <c r="N39" s="33">
        <f>160+333.33</f>
        <v>493.33</v>
      </c>
      <c r="O39" s="5">
        <f t="shared" si="18"/>
        <v>1016</v>
      </c>
      <c r="P39" s="5">
        <f t="shared" si="19"/>
        <v>932.11009174311914</v>
      </c>
      <c r="Q39" s="5">
        <f t="shared" si="21"/>
        <v>83.889908256880858</v>
      </c>
      <c r="R39" s="21">
        <f t="shared" si="20"/>
        <v>5.6444444444444448</v>
      </c>
      <c r="S39" s="35"/>
      <c r="T39" s="61">
        <v>720</v>
      </c>
      <c r="U39" s="13">
        <f t="shared" si="24"/>
        <v>4064.0000000000005</v>
      </c>
      <c r="W39" s="142"/>
    </row>
    <row r="40" spans="1:24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33">
        <v>723</v>
      </c>
      <c r="O40" s="5">
        <f t="shared" si="18"/>
        <v>723</v>
      </c>
      <c r="P40" s="5">
        <f t="shared" si="19"/>
        <v>663.3027522935779</v>
      </c>
      <c r="Q40" s="5">
        <f t="shared" si="21"/>
        <v>59.697247706422104</v>
      </c>
      <c r="R40" s="21">
        <f t="shared" si="20"/>
        <v>0.8925925925925926</v>
      </c>
      <c r="S40" s="71"/>
      <c r="T40" s="61"/>
      <c r="U40" s="13"/>
      <c r="W40" s="142"/>
    </row>
    <row r="41" spans="1:24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5">
        <f t="shared" si="18"/>
        <v>0</v>
      </c>
      <c r="P41" s="5">
        <f t="shared" si="19"/>
        <v>0</v>
      </c>
      <c r="Q41" s="5">
        <f t="shared" si="21"/>
        <v>0</v>
      </c>
      <c r="R41" s="21">
        <f t="shared" si="20"/>
        <v>0</v>
      </c>
      <c r="S41" s="71"/>
      <c r="T41" s="61">
        <v>405</v>
      </c>
      <c r="U41" s="13">
        <f t="shared" si="24"/>
        <v>0</v>
      </c>
      <c r="W41" s="142"/>
    </row>
    <row r="42" spans="1:24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39"/>
      <c r="O42" s="26">
        <f t="shared" si="18"/>
        <v>0</v>
      </c>
      <c r="P42" s="26">
        <f t="shared" si="19"/>
        <v>0</v>
      </c>
      <c r="Q42" s="26">
        <f t="shared" si="21"/>
        <v>0</v>
      </c>
      <c r="R42" s="39">
        <f t="shared" si="20"/>
        <v>0</v>
      </c>
      <c r="S42" s="71"/>
      <c r="T42" s="61">
        <v>648</v>
      </c>
      <c r="U42" s="13">
        <f t="shared" si="24"/>
        <v>0</v>
      </c>
      <c r="W42" s="142"/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96.58</v>
      </c>
      <c r="F43" s="124">
        <v>6918.71</v>
      </c>
      <c r="G43" s="124">
        <v>1042.4100000000001</v>
      </c>
      <c r="H43" s="124">
        <v>1285.42</v>
      </c>
      <c r="I43" s="124"/>
      <c r="J43" s="124"/>
      <c r="K43" s="124"/>
      <c r="L43" s="124"/>
      <c r="M43" s="124">
        <v>76.41</v>
      </c>
      <c r="N43" s="124">
        <v>18.93</v>
      </c>
      <c r="O43" s="6">
        <f t="shared" si="18"/>
        <v>9438.4599999999991</v>
      </c>
      <c r="P43" s="124">
        <f t="shared" si="19"/>
        <v>8659.1376146788971</v>
      </c>
      <c r="Q43" s="6">
        <f t="shared" si="21"/>
        <v>779.32238532110205</v>
      </c>
      <c r="R43" s="22">
        <f>+O43/D43</f>
        <v>943.84599999999989</v>
      </c>
      <c r="S43" s="71"/>
      <c r="T43" s="61"/>
      <c r="U43" s="13"/>
      <c r="V43" s="2"/>
      <c r="W43" s="1"/>
    </row>
    <row r="44" spans="1:24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230.41000000000003</v>
      </c>
      <c r="F44" s="82">
        <f>+SUM(F45:F53)</f>
        <v>10784.41</v>
      </c>
      <c r="G44" s="82">
        <f>+SUM(G45:G53)</f>
        <v>1342.2500000000002</v>
      </c>
      <c r="H44" s="82">
        <f>+SUM(H45:H53)</f>
        <v>405.86</v>
      </c>
      <c r="I44" s="82">
        <f t="shared" ref="I44:R44" si="25">+SUM(I45:I53)</f>
        <v>0</v>
      </c>
      <c r="J44" s="82">
        <f t="shared" si="25"/>
        <v>0</v>
      </c>
      <c r="K44" s="100">
        <f t="shared" si="25"/>
        <v>0</v>
      </c>
      <c r="L44" s="100"/>
      <c r="M44" s="100">
        <f t="shared" si="25"/>
        <v>46.5</v>
      </c>
      <c r="N44" s="100">
        <f t="shared" si="25"/>
        <v>744.74</v>
      </c>
      <c r="O44" s="42">
        <f>+SUM(O45:O53)</f>
        <v>13554.169999999998</v>
      </c>
      <c r="P44" s="82">
        <f t="shared" si="25"/>
        <v>12435.018348623851</v>
      </c>
      <c r="Q44" s="82">
        <f t="shared" si="25"/>
        <v>1119.1516513761471</v>
      </c>
      <c r="R44" s="19">
        <f t="shared" si="25"/>
        <v>587</v>
      </c>
      <c r="S44" s="71"/>
      <c r="T44" s="61"/>
      <c r="U44" s="105">
        <f>+SUM(U45:U68)</f>
        <v>7972.83</v>
      </c>
    </row>
    <row r="45" spans="1:24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75"/>
      <c r="O45" s="5">
        <f t="shared" ref="O45:O53" si="26">+SUM(E45:N45)</f>
        <v>0</v>
      </c>
      <c r="P45" s="99">
        <f t="shared" ref="P45:P53" si="27">+O45/1.09</f>
        <v>0</v>
      </c>
      <c r="Q45" s="64">
        <f t="shared" ref="Q45:Q53" si="28">+O45-P45</f>
        <v>0</v>
      </c>
      <c r="R45" s="85">
        <f t="shared" ref="R45:R53" si="29">O45/D45</f>
        <v>0</v>
      </c>
      <c r="S45" s="71"/>
      <c r="T45" s="61"/>
      <c r="U45" s="13"/>
      <c r="V45"/>
      <c r="W45" s="142"/>
      <c r="X45"/>
    </row>
    <row r="46" spans="1:24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33"/>
      <c r="O46" s="5">
        <f t="shared" si="26"/>
        <v>0</v>
      </c>
      <c r="P46" s="5">
        <f t="shared" si="27"/>
        <v>0</v>
      </c>
      <c r="Q46" s="5">
        <f t="shared" si="28"/>
        <v>0</v>
      </c>
      <c r="R46" s="31">
        <f t="shared" si="29"/>
        <v>0</v>
      </c>
      <c r="S46" s="71"/>
      <c r="T46" s="61">
        <v>6</v>
      </c>
      <c r="U46" s="13">
        <f t="shared" ref="U46:U47" si="30">+R46*T46</f>
        <v>0</v>
      </c>
      <c r="W46" s="142"/>
    </row>
    <row r="47" spans="1:24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33"/>
      <c r="O47" s="5">
        <f t="shared" si="26"/>
        <v>0</v>
      </c>
      <c r="P47" s="5">
        <f t="shared" si="27"/>
        <v>0</v>
      </c>
      <c r="Q47" s="5">
        <f t="shared" si="28"/>
        <v>0</v>
      </c>
      <c r="R47" s="31">
        <f t="shared" si="29"/>
        <v>0</v>
      </c>
      <c r="S47" s="71"/>
      <c r="T47" s="61">
        <v>9.6</v>
      </c>
      <c r="U47" s="13">
        <f t="shared" si="30"/>
        <v>0</v>
      </c>
      <c r="W47" s="142"/>
    </row>
    <row r="48" spans="1:24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14</v>
      </c>
      <c r="F48" s="13">
        <v>525</v>
      </c>
      <c r="G48" s="13">
        <v>42</v>
      </c>
      <c r="H48" s="13">
        <v>7</v>
      </c>
      <c r="I48" s="13"/>
      <c r="J48" s="33"/>
      <c r="K48" s="33"/>
      <c r="L48" s="33"/>
      <c r="M48" s="33"/>
      <c r="N48" s="33">
        <v>21</v>
      </c>
      <c r="O48" s="5">
        <f t="shared" si="26"/>
        <v>609</v>
      </c>
      <c r="P48" s="5">
        <f t="shared" si="27"/>
        <v>558.71559633027516</v>
      </c>
      <c r="Q48" s="5">
        <f t="shared" si="28"/>
        <v>50.284403669724838</v>
      </c>
      <c r="R48" s="31">
        <f t="shared" si="29"/>
        <v>29</v>
      </c>
      <c r="S48" s="71"/>
      <c r="T48" s="61"/>
      <c r="U48" s="13"/>
      <c r="W48" s="142"/>
    </row>
    <row r="49" spans="1:23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59.5</v>
      </c>
      <c r="G49" s="13">
        <v>7</v>
      </c>
      <c r="H49" s="13"/>
      <c r="I49" s="13"/>
      <c r="J49" s="33"/>
      <c r="K49" s="33"/>
      <c r="L49" s="33"/>
      <c r="M49" s="33"/>
      <c r="N49" s="33">
        <v>10.5</v>
      </c>
      <c r="O49" s="5">
        <f t="shared" si="26"/>
        <v>77</v>
      </c>
      <c r="P49" s="5">
        <f t="shared" si="27"/>
        <v>70.642201834862377</v>
      </c>
      <c r="Q49" s="5">
        <f t="shared" si="28"/>
        <v>6.3577981651376234</v>
      </c>
      <c r="R49" s="21">
        <f t="shared" si="29"/>
        <v>7.333333333333333</v>
      </c>
      <c r="S49" s="71"/>
      <c r="T49" s="61">
        <v>10.5</v>
      </c>
      <c r="U49" s="13">
        <f t="shared" ref="U49:U50" si="31">+R49*T49</f>
        <v>77</v>
      </c>
      <c r="W49" s="142"/>
    </row>
    <row r="50" spans="1:23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2.8</v>
      </c>
      <c r="F50" s="13">
        <f>2.8+287</f>
        <v>289.8</v>
      </c>
      <c r="G50" s="13">
        <v>44.8</v>
      </c>
      <c r="H50" s="13">
        <v>2.8</v>
      </c>
      <c r="I50" s="13"/>
      <c r="J50" s="33"/>
      <c r="K50" s="33"/>
      <c r="L50" s="33"/>
      <c r="M50" s="33">
        <v>1.4</v>
      </c>
      <c r="N50" s="33">
        <v>39.200000000000003</v>
      </c>
      <c r="O50" s="5">
        <f t="shared" si="26"/>
        <v>380.8</v>
      </c>
      <c r="P50" s="5">
        <f t="shared" si="27"/>
        <v>349.35779816513758</v>
      </c>
      <c r="Q50" s="5">
        <f t="shared" si="28"/>
        <v>31.442201834862431</v>
      </c>
      <c r="R50" s="21">
        <f t="shared" si="29"/>
        <v>90.666666666666671</v>
      </c>
      <c r="S50" s="71"/>
      <c r="T50" s="61">
        <v>16.8</v>
      </c>
      <c r="U50" s="13">
        <f t="shared" si="31"/>
        <v>1523.2</v>
      </c>
      <c r="W50" s="142"/>
    </row>
    <row r="51" spans="1:23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200.9</v>
      </c>
      <c r="F51" s="13">
        <v>8175.4</v>
      </c>
      <c r="G51" s="13">
        <v>959.4</v>
      </c>
      <c r="H51" s="13">
        <v>360.8</v>
      </c>
      <c r="I51" s="13"/>
      <c r="J51" s="33"/>
      <c r="K51" s="33"/>
      <c r="L51" s="33"/>
      <c r="M51" s="33">
        <v>45.1</v>
      </c>
      <c r="N51" s="33">
        <v>446.9</v>
      </c>
      <c r="O51" s="5">
        <f t="shared" si="26"/>
        <v>10188.499999999998</v>
      </c>
      <c r="P51" s="5">
        <f t="shared" si="27"/>
        <v>9347.2477064220166</v>
      </c>
      <c r="Q51" s="5">
        <f t="shared" si="28"/>
        <v>841.25229357798162</v>
      </c>
      <c r="R51" s="21">
        <f t="shared" si="29"/>
        <v>248.49999999999994</v>
      </c>
      <c r="S51" s="71"/>
      <c r="T51" s="61"/>
      <c r="U51" s="13"/>
      <c r="W51" s="142"/>
    </row>
    <row r="52" spans="1:23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2.0499999999999998</v>
      </c>
      <c r="F52" s="13">
        <v>731.85</v>
      </c>
      <c r="G52" s="13">
        <v>129.15</v>
      </c>
      <c r="H52" s="13">
        <v>28.7</v>
      </c>
      <c r="I52" s="13"/>
      <c r="J52" s="33"/>
      <c r="K52" s="33"/>
      <c r="L52" s="33"/>
      <c r="M52" s="33"/>
      <c r="N52" s="33">
        <v>49.2</v>
      </c>
      <c r="O52" s="5">
        <f t="shared" si="26"/>
        <v>940.95</v>
      </c>
      <c r="P52" s="5">
        <f t="shared" si="27"/>
        <v>863.25688073394497</v>
      </c>
      <c r="Q52" s="5">
        <f t="shared" si="28"/>
        <v>77.693119266055078</v>
      </c>
      <c r="R52" s="21">
        <f t="shared" si="29"/>
        <v>45.900000000000006</v>
      </c>
      <c r="S52" s="71"/>
      <c r="T52" s="61">
        <v>20.5</v>
      </c>
      <c r="U52" s="13">
        <f t="shared" ref="U52:U53" si="32">+R52*T52</f>
        <v>940.95000000000016</v>
      </c>
      <c r="W52" s="142"/>
    </row>
    <row r="53" spans="1:23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10.66</v>
      </c>
      <c r="F53" s="14">
        <f>0.82+1002.04</f>
        <v>1002.86</v>
      </c>
      <c r="G53" s="14">
        <v>159.9</v>
      </c>
      <c r="H53" s="14">
        <v>6.56</v>
      </c>
      <c r="I53" s="14"/>
      <c r="J53" s="76"/>
      <c r="K53" s="76"/>
      <c r="L53" s="76"/>
      <c r="M53" s="76"/>
      <c r="N53" s="76">
        <v>177.94</v>
      </c>
      <c r="O53" s="6">
        <f t="shared" si="26"/>
        <v>1357.92</v>
      </c>
      <c r="P53" s="6">
        <f t="shared" si="27"/>
        <v>1245.7981651376147</v>
      </c>
      <c r="Q53" s="6">
        <f t="shared" si="28"/>
        <v>112.12183486238541</v>
      </c>
      <c r="R53" s="22">
        <f t="shared" si="29"/>
        <v>165.60000000000002</v>
      </c>
      <c r="S53" s="35"/>
      <c r="T53" s="61">
        <v>32.799999999999997</v>
      </c>
      <c r="U53" s="13">
        <f t="shared" si="32"/>
        <v>5431.68</v>
      </c>
      <c r="W53" s="142"/>
    </row>
    <row r="54" spans="1:23" x14ac:dyDescent="0.25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23" x14ac:dyDescent="0.25">
      <c r="E55" s="2"/>
      <c r="F55" s="2"/>
      <c r="G55" s="2"/>
      <c r="H55" s="2"/>
      <c r="I55" s="2"/>
      <c r="J55" s="2"/>
      <c r="K55" s="2"/>
      <c r="L55" s="2"/>
      <c r="M55" s="2"/>
      <c r="O55" s="2"/>
      <c r="P55" s="2"/>
      <c r="Q55" s="2"/>
    </row>
    <row r="57" spans="1:23" x14ac:dyDescent="0.25">
      <c r="N57" s="137"/>
    </row>
    <row r="73" spans="2:2" x14ac:dyDescent="0.25">
      <c r="B73" s="1"/>
    </row>
  </sheetData>
  <mergeCells count="18">
    <mergeCell ref="F3:F4"/>
    <mergeCell ref="A3:A4"/>
    <mergeCell ref="B3:B4"/>
    <mergeCell ref="C3:C4"/>
    <mergeCell ref="D3:D4"/>
    <mergeCell ref="E3:E4"/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W73"/>
  <sheetViews>
    <sheetView topLeftCell="J1" zoomScaleNormal="100" workbookViewId="0">
      <selection activeCell="W6" sqref="W6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3" width="13" style="1" customWidth="1" outlineLevel="1"/>
    <col min="14" max="14" width="11.88671875" style="1" customWidth="1" outlineLevel="1"/>
    <col min="15" max="15" width="12.33203125" style="1" bestFit="1" customWidth="1"/>
    <col min="16" max="16" width="12.33203125" style="1" customWidth="1"/>
    <col min="17" max="17" width="13.109375" style="1" bestFit="1" customWidth="1"/>
    <col min="18" max="18" width="12.33203125" style="1" bestFit="1" customWidth="1"/>
    <col min="19" max="19" width="2.44140625" style="1" customWidth="1"/>
    <col min="20" max="20" width="6.44140625" style="1" customWidth="1" outlineLevel="1"/>
    <col min="21" max="21" width="14.33203125" style="2" customWidth="1" outlineLevel="1"/>
    <col min="22" max="22" width="4.33203125" style="1" customWidth="1" outlineLevel="1"/>
    <col min="23" max="16384" width="8.88671875" style="1"/>
  </cols>
  <sheetData>
    <row r="1" spans="1:23" ht="16.95" customHeight="1" x14ac:dyDescent="0.3">
      <c r="A1" s="40" t="s">
        <v>299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3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</row>
    <row r="3" spans="1:23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270"/>
      <c r="U3" s="584" t="s">
        <v>148</v>
      </c>
    </row>
    <row r="4" spans="1:23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309</v>
      </c>
      <c r="M4" s="575"/>
      <c r="N4" s="581"/>
      <c r="O4" s="591"/>
      <c r="P4" s="592"/>
      <c r="Q4" s="592"/>
      <c r="R4" s="592"/>
      <c r="T4" s="87"/>
      <c r="U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R5" si="0">+E6+E18+E44</f>
        <v>155641</v>
      </c>
      <c r="F5" s="82">
        <f t="shared" si="0"/>
        <v>6528629.3400000008</v>
      </c>
      <c r="G5" s="82">
        <f t="shared" si="0"/>
        <v>967837.81</v>
      </c>
      <c r="H5" s="82">
        <f t="shared" si="0"/>
        <v>159918.18</v>
      </c>
      <c r="I5" s="187">
        <f t="shared" si="0"/>
        <v>649972.05000000005</v>
      </c>
      <c r="J5" s="187">
        <f t="shared" si="0"/>
        <v>1060215.45</v>
      </c>
      <c r="K5" s="192">
        <f t="shared" si="0"/>
        <v>1002169.18</v>
      </c>
      <c r="L5" s="192">
        <f t="shared" si="0"/>
        <v>6787.2400000000735</v>
      </c>
      <c r="M5" s="187">
        <f t="shared" si="0"/>
        <v>44205.82</v>
      </c>
      <c r="N5" s="19">
        <f t="shared" si="0"/>
        <v>617313.54</v>
      </c>
      <c r="O5" s="42">
        <f t="shared" si="0"/>
        <v>11192689.609999999</v>
      </c>
      <c r="P5" s="42">
        <f t="shared" si="0"/>
        <v>10268522.577981653</v>
      </c>
      <c r="Q5" s="42">
        <f t="shared" si="0"/>
        <v>924167.03201834939</v>
      </c>
      <c r="R5" s="42">
        <f t="shared" si="0"/>
        <v>2472576.3304185187</v>
      </c>
      <c r="S5" s="71"/>
      <c r="T5" s="87"/>
      <c r="U5" s="135">
        <f>+U6+U18+U44</f>
        <v>6908076.4900000012</v>
      </c>
      <c r="W5" s="1">
        <f>+U5/1.09</f>
        <v>6337684.8532110099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R6" si="1">+E7+E11</f>
        <v>35659.860000000008</v>
      </c>
      <c r="F6" s="82">
        <f t="shared" si="1"/>
        <v>1667353.6800000002</v>
      </c>
      <c r="G6" s="82">
        <f t="shared" si="1"/>
        <v>241172.69999999998</v>
      </c>
      <c r="H6" s="82">
        <f t="shared" si="1"/>
        <v>34913.140000000007</v>
      </c>
      <c r="I6" s="187">
        <f t="shared" si="1"/>
        <v>649972.05000000005</v>
      </c>
      <c r="J6" s="187">
        <f t="shared" si="1"/>
        <v>1060215.45</v>
      </c>
      <c r="K6" s="192">
        <f t="shared" si="1"/>
        <v>1002169.18</v>
      </c>
      <c r="L6" s="192">
        <f t="shared" si="1"/>
        <v>6787.2400000000735</v>
      </c>
      <c r="M6" s="187">
        <f t="shared" si="1"/>
        <v>13647.619999999999</v>
      </c>
      <c r="N6" s="19">
        <f t="shared" si="1"/>
        <v>153287.29999999999</v>
      </c>
      <c r="O6" s="42">
        <f t="shared" si="1"/>
        <v>4865178.22</v>
      </c>
      <c r="P6" s="42">
        <f t="shared" si="1"/>
        <v>4463466.2568807332</v>
      </c>
      <c r="Q6" s="42">
        <f t="shared" si="1"/>
        <v>401711.9631192665</v>
      </c>
      <c r="R6" s="44">
        <f t="shared" si="1"/>
        <v>2327151</v>
      </c>
      <c r="T6" s="61"/>
      <c r="U6" s="105">
        <f>+SUM(U8:U17)</f>
        <v>1155725.58</v>
      </c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L7" si="2">+SUM(E8:E10)</f>
        <v>0</v>
      </c>
      <c r="F7" s="269">
        <f t="shared" si="2"/>
        <v>0</v>
      </c>
      <c r="G7" s="126">
        <f t="shared" si="2"/>
        <v>0</v>
      </c>
      <c r="H7" s="126">
        <f t="shared" si="2"/>
        <v>0</v>
      </c>
      <c r="I7" s="126">
        <f t="shared" si="2"/>
        <v>649972.05000000005</v>
      </c>
      <c r="J7" s="126">
        <f t="shared" si="2"/>
        <v>1060215.45</v>
      </c>
      <c r="K7" s="126">
        <f t="shared" si="2"/>
        <v>0</v>
      </c>
      <c r="L7" s="126">
        <f t="shared" si="2"/>
        <v>0</v>
      </c>
      <c r="M7" s="269">
        <f t="shared" ref="M7:R7" si="3">+SUM(M8:M10)</f>
        <v>0</v>
      </c>
      <c r="N7" s="126">
        <f t="shared" si="3"/>
        <v>0</v>
      </c>
      <c r="O7" s="43">
        <f t="shared" si="3"/>
        <v>1710187.5</v>
      </c>
      <c r="P7" s="43">
        <f t="shared" si="3"/>
        <v>1568979.3577981649</v>
      </c>
      <c r="Q7" s="43">
        <f t="shared" si="3"/>
        <v>141208.14220183503</v>
      </c>
      <c r="R7" s="45">
        <f t="shared" si="3"/>
        <v>644162</v>
      </c>
      <c r="S7" s="71"/>
      <c r="T7" s="134"/>
      <c r="U7" s="105"/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+'R_2014_04_atkelta(viso)'!E8+R_2014_04_priskirta!E9</f>
        <v>0</v>
      </c>
      <c r="F8" s="127">
        <f>+'R_2014_04_atkelta(viso)'!F8+R_2014_04_priskirta!F9</f>
        <v>0</v>
      </c>
      <c r="G8" s="127">
        <f>+'R_2014_04_atkelta(viso)'!G8+R_2014_04_priskirta!G9</f>
        <v>0</v>
      </c>
      <c r="H8" s="127">
        <f>+'R_2014_04_atkelta(viso)'!H8+R_2014_04_priskirta!H9</f>
        <v>0</v>
      </c>
      <c r="I8" s="127">
        <f>+'R_2014_04_atkelta(viso)'!I8+R_2014_04_priskirta!I9</f>
        <v>444605</v>
      </c>
      <c r="J8" s="127">
        <f>+'R_2014_04_atkelta(viso)'!J8+R_2014_04_priskirta!J9</f>
        <v>768873</v>
      </c>
      <c r="K8" s="127">
        <f>+'R_2014_04_atkelta(viso)'!K8+R_2014_04_priskirta!K9</f>
        <v>0</v>
      </c>
      <c r="L8" s="127">
        <f>+'R_2014_04_atkelta(viso)'!L8+R_2014_04_priskirta!L9</f>
        <v>0</v>
      </c>
      <c r="M8" s="127">
        <f>+'R_2014_04_atkelta(viso)'!M8+R_2014_04_priskirta!M9</f>
        <v>0</v>
      </c>
      <c r="N8" s="127">
        <f>+'R_2014_04_atkelta(viso)'!N8+R_2014_04_priskirta!N9</f>
        <v>0</v>
      </c>
      <c r="O8" s="152">
        <f>+SUM(E8:N8)</f>
        <v>1213478</v>
      </c>
      <c r="P8" s="229">
        <f>+O8/1.09</f>
        <v>1113282.5688073393</v>
      </c>
      <c r="Q8" s="73">
        <f t="shared" ref="Q8:Q10" si="4">+O8-P8</f>
        <v>100195.4311926607</v>
      </c>
      <c r="R8" s="39">
        <f>O8/D8</f>
        <v>346708</v>
      </c>
      <c r="S8" s="71"/>
      <c r="T8" s="61"/>
      <c r="U8" s="13"/>
      <c r="V8" s="2"/>
    </row>
    <row r="9" spans="1:23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+'R_2014_04_atkelta(viso)'!E9+R_2014_04_priskirta!E10</f>
        <v>0</v>
      </c>
      <c r="F9" s="127">
        <f>+'R_2014_04_atkelta(viso)'!F9+R_2014_04_priskirta!F10</f>
        <v>0</v>
      </c>
      <c r="G9" s="127">
        <f>+'R_2014_04_atkelta(viso)'!G9+R_2014_04_priskirta!G10</f>
        <v>0</v>
      </c>
      <c r="H9" s="127">
        <f>+'R_2014_04_atkelta(viso)'!H9+R_2014_04_priskirta!H10</f>
        <v>0</v>
      </c>
      <c r="I9" s="127">
        <f>+'R_2014_04_atkelta(viso)'!I9+R_2014_04_priskirta!I10</f>
        <v>201720.75</v>
      </c>
      <c r="J9" s="127">
        <f>+'R_2014_04_atkelta(viso)'!J9+R_2014_04_priskirta!J10</f>
        <v>279098.75</v>
      </c>
      <c r="K9" s="127">
        <f>+'R_2014_04_atkelta(viso)'!K9+R_2014_04_priskirta!K10</f>
        <v>0</v>
      </c>
      <c r="L9" s="127">
        <f>+'R_2014_04_atkelta(viso)'!L9+R_2014_04_priskirta!L10</f>
        <v>0</v>
      </c>
      <c r="M9" s="127">
        <f>+'R_2014_04_atkelta(viso)'!M9+R_2014_04_priskirta!M10</f>
        <v>0</v>
      </c>
      <c r="N9" s="127">
        <f>+'R_2014_04_atkelta(viso)'!N9+R_2014_04_priskirta!N10</f>
        <v>0</v>
      </c>
      <c r="O9" s="206">
        <f>+SUM(E9:N9)</f>
        <v>480819.5</v>
      </c>
      <c r="P9" s="229">
        <f t="shared" ref="P9:P53" si="6">+O9/1.09</f>
        <v>441118.80733944953</v>
      </c>
      <c r="Q9" s="207">
        <f t="shared" si="4"/>
        <v>39700.69266055047</v>
      </c>
      <c r="R9" s="39">
        <f>O9/D9</f>
        <v>274754</v>
      </c>
      <c r="S9" s="71"/>
      <c r="T9" s="61">
        <v>1.75</v>
      </c>
      <c r="U9" s="13">
        <f>+R9*T9</f>
        <v>480819.5</v>
      </c>
    </row>
    <row r="10" spans="1:23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+'R_2014_04_atkelta(viso)'!E10+R_2014_04_priskirta!E11</f>
        <v>0</v>
      </c>
      <c r="F10" s="127">
        <f>+'R_2014_04_atkelta(viso)'!F10+R_2014_04_priskirta!F11</f>
        <v>0</v>
      </c>
      <c r="G10" s="127">
        <f>+'R_2014_04_atkelta(viso)'!G10+R_2014_04_priskirta!G11</f>
        <v>0</v>
      </c>
      <c r="H10" s="127">
        <f>+'R_2014_04_atkelta(viso)'!H10+R_2014_04_priskirta!H11</f>
        <v>0</v>
      </c>
      <c r="I10" s="127">
        <f>+'R_2014_04_atkelta(viso)'!I10+R_2014_04_priskirta!I11</f>
        <v>3646.3</v>
      </c>
      <c r="J10" s="127">
        <f>+'R_2014_04_atkelta(viso)'!J10+R_2014_04_priskirta!J11</f>
        <v>12243.699999999999</v>
      </c>
      <c r="K10" s="127">
        <f>+'R_2014_04_atkelta(viso)'!K10+R_2014_04_priskirta!K11</f>
        <v>0</v>
      </c>
      <c r="L10" s="127">
        <f>+'R_2014_04_atkelta(viso)'!L10+R_2014_04_priskirta!L11</f>
        <v>0</v>
      </c>
      <c r="M10" s="127">
        <f>+'R_2014_04_atkelta(viso)'!M10+R_2014_04_priskirta!M11</f>
        <v>0</v>
      </c>
      <c r="N10" s="127">
        <f>+'R_2014_04_atkelta(viso)'!N10+R_2014_04_priskirta!N11</f>
        <v>0</v>
      </c>
      <c r="O10" s="206">
        <f>+SUM(E10:N10)</f>
        <v>15890</v>
      </c>
      <c r="P10" s="229">
        <f t="shared" si="6"/>
        <v>14577.981651376145</v>
      </c>
      <c r="Q10" s="207">
        <f t="shared" si="4"/>
        <v>1312.0183486238548</v>
      </c>
      <c r="R10" s="39">
        <f>O10/D10</f>
        <v>22700</v>
      </c>
      <c r="S10" s="71"/>
      <c r="T10" s="107">
        <v>2.8</v>
      </c>
      <c r="U10" s="13">
        <f>+R10*T10</f>
        <v>63559.999999999993</v>
      </c>
      <c r="V10" s="2"/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35659.860000000008</v>
      </c>
      <c r="F11" s="84">
        <f t="shared" si="7"/>
        <v>1667353.6800000002</v>
      </c>
      <c r="G11" s="84">
        <f t="shared" si="7"/>
        <v>241172.69999999998</v>
      </c>
      <c r="H11" s="84">
        <f t="shared" si="7"/>
        <v>34913.140000000007</v>
      </c>
      <c r="I11" s="84">
        <f t="shared" si="7"/>
        <v>0</v>
      </c>
      <c r="J11" s="74">
        <f t="shared" si="7"/>
        <v>0</v>
      </c>
      <c r="K11" s="101">
        <f t="shared" si="7"/>
        <v>1002169.18</v>
      </c>
      <c r="L11" s="101">
        <f t="shared" si="7"/>
        <v>6787.2400000000735</v>
      </c>
      <c r="M11" s="101">
        <f t="shared" ref="M11:R11" si="8">+SUM(M12:M17)</f>
        <v>13647.619999999999</v>
      </c>
      <c r="N11" s="101">
        <f t="shared" si="8"/>
        <v>153287.29999999999</v>
      </c>
      <c r="O11" s="211">
        <f t="shared" si="8"/>
        <v>3154990.7199999997</v>
      </c>
      <c r="P11" s="43">
        <f t="shared" si="8"/>
        <v>2894486.899082568</v>
      </c>
      <c r="Q11" s="72">
        <f t="shared" si="8"/>
        <v>260503.82091743147</v>
      </c>
      <c r="R11" s="45">
        <f t="shared" si="8"/>
        <v>1682989</v>
      </c>
      <c r="S11" s="71"/>
      <c r="T11" s="61"/>
      <c r="U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+'R_2014_04_atkelta(viso)'!E12+R_2014_04_priskirta!E13</f>
        <v>28747.4</v>
      </c>
      <c r="F12" s="127">
        <f>+'R_2014_04_atkelta(viso)'!F12+R_2014_04_priskirta!F13</f>
        <v>1252235.6000000001</v>
      </c>
      <c r="G12" s="127">
        <f>+'R_2014_04_atkelta(viso)'!G12+R_2014_04_priskirta!G13</f>
        <v>175430.2</v>
      </c>
      <c r="H12" s="127">
        <f>+'R_2014_04_atkelta(viso)'!H12+R_2014_04_priskirta!H13</f>
        <v>26166.799999999999</v>
      </c>
      <c r="I12" s="127">
        <f>+'R_2014_04_atkelta(viso)'!I12+R_2014_04_priskirta!I13</f>
        <v>0</v>
      </c>
      <c r="J12" s="127">
        <f>+'R_2014_04_atkelta(viso)'!J12+R_2014_04_priskirta!J13</f>
        <v>0</v>
      </c>
      <c r="K12" s="127">
        <f>+'R_2014_04_atkelta(viso)'!K12+R_2014_04_priskirta!K13</f>
        <v>777018</v>
      </c>
      <c r="L12" s="127">
        <f>+'R_2014_04_atkelta(viso)'!L12+R_2014_04_priskirta!L13</f>
        <v>5293.2000000000698</v>
      </c>
      <c r="M12" s="127">
        <f>+'R_2014_04_atkelta(viso)'!M12+R_2014_04_priskirta!M13</f>
        <v>9519.4</v>
      </c>
      <c r="N12" s="127">
        <f>+'R_2014_04_atkelta(viso)'!N12+R_2014_04_priskirta!N13</f>
        <v>135568.4</v>
      </c>
      <c r="O12" s="152">
        <f t="shared" ref="O12:O17" si="9">+SUM(E12:N12)</f>
        <v>2409979</v>
      </c>
      <c r="P12" s="229">
        <f t="shared" si="6"/>
        <v>2210989.9082568805</v>
      </c>
      <c r="Q12" s="73">
        <f t="shared" ref="Q12:Q17" si="10">+O12-P12</f>
        <v>198989.09174311953</v>
      </c>
      <c r="R12" s="21">
        <f t="shared" ref="R12:R17" si="11">O12/D12</f>
        <v>1095445</v>
      </c>
      <c r="S12" s="2"/>
      <c r="T12" s="61"/>
      <c r="U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+'R_2014_04_atkelta(viso)'!E13+R_2014_04_priskirta!E14</f>
        <v>6339.3</v>
      </c>
      <c r="F13" s="127">
        <f>+'R_2014_04_atkelta(viso)'!F13+R_2014_04_priskirta!F14</f>
        <v>386727</v>
      </c>
      <c r="G13" s="127">
        <f>+'R_2014_04_atkelta(viso)'!G13+R_2014_04_priskirta!G14</f>
        <v>61141.3</v>
      </c>
      <c r="H13" s="127">
        <f>+'R_2014_04_atkelta(viso)'!H13+R_2014_04_priskirta!H14</f>
        <v>8416.1</v>
      </c>
      <c r="I13" s="127">
        <f>+'R_2014_04_atkelta(viso)'!I13+R_2014_04_priskirta!I14</f>
        <v>0</v>
      </c>
      <c r="J13" s="127">
        <f>+'R_2014_04_atkelta(viso)'!J13+R_2014_04_priskirta!J14</f>
        <v>0</v>
      </c>
      <c r="K13" s="127">
        <f>+'R_2014_04_atkelta(viso)'!K13+R_2014_04_priskirta!K14</f>
        <v>82294.3</v>
      </c>
      <c r="L13" s="127">
        <f>+'R_2014_04_atkelta(viso)'!L13+R_2014_04_priskirta!L14</f>
        <v>523.59999999999127</v>
      </c>
      <c r="M13" s="127">
        <f>+'R_2014_04_atkelta(viso)'!M13+R_2014_04_priskirta!M14</f>
        <v>4009.5</v>
      </c>
      <c r="N13" s="127">
        <f>+'R_2014_04_atkelta(viso)'!N13+R_2014_04_priskirta!N14</f>
        <v>9436.9</v>
      </c>
      <c r="O13" s="152">
        <f t="shared" si="9"/>
        <v>558888</v>
      </c>
      <c r="P13" s="229">
        <f t="shared" si="6"/>
        <v>512741.28440366971</v>
      </c>
      <c r="Q13" s="73">
        <f t="shared" si="10"/>
        <v>46146.715596330294</v>
      </c>
      <c r="R13" s="21">
        <f t="shared" si="11"/>
        <v>508079.99999999994</v>
      </c>
      <c r="S13" s="71"/>
      <c r="T13" s="107">
        <v>1.1000000000000001</v>
      </c>
      <c r="U13" s="13">
        <f t="shared" ref="U13:U14" si="12">+R13*T13</f>
        <v>558888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+'R_2014_04_atkelta(viso)'!E14+R_2014_04_priskirta!E15</f>
        <v>85.8</v>
      </c>
      <c r="F14" s="127">
        <f>+'R_2014_04_atkelta(viso)'!F14+R_2014_04_priskirta!F15</f>
        <v>4362.6000000000004</v>
      </c>
      <c r="G14" s="127">
        <f>+'R_2014_04_atkelta(viso)'!G14+R_2014_04_priskirta!G15</f>
        <v>630.96</v>
      </c>
      <c r="H14" s="127">
        <f>+'R_2014_04_atkelta(viso)'!H14+R_2014_04_priskirta!H15</f>
        <v>116.16</v>
      </c>
      <c r="I14" s="127">
        <f>+'R_2014_04_atkelta(viso)'!I14+R_2014_04_priskirta!I15</f>
        <v>0</v>
      </c>
      <c r="J14" s="127">
        <f>+'R_2014_04_atkelta(viso)'!J14+R_2014_04_priskirta!J15</f>
        <v>0</v>
      </c>
      <c r="K14" s="127">
        <f>+'R_2014_04_atkelta(viso)'!K14+R_2014_04_priskirta!K15</f>
        <v>1514.48</v>
      </c>
      <c r="L14" s="127">
        <f>+'R_2014_04_atkelta(viso)'!L14+R_2014_04_priskirta!L15</f>
        <v>10.119999999999891</v>
      </c>
      <c r="M14" s="127">
        <f>+'R_2014_04_atkelta(viso)'!M14+R_2014_04_priskirta!M15</f>
        <v>17.600000000000001</v>
      </c>
      <c r="N14" s="127">
        <f>+'R_2014_04_atkelta(viso)'!N14+R_2014_04_priskirta!N15</f>
        <v>171.6</v>
      </c>
      <c r="O14" s="152">
        <f t="shared" si="9"/>
        <v>6909.3200000000006</v>
      </c>
      <c r="P14" s="229">
        <f t="shared" si="6"/>
        <v>6338.8256880733943</v>
      </c>
      <c r="Q14" s="73">
        <f t="shared" si="10"/>
        <v>570.49431192660631</v>
      </c>
      <c r="R14" s="21">
        <f t="shared" si="11"/>
        <v>15703.000000000002</v>
      </c>
      <c r="S14" s="71"/>
      <c r="T14" s="61">
        <v>1.76</v>
      </c>
      <c r="U14" s="13">
        <f t="shared" si="12"/>
        <v>27637.280000000002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+'R_2014_04_atkelta(viso)'!E15+R_2014_04_priskirta!E16</f>
        <v>396.8</v>
      </c>
      <c r="F15" s="127">
        <f>+'R_2014_04_atkelta(viso)'!F15+R_2014_04_priskirta!F16</f>
        <v>19244.8</v>
      </c>
      <c r="G15" s="127">
        <f>+'R_2014_04_atkelta(viso)'!G15+R_2014_04_priskirta!G16</f>
        <v>3027.2</v>
      </c>
      <c r="H15" s="127">
        <f>+'R_2014_04_atkelta(viso)'!H15+R_2014_04_priskirta!H16</f>
        <v>80</v>
      </c>
      <c r="I15" s="127">
        <f>+'R_2014_04_atkelta(viso)'!I15+R_2014_04_priskirta!I16</f>
        <v>0</v>
      </c>
      <c r="J15" s="127">
        <f>+'R_2014_04_atkelta(viso)'!J15+R_2014_04_priskirta!J16</f>
        <v>0</v>
      </c>
      <c r="K15" s="127">
        <f>+'R_2014_04_atkelta(viso)'!K15+R_2014_04_priskirta!K16</f>
        <v>124764.8</v>
      </c>
      <c r="L15" s="127">
        <f>+'R_2014_04_atkelta(viso)'!L15+R_2014_04_priskirta!L16</f>
        <v>819.20000000001164</v>
      </c>
      <c r="M15" s="127">
        <f>+'R_2014_04_atkelta(viso)'!M15+R_2014_04_priskirta!M16</f>
        <v>60.8</v>
      </c>
      <c r="N15" s="127">
        <f>+'R_2014_04_atkelta(viso)'!N15+R_2014_04_priskirta!N16</f>
        <v>7392</v>
      </c>
      <c r="O15" s="152">
        <f t="shared" si="9"/>
        <v>155785.60000000001</v>
      </c>
      <c r="P15" s="229">
        <f t="shared" si="6"/>
        <v>142922.56880733944</v>
      </c>
      <c r="Q15" s="73">
        <f t="shared" si="10"/>
        <v>12863.031192660565</v>
      </c>
      <c r="R15" s="21">
        <f t="shared" si="11"/>
        <v>48683</v>
      </c>
      <c r="S15" s="71"/>
      <c r="T15" s="61"/>
      <c r="U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+'R_2014_04_atkelta(viso)'!E16+R_2014_04_priskirta!E17</f>
        <v>81.599999999999994</v>
      </c>
      <c r="F16" s="127">
        <f>+'R_2014_04_atkelta(viso)'!F16+R_2014_04_priskirta!F17</f>
        <v>4670.3999999999996</v>
      </c>
      <c r="G16" s="127">
        <f>+'R_2014_04_atkelta(viso)'!G16+R_2014_04_priskirta!G17</f>
        <v>932.8</v>
      </c>
      <c r="H16" s="127">
        <f>+'R_2014_04_atkelta(viso)'!H16+R_2014_04_priskirta!H17</f>
        <v>129.6</v>
      </c>
      <c r="I16" s="127">
        <f>+'R_2014_04_atkelta(viso)'!I16+R_2014_04_priskirta!I17</f>
        <v>0</v>
      </c>
      <c r="J16" s="127">
        <f>+'R_2014_04_atkelta(viso)'!J16+R_2014_04_priskirta!J17</f>
        <v>0</v>
      </c>
      <c r="K16" s="127">
        <f>+'R_2014_04_atkelta(viso)'!K16+R_2014_04_priskirta!K17</f>
        <v>16264</v>
      </c>
      <c r="L16" s="127">
        <f>+'R_2014_04_atkelta(viso)'!L16+R_2014_04_priskirta!L17</f>
        <v>139.20000000000073</v>
      </c>
      <c r="M16" s="127">
        <f>+'R_2014_04_atkelta(viso)'!M16+R_2014_04_priskirta!M17</f>
        <v>28.8</v>
      </c>
      <c r="N16" s="127">
        <f>+'R_2014_04_atkelta(viso)'!N16+R_2014_04_priskirta!N17</f>
        <v>718.4</v>
      </c>
      <c r="O16" s="152">
        <f t="shared" si="9"/>
        <v>22964.800000000003</v>
      </c>
      <c r="P16" s="229">
        <f t="shared" si="6"/>
        <v>21068.623853211011</v>
      </c>
      <c r="Q16" s="73">
        <f t="shared" si="10"/>
        <v>1896.1761467889919</v>
      </c>
      <c r="R16" s="21">
        <f t="shared" si="11"/>
        <v>14353.000000000002</v>
      </c>
      <c r="S16" s="71"/>
      <c r="T16" s="13">
        <v>1.6</v>
      </c>
      <c r="U16" s="13">
        <f t="shared" ref="U16:U17" si="13">+R16*T16</f>
        <v>22964.800000000003</v>
      </c>
    </row>
    <row r="17" spans="1:22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+'R_2014_04_atkelta(viso)'!E17+R_2014_04_priskirta!E18</f>
        <v>8.9600000000000009</v>
      </c>
      <c r="F17" s="127">
        <f>+'R_2014_04_atkelta(viso)'!F17+R_2014_04_priskirta!F18</f>
        <v>113.28</v>
      </c>
      <c r="G17" s="127">
        <f>+'R_2014_04_atkelta(viso)'!G17+R_2014_04_priskirta!G18</f>
        <v>10.24</v>
      </c>
      <c r="H17" s="127">
        <f>+'R_2014_04_atkelta(viso)'!H17+R_2014_04_priskirta!H18</f>
        <v>4.4800000000000004</v>
      </c>
      <c r="I17" s="127">
        <f>+'R_2014_04_atkelta(viso)'!I17+R_2014_04_priskirta!I18</f>
        <v>0</v>
      </c>
      <c r="J17" s="127">
        <f>+'R_2014_04_atkelta(viso)'!J17+R_2014_04_priskirta!J18</f>
        <v>0</v>
      </c>
      <c r="K17" s="127">
        <f>+'R_2014_04_atkelta(viso)'!K17+R_2014_04_priskirta!K18</f>
        <v>313.60000000000002</v>
      </c>
      <c r="L17" s="127">
        <f>+'R_2014_04_atkelta(viso)'!L17+R_2014_04_priskirta!L18</f>
        <v>1.9200000000000159</v>
      </c>
      <c r="M17" s="127">
        <f>+'R_2014_04_atkelta(viso)'!M17+R_2014_04_priskirta!M18</f>
        <v>11.52</v>
      </c>
      <c r="N17" s="127">
        <f>+'R_2014_04_atkelta(viso)'!N17+R_2014_04_priskirta!N18</f>
        <v>0</v>
      </c>
      <c r="O17" s="206">
        <f t="shared" si="9"/>
        <v>464.00000000000006</v>
      </c>
      <c r="P17" s="229">
        <f t="shared" si="6"/>
        <v>425.68807339449546</v>
      </c>
      <c r="Q17" s="207">
        <f t="shared" si="10"/>
        <v>38.311926605504595</v>
      </c>
      <c r="R17" s="22">
        <f t="shared" si="11"/>
        <v>725.00000000000011</v>
      </c>
      <c r="S17" s="71"/>
      <c r="T17" s="61">
        <v>2.56</v>
      </c>
      <c r="U17" s="13">
        <f t="shared" si="13"/>
        <v>1856.0000000000002</v>
      </c>
    </row>
    <row r="18" spans="1:22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115941.92</v>
      </c>
      <c r="F18" s="118">
        <f t="shared" ref="F18:R18" si="14">+SUM(F19:F43)</f>
        <v>4710447.29</v>
      </c>
      <c r="G18" s="118">
        <f t="shared" si="14"/>
        <v>704163.42</v>
      </c>
      <c r="H18" s="118">
        <f t="shared" si="14"/>
        <v>119696.63999999998</v>
      </c>
      <c r="I18" s="118">
        <f t="shared" si="14"/>
        <v>0</v>
      </c>
      <c r="J18" s="118">
        <f t="shared" si="14"/>
        <v>0</v>
      </c>
      <c r="K18" s="118">
        <f t="shared" si="14"/>
        <v>0</v>
      </c>
      <c r="L18" s="118">
        <f t="shared" ref="L18" si="15">+SUM(L19:L43)</f>
        <v>0</v>
      </c>
      <c r="M18" s="118">
        <f t="shared" si="14"/>
        <v>29928.18</v>
      </c>
      <c r="N18" s="118">
        <f t="shared" si="14"/>
        <v>450934.42999999993</v>
      </c>
      <c r="O18" s="118">
        <f t="shared" si="14"/>
        <v>6131111.8799999999</v>
      </c>
      <c r="P18" s="118">
        <f t="shared" si="14"/>
        <v>5624873.2844036706</v>
      </c>
      <c r="Q18" s="118">
        <f t="shared" si="14"/>
        <v>506238.59559633059</v>
      </c>
      <c r="R18" s="253">
        <f t="shared" si="14"/>
        <v>116436.36375185187</v>
      </c>
      <c r="S18" s="71"/>
      <c r="T18" s="61"/>
      <c r="U18" s="105">
        <f>+SUM(U19:U43)</f>
        <v>5460208.120000001</v>
      </c>
      <c r="V18" s="2"/>
    </row>
    <row r="19" spans="1:22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+'R_2014_04_atkelta(viso)'!E19+R_2014_04_priskirta!E20</f>
        <v>70093.34</v>
      </c>
      <c r="F19" s="127">
        <f>+'R_2014_04_atkelta(viso)'!F19+R_2014_04_priskirta!F20</f>
        <v>2697560</v>
      </c>
      <c r="G19" s="127">
        <f>+'R_2014_04_atkelta(viso)'!G19+R_2014_04_priskirta!G20</f>
        <v>384550</v>
      </c>
      <c r="H19" s="127">
        <f>+'R_2014_04_atkelta(viso)'!H19+R_2014_04_priskirta!H20</f>
        <v>66533.33</v>
      </c>
      <c r="I19" s="127">
        <f>+'R_2014_04_atkelta(viso)'!I19+R_2014_04_priskirta!I20</f>
        <v>0</v>
      </c>
      <c r="J19" s="127">
        <f>+'R_2014_04_atkelta(viso)'!J19+R_2014_04_priskirta!J20</f>
        <v>0</v>
      </c>
      <c r="K19" s="127">
        <f>+'R_2014_04_atkelta(viso)'!K19+R_2014_04_priskirta!K20</f>
        <v>0</v>
      </c>
      <c r="L19" s="127">
        <f>+'R_2014_04_atkelta(viso)'!L19+R_2014_04_priskirta!L20</f>
        <v>0</v>
      </c>
      <c r="M19" s="127">
        <f>+'R_2014_04_atkelta(viso)'!M19+R_2014_04_priskirta!M20</f>
        <v>18920</v>
      </c>
      <c r="N19" s="127">
        <f>+'R_2014_04_atkelta(viso)'!N19+R_2014_04_priskirta!N20</f>
        <v>231066.68</v>
      </c>
      <c r="O19" s="153">
        <f t="shared" ref="O19:O53" si="16">+SUM(E19:N19)</f>
        <v>3468723.35</v>
      </c>
      <c r="P19" s="229">
        <f t="shared" si="6"/>
        <v>3182315</v>
      </c>
      <c r="Q19" s="93">
        <f>+O19-P19</f>
        <v>286408.35000000009</v>
      </c>
      <c r="R19" s="94">
        <f t="shared" ref="R19:R43" si="17">O19/D19</f>
        <v>34687.233500000002</v>
      </c>
      <c r="S19" s="41"/>
      <c r="T19" s="61"/>
      <c r="U19" s="106"/>
      <c r="V19" s="205"/>
    </row>
    <row r="20" spans="1:22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+'R_2014_04_atkelta(viso)'!E20+R_2014_04_priskirta!E21</f>
        <v>11510</v>
      </c>
      <c r="F20" s="127">
        <f>+'R_2014_04_atkelta(viso)'!F20+R_2014_04_priskirta!F21</f>
        <v>740533.33000000007</v>
      </c>
      <c r="G20" s="127">
        <f>+'R_2014_04_atkelta(viso)'!G20+R_2014_04_priskirta!G21</f>
        <v>105680</v>
      </c>
      <c r="H20" s="127">
        <f>+'R_2014_04_atkelta(viso)'!H20+R_2014_04_priskirta!H21</f>
        <v>21083.33</v>
      </c>
      <c r="I20" s="127">
        <f>+'R_2014_04_atkelta(viso)'!I20+R_2014_04_priskirta!I21</f>
        <v>0</v>
      </c>
      <c r="J20" s="127">
        <f>+'R_2014_04_atkelta(viso)'!J20+R_2014_04_priskirta!J21</f>
        <v>0</v>
      </c>
      <c r="K20" s="127">
        <f>+'R_2014_04_atkelta(viso)'!K20+R_2014_04_priskirta!K21</f>
        <v>0</v>
      </c>
      <c r="L20" s="127">
        <f>+'R_2014_04_atkelta(viso)'!L20+R_2014_04_priskirta!L21</f>
        <v>0</v>
      </c>
      <c r="M20" s="127">
        <f>+'R_2014_04_atkelta(viso)'!M20+R_2014_04_priskirta!M21</f>
        <v>5738.33</v>
      </c>
      <c r="N20" s="127">
        <f>+'R_2014_04_atkelta(viso)'!N20+R_2014_04_priskirta!N21</f>
        <v>11990</v>
      </c>
      <c r="O20" s="152">
        <f t="shared" si="16"/>
        <v>896534.99</v>
      </c>
      <c r="P20" s="229">
        <f t="shared" si="6"/>
        <v>822509.16513761459</v>
      </c>
      <c r="Q20" s="73">
        <f t="shared" ref="Q20:Q43" si="18">+O20-P20</f>
        <v>74025.824862385402</v>
      </c>
      <c r="R20" s="21">
        <f t="shared" si="17"/>
        <v>17930.699799999999</v>
      </c>
      <c r="S20" s="41"/>
      <c r="T20" s="61">
        <v>50</v>
      </c>
      <c r="U20" s="13">
        <f t="shared" ref="U20:U21" si="19">+R20*T20</f>
        <v>896534.98999999987</v>
      </c>
      <c r="V20" s="205"/>
    </row>
    <row r="21" spans="1:22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+'R_2014_04_atkelta(viso)'!E21+R_2014_04_priskirta!E22</f>
        <v>20062.66</v>
      </c>
      <c r="F21" s="127">
        <f>+'R_2014_04_atkelta(viso)'!F21+R_2014_04_priskirta!F22</f>
        <v>812836</v>
      </c>
      <c r="G21" s="127">
        <f>+'R_2014_04_atkelta(viso)'!G21+R_2014_04_priskirta!G22</f>
        <v>139040.66</v>
      </c>
      <c r="H21" s="127">
        <f>+'R_2014_04_atkelta(viso)'!H21+R_2014_04_priskirta!H22</f>
        <v>12494</v>
      </c>
      <c r="I21" s="127">
        <f>+'R_2014_04_atkelta(viso)'!I21+R_2014_04_priskirta!I22</f>
        <v>0</v>
      </c>
      <c r="J21" s="127">
        <f>+'R_2014_04_atkelta(viso)'!J21+R_2014_04_priskirta!J22</f>
        <v>0</v>
      </c>
      <c r="K21" s="127">
        <f>+'R_2014_04_atkelta(viso)'!K21+R_2014_04_priskirta!K22</f>
        <v>0</v>
      </c>
      <c r="L21" s="127">
        <f>+'R_2014_04_atkelta(viso)'!L21+R_2014_04_priskirta!L22</f>
        <v>0</v>
      </c>
      <c r="M21" s="127">
        <f>+'R_2014_04_atkelta(viso)'!M21+R_2014_04_priskirta!M22</f>
        <v>2470.66</v>
      </c>
      <c r="N21" s="127">
        <f>+'R_2014_04_atkelta(viso)'!N21+R_2014_04_priskirta!N22</f>
        <v>85946.66</v>
      </c>
      <c r="O21" s="152">
        <f t="shared" si="16"/>
        <v>1072850.6400000001</v>
      </c>
      <c r="P21" s="229">
        <f t="shared" si="6"/>
        <v>984266.64220183494</v>
      </c>
      <c r="Q21" s="73">
        <f t="shared" si="18"/>
        <v>88583.99779816519</v>
      </c>
      <c r="R21" s="21">
        <f t="shared" si="17"/>
        <v>53642.532000000007</v>
      </c>
      <c r="S21" s="41"/>
      <c r="T21" s="61">
        <v>80</v>
      </c>
      <c r="U21" s="13">
        <f t="shared" si="19"/>
        <v>4291402.5600000005</v>
      </c>
      <c r="V21" s="205"/>
    </row>
    <row r="22" spans="1:22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+'R_2014_04_atkelta(viso)'!E22+R_2014_04_priskirta!E23</f>
        <v>11664</v>
      </c>
      <c r="F22" s="127">
        <f>+'R_2014_04_atkelta(viso)'!F22+R_2014_04_priskirta!F23</f>
        <v>386523</v>
      </c>
      <c r="G22" s="127">
        <f>+'R_2014_04_atkelta(viso)'!G22+R_2014_04_priskirta!G23</f>
        <v>64488</v>
      </c>
      <c r="H22" s="127">
        <f>+'R_2014_04_atkelta(viso)'!H22+R_2014_04_priskirta!H23</f>
        <v>13416</v>
      </c>
      <c r="I22" s="127">
        <f>+'R_2014_04_atkelta(viso)'!I22+R_2014_04_priskirta!I23</f>
        <v>0</v>
      </c>
      <c r="J22" s="127">
        <f>+'R_2014_04_atkelta(viso)'!J22+R_2014_04_priskirta!J23</f>
        <v>0</v>
      </c>
      <c r="K22" s="127">
        <f>+'R_2014_04_atkelta(viso)'!K22+R_2014_04_priskirta!K23</f>
        <v>0</v>
      </c>
      <c r="L22" s="127">
        <f>+'R_2014_04_atkelta(viso)'!L22+R_2014_04_priskirta!L23</f>
        <v>0</v>
      </c>
      <c r="M22" s="127">
        <f>+'R_2014_04_atkelta(viso)'!M22+R_2014_04_priskirta!M23</f>
        <v>2439</v>
      </c>
      <c r="N22" s="127">
        <f>+'R_2014_04_atkelta(viso)'!N22+R_2014_04_priskirta!N23</f>
        <v>80694</v>
      </c>
      <c r="O22" s="152">
        <f t="shared" si="16"/>
        <v>559224</v>
      </c>
      <c r="P22" s="229">
        <f t="shared" si="6"/>
        <v>513049.54128440365</v>
      </c>
      <c r="Q22" s="73">
        <f t="shared" si="18"/>
        <v>46174.458715596353</v>
      </c>
      <c r="R22" s="21">
        <f t="shared" si="17"/>
        <v>6213.6</v>
      </c>
      <c r="S22" s="41"/>
      <c r="T22" s="61"/>
      <c r="U22" s="13"/>
      <c r="V22" s="205"/>
    </row>
    <row r="23" spans="1:22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+'R_2014_04_atkelta(viso)'!E23+R_2014_04_priskirta!E24</f>
        <v>364.5</v>
      </c>
      <c r="F23" s="127">
        <f>+'R_2014_04_atkelta(viso)'!F23+R_2014_04_priskirta!F24</f>
        <v>20803.5</v>
      </c>
      <c r="G23" s="127">
        <f>+'R_2014_04_atkelta(viso)'!G23+R_2014_04_priskirta!G24</f>
        <v>3516</v>
      </c>
      <c r="H23" s="127">
        <f>+'R_2014_04_atkelta(viso)'!H23+R_2014_04_priskirta!H24</f>
        <v>900</v>
      </c>
      <c r="I23" s="127">
        <f>+'R_2014_04_atkelta(viso)'!I23+R_2014_04_priskirta!I24</f>
        <v>0</v>
      </c>
      <c r="J23" s="127">
        <f>+'R_2014_04_atkelta(viso)'!J23+R_2014_04_priskirta!J24</f>
        <v>0</v>
      </c>
      <c r="K23" s="127">
        <f>+'R_2014_04_atkelta(viso)'!K23+R_2014_04_priskirta!K24</f>
        <v>0</v>
      </c>
      <c r="L23" s="127">
        <f>+'R_2014_04_atkelta(viso)'!L23+R_2014_04_priskirta!L24</f>
        <v>0</v>
      </c>
      <c r="M23" s="127">
        <f>+'R_2014_04_atkelta(viso)'!M23+R_2014_04_priskirta!M24</f>
        <v>144</v>
      </c>
      <c r="N23" s="127">
        <f>+'R_2014_04_atkelta(viso)'!N23+R_2014_04_priskirta!N24</f>
        <v>3390</v>
      </c>
      <c r="O23" s="152">
        <f t="shared" si="16"/>
        <v>29118</v>
      </c>
      <c r="P23" s="229">
        <f t="shared" si="6"/>
        <v>26713.761467889908</v>
      </c>
      <c r="Q23" s="73">
        <f t="shared" si="18"/>
        <v>2404.2385321100919</v>
      </c>
      <c r="R23" s="21">
        <f t="shared" si="17"/>
        <v>647.06666666666672</v>
      </c>
      <c r="S23" s="35"/>
      <c r="T23" s="61">
        <v>45</v>
      </c>
      <c r="U23" s="13">
        <f t="shared" ref="U23:U24" si="20">+R23*T23</f>
        <v>29118.000000000004</v>
      </c>
      <c r="V23" s="205"/>
    </row>
    <row r="24" spans="1:22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+'R_2014_04_atkelta(viso)'!E24+R_2014_04_priskirta!E25</f>
        <v>836.40000000000009</v>
      </c>
      <c r="F24" s="127">
        <f>+'R_2014_04_atkelta(viso)'!F24+R_2014_04_priskirta!F25</f>
        <v>14737.8</v>
      </c>
      <c r="G24" s="127">
        <f>+'R_2014_04_atkelta(viso)'!G24+R_2014_04_priskirta!G25</f>
        <v>2472</v>
      </c>
      <c r="H24" s="127">
        <f>+'R_2014_04_atkelta(viso)'!H24+R_2014_04_priskirta!H25</f>
        <v>369</v>
      </c>
      <c r="I24" s="127">
        <f>+'R_2014_04_atkelta(viso)'!I24+R_2014_04_priskirta!I25</f>
        <v>0</v>
      </c>
      <c r="J24" s="127">
        <f>+'R_2014_04_atkelta(viso)'!J24+R_2014_04_priskirta!J25</f>
        <v>0</v>
      </c>
      <c r="K24" s="127">
        <f>+'R_2014_04_atkelta(viso)'!K24+R_2014_04_priskirta!K25</f>
        <v>0</v>
      </c>
      <c r="L24" s="127">
        <f>+'R_2014_04_atkelta(viso)'!L24+R_2014_04_priskirta!L25</f>
        <v>0</v>
      </c>
      <c r="M24" s="127">
        <f>+'R_2014_04_atkelta(viso)'!M24+R_2014_04_priskirta!M25</f>
        <v>111</v>
      </c>
      <c r="N24" s="127">
        <f>+'R_2014_04_atkelta(viso)'!N24+R_2014_04_priskirta!N25</f>
        <v>4873.7999999999993</v>
      </c>
      <c r="O24" s="152">
        <f t="shared" si="16"/>
        <v>23399.999999999996</v>
      </c>
      <c r="P24" s="229">
        <f t="shared" si="6"/>
        <v>21467.889908256875</v>
      </c>
      <c r="Q24" s="73">
        <f t="shared" si="18"/>
        <v>1932.1100917431213</v>
      </c>
      <c r="R24" s="21">
        <f t="shared" si="17"/>
        <v>1299.9999999999998</v>
      </c>
      <c r="S24" s="35"/>
      <c r="T24" s="61">
        <v>72</v>
      </c>
      <c r="U24" s="13">
        <f t="shared" si="20"/>
        <v>93599.999999999985</v>
      </c>
      <c r="V24" s="205"/>
    </row>
    <row r="25" spans="1:22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+'R_2014_04_atkelta(viso)'!E25+R_2014_04_priskirta!E26</f>
        <v>100</v>
      </c>
      <c r="F25" s="127">
        <f>+'R_2014_04_atkelta(viso)'!F25+R_2014_04_priskirta!F26</f>
        <v>3740</v>
      </c>
      <c r="G25" s="127">
        <f>+'R_2014_04_atkelta(viso)'!G25+R_2014_04_priskirta!G26</f>
        <v>410</v>
      </c>
      <c r="H25" s="127">
        <f>+'R_2014_04_atkelta(viso)'!H25+R_2014_04_priskirta!H26</f>
        <v>400</v>
      </c>
      <c r="I25" s="127">
        <f>+'R_2014_04_atkelta(viso)'!I25+R_2014_04_priskirta!I26</f>
        <v>0</v>
      </c>
      <c r="J25" s="127">
        <f>+'R_2014_04_atkelta(viso)'!J25+R_2014_04_priskirta!J26</f>
        <v>0</v>
      </c>
      <c r="K25" s="127">
        <f>+'R_2014_04_atkelta(viso)'!K25+R_2014_04_priskirta!K26</f>
        <v>0</v>
      </c>
      <c r="L25" s="127">
        <f>+'R_2014_04_atkelta(viso)'!L25+R_2014_04_priskirta!L26</f>
        <v>0</v>
      </c>
      <c r="M25" s="127">
        <f>+'R_2014_04_atkelta(viso)'!M25+R_2014_04_priskirta!M26</f>
        <v>0</v>
      </c>
      <c r="N25" s="127">
        <f>+'R_2014_04_atkelta(viso)'!N25+R_2014_04_priskirta!N26</f>
        <v>5333.33</v>
      </c>
      <c r="O25" s="152">
        <f t="shared" si="16"/>
        <v>9983.33</v>
      </c>
      <c r="P25" s="229">
        <f t="shared" si="6"/>
        <v>9159.0183486238529</v>
      </c>
      <c r="Q25" s="73">
        <f t="shared" si="18"/>
        <v>824.31165137614698</v>
      </c>
      <c r="R25" s="21">
        <f t="shared" si="17"/>
        <v>33.277766666666665</v>
      </c>
      <c r="S25" s="35"/>
      <c r="T25" s="61"/>
      <c r="U25" s="13"/>
    </row>
    <row r="26" spans="1:22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+'R_2014_04_atkelta(viso)'!E26+R_2014_04_priskirta!E27</f>
        <v>0</v>
      </c>
      <c r="F26" s="127">
        <f>+'R_2014_04_atkelta(viso)'!F26+R_2014_04_priskirta!F27</f>
        <v>4338.33</v>
      </c>
      <c r="G26" s="127">
        <f>+'R_2014_04_atkelta(viso)'!G26+R_2014_04_priskirta!G27</f>
        <v>451.67</v>
      </c>
      <c r="H26" s="127">
        <f>+'R_2014_04_atkelta(viso)'!H26+R_2014_04_priskirta!H27</f>
        <v>556.66999999999996</v>
      </c>
      <c r="I26" s="127">
        <f>+'R_2014_04_atkelta(viso)'!I26+R_2014_04_priskirta!I27</f>
        <v>0</v>
      </c>
      <c r="J26" s="127">
        <f>+'R_2014_04_atkelta(viso)'!J26+R_2014_04_priskirta!J27</f>
        <v>0</v>
      </c>
      <c r="K26" s="127">
        <f>+'R_2014_04_atkelta(viso)'!K26+R_2014_04_priskirta!K27</f>
        <v>0</v>
      </c>
      <c r="L26" s="127">
        <f>+'R_2014_04_atkelta(viso)'!L26+R_2014_04_priskirta!L27</f>
        <v>0</v>
      </c>
      <c r="M26" s="127">
        <f>+'R_2014_04_atkelta(viso)'!M26+R_2014_04_priskirta!M27</f>
        <v>0</v>
      </c>
      <c r="N26" s="127">
        <f>+'R_2014_04_atkelta(viso)'!N26+R_2014_04_priskirta!N27</f>
        <v>1260</v>
      </c>
      <c r="O26" s="152">
        <f t="shared" si="16"/>
        <v>6606.67</v>
      </c>
      <c r="P26" s="229">
        <f t="shared" si="6"/>
        <v>6061.1651376146783</v>
      </c>
      <c r="Q26" s="73">
        <f t="shared" si="18"/>
        <v>545.50486238532176</v>
      </c>
      <c r="R26" s="21">
        <f t="shared" si="17"/>
        <v>44.044466666666665</v>
      </c>
      <c r="S26" s="35"/>
      <c r="T26" s="61">
        <v>150</v>
      </c>
      <c r="U26" s="13">
        <f t="shared" ref="U26:U42" si="21">+R26*T26</f>
        <v>6606.67</v>
      </c>
    </row>
    <row r="27" spans="1:22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+'R_2014_04_atkelta(viso)'!E27+R_2014_04_priskirta!E28</f>
        <v>438</v>
      </c>
      <c r="F27" s="127">
        <f>+'R_2014_04_atkelta(viso)'!F27+R_2014_04_priskirta!F28</f>
        <v>12952</v>
      </c>
      <c r="G27" s="127">
        <f>+'R_2014_04_atkelta(viso)'!G27+R_2014_04_priskirta!G28</f>
        <v>1784</v>
      </c>
      <c r="H27" s="127">
        <f>+'R_2014_04_atkelta(viso)'!H27+R_2014_04_priskirta!H28</f>
        <v>938.67</v>
      </c>
      <c r="I27" s="127">
        <f>+'R_2014_04_atkelta(viso)'!I27+R_2014_04_priskirta!I28</f>
        <v>0</v>
      </c>
      <c r="J27" s="127">
        <f>+'R_2014_04_atkelta(viso)'!J27+R_2014_04_priskirta!J28</f>
        <v>0</v>
      </c>
      <c r="K27" s="127">
        <f>+'R_2014_04_atkelta(viso)'!K27+R_2014_04_priskirta!K28</f>
        <v>0</v>
      </c>
      <c r="L27" s="127">
        <f>+'R_2014_04_atkelta(viso)'!L27+R_2014_04_priskirta!L28</f>
        <v>0</v>
      </c>
      <c r="M27" s="127">
        <f>+'R_2014_04_atkelta(viso)'!M27+R_2014_04_priskirta!M28</f>
        <v>64.67</v>
      </c>
      <c r="N27" s="127">
        <f>+'R_2014_04_atkelta(viso)'!N27+R_2014_04_priskirta!N28</f>
        <v>10366.66</v>
      </c>
      <c r="O27" s="152">
        <f t="shared" si="16"/>
        <v>26544</v>
      </c>
      <c r="P27" s="229">
        <f t="shared" si="6"/>
        <v>24352.293577981651</v>
      </c>
      <c r="Q27" s="73">
        <f t="shared" si="18"/>
        <v>2191.7064220183493</v>
      </c>
      <c r="R27" s="21">
        <f t="shared" si="17"/>
        <v>442.4</v>
      </c>
      <c r="S27" s="35"/>
      <c r="T27" s="61">
        <v>240</v>
      </c>
      <c r="U27" s="13">
        <f t="shared" si="21"/>
        <v>106176</v>
      </c>
    </row>
    <row r="28" spans="1:22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+'R_2014_04_atkelta(viso)'!E28+R_2014_04_priskirta!E29</f>
        <v>0</v>
      </c>
      <c r="F28" s="127">
        <f>+'R_2014_04_atkelta(viso)'!F28+R_2014_04_priskirta!F29</f>
        <v>834</v>
      </c>
      <c r="G28" s="127">
        <f>+'R_2014_04_atkelta(viso)'!G28+R_2014_04_priskirta!G29</f>
        <v>90</v>
      </c>
      <c r="H28" s="127">
        <f>+'R_2014_04_atkelta(viso)'!H28+R_2014_04_priskirta!H29</f>
        <v>387</v>
      </c>
      <c r="I28" s="127">
        <f>+'R_2014_04_atkelta(viso)'!I28+R_2014_04_priskirta!I29</f>
        <v>0</v>
      </c>
      <c r="J28" s="127">
        <f>+'R_2014_04_atkelta(viso)'!J28+R_2014_04_priskirta!J29</f>
        <v>0</v>
      </c>
      <c r="K28" s="127">
        <f>+'R_2014_04_atkelta(viso)'!K28+R_2014_04_priskirta!K29</f>
        <v>0</v>
      </c>
      <c r="L28" s="127">
        <f>+'R_2014_04_atkelta(viso)'!L28+R_2014_04_priskirta!L29</f>
        <v>0</v>
      </c>
      <c r="M28" s="127">
        <f>+'R_2014_04_atkelta(viso)'!M28+R_2014_04_priskirta!M29</f>
        <v>0</v>
      </c>
      <c r="N28" s="127">
        <f>+'R_2014_04_atkelta(viso)'!N28+R_2014_04_priskirta!N29</f>
        <v>9810</v>
      </c>
      <c r="O28" s="152">
        <f t="shared" si="16"/>
        <v>11121</v>
      </c>
      <c r="P28" s="229">
        <f t="shared" si="6"/>
        <v>10202.752293577982</v>
      </c>
      <c r="Q28" s="73">
        <f t="shared" si="18"/>
        <v>918.24770642201838</v>
      </c>
      <c r="R28" s="21">
        <f t="shared" si="17"/>
        <v>41.18888888888889</v>
      </c>
      <c r="S28" s="35"/>
      <c r="T28" s="61"/>
      <c r="U28" s="13"/>
    </row>
    <row r="29" spans="1:22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+'R_2014_04_atkelta(viso)'!E29+R_2014_04_priskirta!E30</f>
        <v>0</v>
      </c>
      <c r="F29" s="127">
        <f>+'R_2014_04_atkelta(viso)'!F29+R_2014_04_priskirta!F30</f>
        <v>180</v>
      </c>
      <c r="G29" s="127">
        <f>+'R_2014_04_atkelta(viso)'!G29+R_2014_04_priskirta!G30</f>
        <v>0</v>
      </c>
      <c r="H29" s="127">
        <f>+'R_2014_04_atkelta(viso)'!H29+R_2014_04_priskirta!H30</f>
        <v>90</v>
      </c>
      <c r="I29" s="127">
        <f>+'R_2014_04_atkelta(viso)'!I29+R_2014_04_priskirta!I30</f>
        <v>0</v>
      </c>
      <c r="J29" s="127">
        <f>+'R_2014_04_atkelta(viso)'!J29+R_2014_04_priskirta!J30</f>
        <v>0</v>
      </c>
      <c r="K29" s="127">
        <f>+'R_2014_04_atkelta(viso)'!K29+R_2014_04_priskirta!K30</f>
        <v>0</v>
      </c>
      <c r="L29" s="127">
        <f>+'R_2014_04_atkelta(viso)'!L29+R_2014_04_priskirta!L30</f>
        <v>0</v>
      </c>
      <c r="M29" s="127">
        <f>+'R_2014_04_atkelta(viso)'!M29+R_2014_04_priskirta!M30</f>
        <v>0</v>
      </c>
      <c r="N29" s="127">
        <f>+'R_2014_04_atkelta(viso)'!N29+R_2014_04_priskirta!N30</f>
        <v>102</v>
      </c>
      <c r="O29" s="152">
        <f t="shared" si="16"/>
        <v>372</v>
      </c>
      <c r="P29" s="229">
        <f t="shared" si="6"/>
        <v>341.28440366972472</v>
      </c>
      <c r="Q29" s="73">
        <f t="shared" si="18"/>
        <v>30.715596330275275</v>
      </c>
      <c r="R29" s="21">
        <f t="shared" si="17"/>
        <v>2.7555555555555555</v>
      </c>
      <c r="S29" s="35"/>
      <c r="T29" s="61">
        <v>135</v>
      </c>
      <c r="U29" s="13">
        <f t="shared" si="21"/>
        <v>372</v>
      </c>
    </row>
    <row r="30" spans="1:22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+'R_2014_04_atkelta(viso)'!E30+R_2014_04_priskirta!E31</f>
        <v>94.2</v>
      </c>
      <c r="F30" s="127">
        <f>+'R_2014_04_atkelta(viso)'!F30+R_2014_04_priskirta!F31</f>
        <v>253.2</v>
      </c>
      <c r="G30" s="127">
        <f>+'R_2014_04_atkelta(viso)'!G30+R_2014_04_priskirta!G31</f>
        <v>1.2</v>
      </c>
      <c r="H30" s="127">
        <f>+'R_2014_04_atkelta(viso)'!H30+R_2014_04_priskirta!H31</f>
        <v>68.400000000000006</v>
      </c>
      <c r="I30" s="127">
        <f>+'R_2014_04_atkelta(viso)'!I30+R_2014_04_priskirta!I31</f>
        <v>0</v>
      </c>
      <c r="J30" s="127">
        <f>+'R_2014_04_atkelta(viso)'!J30+R_2014_04_priskirta!J31</f>
        <v>0</v>
      </c>
      <c r="K30" s="127">
        <f>+'R_2014_04_atkelta(viso)'!K30+R_2014_04_priskirta!K31</f>
        <v>0</v>
      </c>
      <c r="L30" s="127">
        <f>+'R_2014_04_atkelta(viso)'!L30+R_2014_04_priskirta!L31</f>
        <v>0</v>
      </c>
      <c r="M30" s="127">
        <f>+'R_2014_04_atkelta(viso)'!M30+R_2014_04_priskirta!M31</f>
        <v>18</v>
      </c>
      <c r="N30" s="127">
        <f>+'R_2014_04_atkelta(viso)'!N30+R_2014_04_priskirta!N31</f>
        <v>853.8</v>
      </c>
      <c r="O30" s="152">
        <f t="shared" si="16"/>
        <v>1288.8</v>
      </c>
      <c r="P30" s="229">
        <f t="shared" si="6"/>
        <v>1182.3853211009173</v>
      </c>
      <c r="Q30" s="73">
        <f t="shared" si="18"/>
        <v>106.41467889908267</v>
      </c>
      <c r="R30" s="21">
        <f t="shared" si="17"/>
        <v>23.866666666666667</v>
      </c>
      <c r="S30" s="35"/>
      <c r="T30" s="61">
        <v>216</v>
      </c>
      <c r="U30" s="13">
        <f t="shared" si="21"/>
        <v>5155.2</v>
      </c>
    </row>
    <row r="31" spans="1:22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+'R_2014_04_atkelta(viso)'!E31+R_2014_04_priskirta!E32</f>
        <v>100</v>
      </c>
      <c r="F31" s="127">
        <f>+'R_2014_04_atkelta(viso)'!F31+R_2014_04_priskirta!F32</f>
        <v>290</v>
      </c>
      <c r="G31" s="127">
        <f>+'R_2014_04_atkelta(viso)'!G31+R_2014_04_priskirta!G32</f>
        <v>16.670000000000002</v>
      </c>
      <c r="H31" s="127">
        <f>+'R_2014_04_atkelta(viso)'!H31+R_2014_04_priskirta!H32</f>
        <v>156.67000000000002</v>
      </c>
      <c r="I31" s="127">
        <f>+'R_2014_04_atkelta(viso)'!I31+R_2014_04_priskirta!I32</f>
        <v>0</v>
      </c>
      <c r="J31" s="127">
        <f>+'R_2014_04_atkelta(viso)'!J31+R_2014_04_priskirta!J32</f>
        <v>0</v>
      </c>
      <c r="K31" s="127">
        <f>+'R_2014_04_atkelta(viso)'!K31+R_2014_04_priskirta!K32</f>
        <v>0</v>
      </c>
      <c r="L31" s="127">
        <f>+'R_2014_04_atkelta(viso)'!L31+R_2014_04_priskirta!L32</f>
        <v>0</v>
      </c>
      <c r="M31" s="127">
        <f>+'R_2014_04_atkelta(viso)'!M31+R_2014_04_priskirta!M32</f>
        <v>0</v>
      </c>
      <c r="N31" s="127">
        <f>+'R_2014_04_atkelta(viso)'!N31+R_2014_04_priskirta!N32</f>
        <v>83.33</v>
      </c>
      <c r="O31" s="152">
        <f t="shared" si="16"/>
        <v>646.67000000000007</v>
      </c>
      <c r="P31" s="229">
        <f t="shared" si="6"/>
        <v>593.27522935779814</v>
      </c>
      <c r="Q31" s="73">
        <f t="shared" si="18"/>
        <v>53.394770642201934</v>
      </c>
      <c r="R31" s="21">
        <f t="shared" si="17"/>
        <v>1.0777833333333335</v>
      </c>
      <c r="S31" s="35"/>
      <c r="T31" s="61"/>
      <c r="U31" s="13"/>
    </row>
    <row r="32" spans="1:22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+'R_2014_04_atkelta(viso)'!E32+R_2014_04_priskirta!E33</f>
        <v>0</v>
      </c>
      <c r="F32" s="127">
        <f>+'R_2014_04_atkelta(viso)'!F32+R_2014_04_priskirta!F33</f>
        <v>550</v>
      </c>
      <c r="G32" s="127">
        <f>+'R_2014_04_atkelta(viso)'!G32+R_2014_04_priskirta!G33</f>
        <v>50</v>
      </c>
      <c r="H32" s="127">
        <f>+'R_2014_04_atkelta(viso)'!H32+R_2014_04_priskirta!H33</f>
        <v>198.34000000000003</v>
      </c>
      <c r="I32" s="127">
        <f>+'R_2014_04_atkelta(viso)'!I32+R_2014_04_priskirta!I33</f>
        <v>0</v>
      </c>
      <c r="J32" s="127">
        <f>+'R_2014_04_atkelta(viso)'!J32+R_2014_04_priskirta!J33</f>
        <v>0</v>
      </c>
      <c r="K32" s="127">
        <f>+'R_2014_04_atkelta(viso)'!K32+R_2014_04_priskirta!K33</f>
        <v>0</v>
      </c>
      <c r="L32" s="127">
        <f>+'R_2014_04_atkelta(viso)'!L32+R_2014_04_priskirta!L33</f>
        <v>0</v>
      </c>
      <c r="M32" s="127">
        <f>+'R_2014_04_atkelta(viso)'!M32+R_2014_04_priskirta!M33</f>
        <v>0</v>
      </c>
      <c r="N32" s="127">
        <f>+'R_2014_04_atkelta(viso)'!N32+R_2014_04_priskirta!N33</f>
        <v>170</v>
      </c>
      <c r="O32" s="152">
        <f t="shared" si="16"/>
        <v>968.34</v>
      </c>
      <c r="P32" s="229">
        <f t="shared" si="6"/>
        <v>888.38532110091739</v>
      </c>
      <c r="Q32" s="73">
        <f t="shared" si="18"/>
        <v>79.954678899082637</v>
      </c>
      <c r="R32" s="21">
        <f t="shared" si="17"/>
        <v>3.2278000000000002</v>
      </c>
      <c r="S32" s="35"/>
      <c r="T32" s="61">
        <v>300</v>
      </c>
      <c r="U32" s="13">
        <f t="shared" si="21"/>
        <v>968.34</v>
      </c>
    </row>
    <row r="33" spans="1:22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+'R_2014_04_atkelta(viso)'!E33+R_2014_04_priskirta!E34</f>
        <v>44</v>
      </c>
      <c r="F33" s="127">
        <f>+'R_2014_04_atkelta(viso)'!F33+R_2014_04_priskirta!F34</f>
        <v>1383.33</v>
      </c>
      <c r="G33" s="127">
        <f>+'R_2014_04_atkelta(viso)'!G33+R_2014_04_priskirta!G34</f>
        <v>145.33000000000001</v>
      </c>
      <c r="H33" s="127">
        <f>+'R_2014_04_atkelta(viso)'!H33+R_2014_04_priskirta!H34</f>
        <v>44.67</v>
      </c>
      <c r="I33" s="127">
        <f>+'R_2014_04_atkelta(viso)'!I33+R_2014_04_priskirta!I34</f>
        <v>0</v>
      </c>
      <c r="J33" s="127">
        <f>+'R_2014_04_atkelta(viso)'!J33+R_2014_04_priskirta!J34</f>
        <v>0</v>
      </c>
      <c r="K33" s="127">
        <f>+'R_2014_04_atkelta(viso)'!K33+R_2014_04_priskirta!K34</f>
        <v>0</v>
      </c>
      <c r="L33" s="127">
        <f>+'R_2014_04_atkelta(viso)'!L33+R_2014_04_priskirta!L34</f>
        <v>0</v>
      </c>
      <c r="M33" s="127">
        <f>+'R_2014_04_atkelta(viso)'!M33+R_2014_04_priskirta!M34</f>
        <v>14</v>
      </c>
      <c r="N33" s="127">
        <f>+'R_2014_04_atkelta(viso)'!N33+R_2014_04_priskirta!N34</f>
        <v>1312</v>
      </c>
      <c r="O33" s="152">
        <f t="shared" si="16"/>
        <v>2943.33</v>
      </c>
      <c r="P33" s="229">
        <f t="shared" si="6"/>
        <v>2700.3027522935777</v>
      </c>
      <c r="Q33" s="73">
        <f t="shared" si="18"/>
        <v>243.02724770642226</v>
      </c>
      <c r="R33" s="21">
        <f t="shared" si="17"/>
        <v>24.527750000000001</v>
      </c>
      <c r="S33" s="35"/>
      <c r="T33" s="61">
        <v>480</v>
      </c>
      <c r="U33" s="13">
        <f t="shared" si="21"/>
        <v>11773.32</v>
      </c>
    </row>
    <row r="34" spans="1:22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+'R_2014_04_atkelta(viso)'!E34+R_2014_04_priskirta!E35</f>
        <v>0</v>
      </c>
      <c r="F34" s="127">
        <f>+'R_2014_04_atkelta(viso)'!F34+R_2014_04_priskirta!F35</f>
        <v>0</v>
      </c>
      <c r="G34" s="127">
        <f>+'R_2014_04_atkelta(viso)'!G34+R_2014_04_priskirta!G35</f>
        <v>0</v>
      </c>
      <c r="H34" s="127">
        <f>+'R_2014_04_atkelta(viso)'!H34+R_2014_04_priskirta!H35</f>
        <v>0</v>
      </c>
      <c r="I34" s="127">
        <f>+'R_2014_04_atkelta(viso)'!I34+R_2014_04_priskirta!I35</f>
        <v>0</v>
      </c>
      <c r="J34" s="127">
        <f>+'R_2014_04_atkelta(viso)'!J34+R_2014_04_priskirta!J35</f>
        <v>0</v>
      </c>
      <c r="K34" s="127">
        <f>+'R_2014_04_atkelta(viso)'!K34+R_2014_04_priskirta!K35</f>
        <v>0</v>
      </c>
      <c r="L34" s="127">
        <f>+'R_2014_04_atkelta(viso)'!L34+R_2014_04_priskirta!L35</f>
        <v>0</v>
      </c>
      <c r="M34" s="127">
        <f>+'R_2014_04_atkelta(viso)'!M34+R_2014_04_priskirta!M35</f>
        <v>0</v>
      </c>
      <c r="N34" s="127">
        <f>+'R_2014_04_atkelta(viso)'!N34+R_2014_04_priskirta!N35</f>
        <v>1356</v>
      </c>
      <c r="O34" s="152">
        <f t="shared" si="16"/>
        <v>1356</v>
      </c>
      <c r="P34" s="229">
        <f t="shared" si="6"/>
        <v>1244.0366972477063</v>
      </c>
      <c r="Q34" s="73">
        <f t="shared" si="18"/>
        <v>111.96330275229366</v>
      </c>
      <c r="R34" s="21">
        <f t="shared" si="17"/>
        <v>2.5111111111111111</v>
      </c>
      <c r="S34" s="35"/>
      <c r="T34" s="61"/>
      <c r="U34" s="13"/>
    </row>
    <row r="35" spans="1:22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+'R_2014_04_atkelta(viso)'!E35+R_2014_04_priskirta!E36</f>
        <v>0</v>
      </c>
      <c r="F35" s="127">
        <f>+'R_2014_04_atkelta(viso)'!F35+R_2014_04_priskirta!F36</f>
        <v>0</v>
      </c>
      <c r="G35" s="127">
        <f>+'R_2014_04_atkelta(viso)'!G35+R_2014_04_priskirta!G36</f>
        <v>0</v>
      </c>
      <c r="H35" s="127">
        <f>+'R_2014_04_atkelta(viso)'!H35+R_2014_04_priskirta!H36</f>
        <v>0</v>
      </c>
      <c r="I35" s="127">
        <f>+'R_2014_04_atkelta(viso)'!I35+R_2014_04_priskirta!I36</f>
        <v>0</v>
      </c>
      <c r="J35" s="127">
        <f>+'R_2014_04_atkelta(viso)'!J35+R_2014_04_priskirta!J36</f>
        <v>0</v>
      </c>
      <c r="K35" s="127">
        <f>+'R_2014_04_atkelta(viso)'!K35+R_2014_04_priskirta!K36</f>
        <v>0</v>
      </c>
      <c r="L35" s="127">
        <f>+'R_2014_04_atkelta(viso)'!L35+R_2014_04_priskirta!L36</f>
        <v>0</v>
      </c>
      <c r="M35" s="127">
        <f>+'R_2014_04_atkelta(viso)'!M35+R_2014_04_priskirta!M36</f>
        <v>0</v>
      </c>
      <c r="N35" s="127">
        <f>+'R_2014_04_atkelta(viso)'!N35+R_2014_04_priskirta!N36</f>
        <v>0</v>
      </c>
      <c r="O35" s="152">
        <f t="shared" si="16"/>
        <v>0</v>
      </c>
      <c r="P35" s="229">
        <f t="shared" si="6"/>
        <v>0</v>
      </c>
      <c r="Q35" s="73">
        <f t="shared" si="18"/>
        <v>0</v>
      </c>
      <c r="R35" s="21">
        <f t="shared" si="17"/>
        <v>0</v>
      </c>
      <c r="S35" s="35"/>
      <c r="T35" s="61">
        <v>270</v>
      </c>
      <c r="U35" s="13">
        <f t="shared" si="21"/>
        <v>0</v>
      </c>
    </row>
    <row r="36" spans="1:22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+'R_2014_04_atkelta(viso)'!E36+R_2014_04_priskirta!E37</f>
        <v>36</v>
      </c>
      <c r="F36" s="127">
        <f>+'R_2014_04_atkelta(viso)'!F36+R_2014_04_priskirta!F37</f>
        <v>72</v>
      </c>
      <c r="G36" s="127">
        <f>+'R_2014_04_atkelta(viso)'!G36+R_2014_04_priskirta!G37</f>
        <v>0</v>
      </c>
      <c r="H36" s="127">
        <f>+'R_2014_04_atkelta(viso)'!H36+R_2014_04_priskirta!H37</f>
        <v>0</v>
      </c>
      <c r="I36" s="127">
        <f>+'R_2014_04_atkelta(viso)'!I36+R_2014_04_priskirta!I37</f>
        <v>0</v>
      </c>
      <c r="J36" s="127">
        <f>+'R_2014_04_atkelta(viso)'!J36+R_2014_04_priskirta!J37</f>
        <v>0</v>
      </c>
      <c r="K36" s="127">
        <f>+'R_2014_04_atkelta(viso)'!K36+R_2014_04_priskirta!K37</f>
        <v>0</v>
      </c>
      <c r="L36" s="127">
        <f>+'R_2014_04_atkelta(viso)'!L36+R_2014_04_priskirta!L37</f>
        <v>0</v>
      </c>
      <c r="M36" s="127">
        <f>+'R_2014_04_atkelta(viso)'!M36+R_2014_04_priskirta!M37</f>
        <v>0</v>
      </c>
      <c r="N36" s="127">
        <f>+'R_2014_04_atkelta(viso)'!N36+R_2014_04_priskirta!N37</f>
        <v>171.6</v>
      </c>
      <c r="O36" s="152">
        <f t="shared" si="16"/>
        <v>279.60000000000002</v>
      </c>
      <c r="P36" s="229">
        <f t="shared" si="6"/>
        <v>256.51376146788994</v>
      </c>
      <c r="Q36" s="73">
        <f t="shared" si="18"/>
        <v>23.086238532110087</v>
      </c>
      <c r="R36" s="21">
        <f t="shared" si="17"/>
        <v>2.588888888888889</v>
      </c>
      <c r="S36" s="35"/>
      <c r="T36" s="61">
        <v>432</v>
      </c>
      <c r="U36" s="13">
        <f t="shared" si="21"/>
        <v>1118.4000000000001</v>
      </c>
    </row>
    <row r="37" spans="1:22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+'R_2014_04_atkelta(viso)'!E37+R_2014_04_priskirta!E38</f>
        <v>300</v>
      </c>
      <c r="F37" s="127">
        <f>+'R_2014_04_atkelta(viso)'!F37+R_2014_04_priskirta!F38</f>
        <v>100</v>
      </c>
      <c r="G37" s="127">
        <f>+'R_2014_04_atkelta(viso)'!G37+R_2014_04_priskirta!G38</f>
        <v>0</v>
      </c>
      <c r="H37" s="127">
        <f>+'R_2014_04_atkelta(viso)'!H37+R_2014_04_priskirta!H38</f>
        <v>0</v>
      </c>
      <c r="I37" s="127">
        <f>+'R_2014_04_atkelta(viso)'!I37+R_2014_04_priskirta!I38</f>
        <v>0</v>
      </c>
      <c r="J37" s="127">
        <f>+'R_2014_04_atkelta(viso)'!J37+R_2014_04_priskirta!J38</f>
        <v>0</v>
      </c>
      <c r="K37" s="127">
        <f>+'R_2014_04_atkelta(viso)'!K37+R_2014_04_priskirta!K38</f>
        <v>0</v>
      </c>
      <c r="L37" s="127">
        <f>+'R_2014_04_atkelta(viso)'!L37+R_2014_04_priskirta!L38</f>
        <v>0</v>
      </c>
      <c r="M37" s="127">
        <f>+'R_2014_04_atkelta(viso)'!M37+R_2014_04_priskirta!M38</f>
        <v>0</v>
      </c>
      <c r="N37" s="127">
        <f>+'R_2014_04_atkelta(viso)'!N37+R_2014_04_priskirta!N38</f>
        <v>113.33</v>
      </c>
      <c r="O37" s="152">
        <f t="shared" si="16"/>
        <v>513.33000000000004</v>
      </c>
      <c r="P37" s="229">
        <f t="shared" si="6"/>
        <v>470.94495412844037</v>
      </c>
      <c r="Q37" s="73">
        <f t="shared" si="18"/>
        <v>42.385045871559669</v>
      </c>
      <c r="R37" s="21">
        <f t="shared" si="17"/>
        <v>0.57036666666666669</v>
      </c>
      <c r="S37" s="35"/>
      <c r="T37" s="61"/>
      <c r="U37" s="13"/>
    </row>
    <row r="38" spans="1:22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+'R_2014_04_atkelta(viso)'!E38+R_2014_04_priskirta!E39</f>
        <v>50</v>
      </c>
      <c r="F38" s="127">
        <f>+'R_2014_04_atkelta(viso)'!F38+R_2014_04_priskirta!F39</f>
        <v>50</v>
      </c>
      <c r="G38" s="127">
        <f>+'R_2014_04_atkelta(viso)'!G38+R_2014_04_priskirta!G39</f>
        <v>0</v>
      </c>
      <c r="H38" s="127">
        <f>+'R_2014_04_atkelta(viso)'!H38+R_2014_04_priskirta!H39</f>
        <v>0</v>
      </c>
      <c r="I38" s="127">
        <f>+'R_2014_04_atkelta(viso)'!I38+R_2014_04_priskirta!I39</f>
        <v>0</v>
      </c>
      <c r="J38" s="127">
        <f>+'R_2014_04_atkelta(viso)'!J38+R_2014_04_priskirta!J39</f>
        <v>0</v>
      </c>
      <c r="K38" s="127">
        <f>+'R_2014_04_atkelta(viso)'!K38+R_2014_04_priskirta!K39</f>
        <v>0</v>
      </c>
      <c r="L38" s="127">
        <f>+'R_2014_04_atkelta(viso)'!L38+R_2014_04_priskirta!L39</f>
        <v>0</v>
      </c>
      <c r="M38" s="127">
        <f>+'R_2014_04_atkelta(viso)'!M38+R_2014_04_priskirta!M39</f>
        <v>0</v>
      </c>
      <c r="N38" s="127">
        <f>+'R_2014_04_atkelta(viso)'!N38+R_2014_04_priskirta!N39</f>
        <v>0</v>
      </c>
      <c r="O38" s="152">
        <f t="shared" si="16"/>
        <v>100</v>
      </c>
      <c r="P38" s="229">
        <f t="shared" si="6"/>
        <v>91.743119266055032</v>
      </c>
      <c r="Q38" s="73">
        <f t="shared" si="18"/>
        <v>8.2568807339449677</v>
      </c>
      <c r="R38" s="21">
        <f t="shared" si="17"/>
        <v>0.22222222222222221</v>
      </c>
      <c r="S38" s="35"/>
      <c r="T38" s="61">
        <v>450</v>
      </c>
      <c r="U38" s="13">
        <f t="shared" si="21"/>
        <v>100</v>
      </c>
    </row>
    <row r="39" spans="1:22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+'R_2014_04_atkelta(viso)'!E39+R_2014_04_priskirta!E40</f>
        <v>100</v>
      </c>
      <c r="F39" s="127">
        <f>+'R_2014_04_atkelta(viso)'!F39+R_2014_04_priskirta!F40</f>
        <v>2184.66</v>
      </c>
      <c r="G39" s="127">
        <f>+'R_2014_04_atkelta(viso)'!G39+R_2014_04_priskirta!G40</f>
        <v>116</v>
      </c>
      <c r="H39" s="127">
        <f>+'R_2014_04_atkelta(viso)'!H39+R_2014_04_priskirta!H40</f>
        <v>206.67000000000002</v>
      </c>
      <c r="I39" s="127">
        <f>+'R_2014_04_atkelta(viso)'!I39+R_2014_04_priskirta!I40</f>
        <v>0</v>
      </c>
      <c r="J39" s="127">
        <f>+'R_2014_04_atkelta(viso)'!J39+R_2014_04_priskirta!J40</f>
        <v>0</v>
      </c>
      <c r="K39" s="127">
        <f>+'R_2014_04_atkelta(viso)'!K39+R_2014_04_priskirta!K40</f>
        <v>0</v>
      </c>
      <c r="L39" s="127">
        <f>+'R_2014_04_atkelta(viso)'!L39+R_2014_04_priskirta!L40</f>
        <v>0</v>
      </c>
      <c r="M39" s="127">
        <f>+'R_2014_04_atkelta(viso)'!M39+R_2014_04_priskirta!M40</f>
        <v>0</v>
      </c>
      <c r="N39" s="127">
        <f>+'R_2014_04_atkelta(viso)'!N39+R_2014_04_priskirta!N40</f>
        <v>1245.33</v>
      </c>
      <c r="O39" s="152">
        <f t="shared" si="16"/>
        <v>3852.66</v>
      </c>
      <c r="P39" s="229">
        <f t="shared" si="6"/>
        <v>3534.5504587155961</v>
      </c>
      <c r="Q39" s="73">
        <f t="shared" si="18"/>
        <v>318.1095412844038</v>
      </c>
      <c r="R39" s="21">
        <f t="shared" si="17"/>
        <v>21.403666666666666</v>
      </c>
      <c r="S39" s="35"/>
      <c r="T39" s="61">
        <v>720</v>
      </c>
      <c r="U39" s="13">
        <f t="shared" si="21"/>
        <v>15410.64</v>
      </c>
    </row>
    <row r="40" spans="1:22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+'R_2014_04_atkelta(viso)'!E40+R_2014_04_priskirta!E41</f>
        <v>0</v>
      </c>
      <c r="F40" s="127">
        <f>+'R_2014_04_atkelta(viso)'!F40+R_2014_04_priskirta!F41</f>
        <v>0</v>
      </c>
      <c r="G40" s="127">
        <f>+'R_2014_04_atkelta(viso)'!G40+R_2014_04_priskirta!G41</f>
        <v>0</v>
      </c>
      <c r="H40" s="127">
        <f>+'R_2014_04_atkelta(viso)'!H40+R_2014_04_priskirta!H41</f>
        <v>0</v>
      </c>
      <c r="I40" s="127">
        <f>+'R_2014_04_atkelta(viso)'!I40+R_2014_04_priskirta!I41</f>
        <v>0</v>
      </c>
      <c r="J40" s="127">
        <f>+'R_2014_04_atkelta(viso)'!J40+R_2014_04_priskirta!J41</f>
        <v>0</v>
      </c>
      <c r="K40" s="127">
        <f>+'R_2014_04_atkelta(viso)'!K40+R_2014_04_priskirta!K41</f>
        <v>0</v>
      </c>
      <c r="L40" s="127">
        <f>+'R_2014_04_atkelta(viso)'!L40+R_2014_04_priskirta!L41</f>
        <v>0</v>
      </c>
      <c r="M40" s="127">
        <f>+'R_2014_04_atkelta(viso)'!M40+R_2014_04_priskirta!M41</f>
        <v>0</v>
      </c>
      <c r="N40" s="127">
        <f>+'R_2014_04_atkelta(viso)'!N40+R_2014_04_priskirta!N41</f>
        <v>537</v>
      </c>
      <c r="O40" s="152">
        <f t="shared" si="16"/>
        <v>537</v>
      </c>
      <c r="P40" s="229">
        <f t="shared" si="6"/>
        <v>492.66055045871553</v>
      </c>
      <c r="Q40" s="73">
        <f t="shared" si="18"/>
        <v>44.339449541284466</v>
      </c>
      <c r="R40" s="21">
        <f t="shared" si="17"/>
        <v>0.66296296296296298</v>
      </c>
      <c r="S40" s="71"/>
      <c r="T40" s="61"/>
      <c r="U40" s="13"/>
    </row>
    <row r="41" spans="1:22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+'R_2014_04_atkelta(viso)'!E41+R_2014_04_priskirta!E42</f>
        <v>0</v>
      </c>
      <c r="F41" s="127">
        <f>+'R_2014_04_atkelta(viso)'!F41+R_2014_04_priskirta!F42</f>
        <v>0</v>
      </c>
      <c r="G41" s="127">
        <f>+'R_2014_04_atkelta(viso)'!G41+R_2014_04_priskirta!G42</f>
        <v>0</v>
      </c>
      <c r="H41" s="127">
        <f>+'R_2014_04_atkelta(viso)'!H41+R_2014_04_priskirta!H42</f>
        <v>0</v>
      </c>
      <c r="I41" s="127">
        <f>+'R_2014_04_atkelta(viso)'!I41+R_2014_04_priskirta!I42</f>
        <v>0</v>
      </c>
      <c r="J41" s="127">
        <f>+'R_2014_04_atkelta(viso)'!J41+R_2014_04_priskirta!J42</f>
        <v>0</v>
      </c>
      <c r="K41" s="127">
        <f>+'R_2014_04_atkelta(viso)'!K41+R_2014_04_priskirta!K42</f>
        <v>0</v>
      </c>
      <c r="L41" s="127">
        <f>+'R_2014_04_atkelta(viso)'!L41+R_2014_04_priskirta!L42</f>
        <v>0</v>
      </c>
      <c r="M41" s="127">
        <f>+'R_2014_04_atkelta(viso)'!M41+R_2014_04_priskirta!M42</f>
        <v>0</v>
      </c>
      <c r="N41" s="127">
        <f>+'R_2014_04_atkelta(viso)'!N41+R_2014_04_priskirta!N42</f>
        <v>0</v>
      </c>
      <c r="O41" s="152">
        <f t="shared" si="16"/>
        <v>0</v>
      </c>
      <c r="P41" s="229">
        <f t="shared" si="6"/>
        <v>0</v>
      </c>
      <c r="Q41" s="73">
        <f t="shared" si="18"/>
        <v>0</v>
      </c>
      <c r="R41" s="21">
        <f t="shared" si="17"/>
        <v>0</v>
      </c>
      <c r="S41" s="71"/>
      <c r="T41" s="61">
        <v>405</v>
      </c>
      <c r="U41" s="13">
        <f t="shared" si="21"/>
        <v>0</v>
      </c>
    </row>
    <row r="42" spans="1:22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+'R_2014_04_atkelta(viso)'!E42+R_2014_04_priskirta!E43</f>
        <v>18</v>
      </c>
      <c r="F42" s="127">
        <f>+'R_2014_04_atkelta(viso)'!F42+R_2014_04_priskirta!F43</f>
        <v>198</v>
      </c>
      <c r="G42" s="127">
        <f>+'R_2014_04_atkelta(viso)'!G42+R_2014_04_priskirta!G43</f>
        <v>18</v>
      </c>
      <c r="H42" s="127">
        <f>+'R_2014_04_atkelta(viso)'!H42+R_2014_04_priskirta!H43</f>
        <v>0</v>
      </c>
      <c r="I42" s="127">
        <f>+'R_2014_04_atkelta(viso)'!I42+R_2014_04_priskirta!I43</f>
        <v>0</v>
      </c>
      <c r="J42" s="127">
        <f>+'R_2014_04_atkelta(viso)'!J42+R_2014_04_priskirta!J43</f>
        <v>0</v>
      </c>
      <c r="K42" s="127">
        <f>+'R_2014_04_atkelta(viso)'!K42+R_2014_04_priskirta!K43</f>
        <v>0</v>
      </c>
      <c r="L42" s="127">
        <f>+'R_2014_04_atkelta(viso)'!L42+R_2014_04_priskirta!L43</f>
        <v>0</v>
      </c>
      <c r="M42" s="127">
        <f>+'R_2014_04_atkelta(viso)'!M42+R_2014_04_priskirta!M43</f>
        <v>0</v>
      </c>
      <c r="N42" s="127">
        <f>+'R_2014_04_atkelta(viso)'!N42+R_2014_04_priskirta!N43</f>
        <v>234</v>
      </c>
      <c r="O42" s="206">
        <f t="shared" si="16"/>
        <v>468</v>
      </c>
      <c r="P42" s="229">
        <f t="shared" si="6"/>
        <v>429.35779816513758</v>
      </c>
      <c r="Q42" s="207">
        <f t="shared" si="18"/>
        <v>38.642201834862419</v>
      </c>
      <c r="R42" s="39">
        <f t="shared" si="17"/>
        <v>2.8888888888888888</v>
      </c>
      <c r="S42" s="71"/>
      <c r="T42" s="61">
        <v>648</v>
      </c>
      <c r="U42" s="13">
        <f t="shared" si="21"/>
        <v>1872</v>
      </c>
    </row>
    <row r="43" spans="1:22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+'R_2014_04_atkelta(viso)'!E43+R_2014_04_priskirta!E44</f>
        <v>130.82</v>
      </c>
      <c r="F43" s="127">
        <f>+'R_2014_04_atkelta(viso)'!F43+R_2014_04_priskirta!F44</f>
        <v>10328.140000000001</v>
      </c>
      <c r="G43" s="127">
        <f>+'R_2014_04_atkelta(viso)'!G43+R_2014_04_priskirta!G44</f>
        <v>1333.8899999999999</v>
      </c>
      <c r="H43" s="127">
        <f>+'R_2014_04_atkelta(viso)'!H43+R_2014_04_priskirta!H44</f>
        <v>1853.8899999999999</v>
      </c>
      <c r="I43" s="127">
        <f>+'R_2014_04_atkelta(viso)'!I43+R_2014_04_priskirta!I44</f>
        <v>0</v>
      </c>
      <c r="J43" s="127">
        <f>+'R_2014_04_atkelta(viso)'!J43+R_2014_04_priskirta!J44</f>
        <v>0</v>
      </c>
      <c r="K43" s="127">
        <f>+'R_2014_04_atkelta(viso)'!K43+R_2014_04_priskirta!K44</f>
        <v>0</v>
      </c>
      <c r="L43" s="127">
        <f>+'R_2014_04_atkelta(viso)'!L43+R_2014_04_priskirta!L44</f>
        <v>0</v>
      </c>
      <c r="M43" s="127">
        <f>+'R_2014_04_atkelta(viso)'!M43+R_2014_04_priskirta!M44</f>
        <v>8.52</v>
      </c>
      <c r="N43" s="127">
        <f>+'R_2014_04_atkelta(viso)'!N43+R_2014_04_priskirta!N44</f>
        <v>24.91</v>
      </c>
      <c r="O43" s="248">
        <f t="shared" si="16"/>
        <v>13680.17</v>
      </c>
      <c r="P43" s="229">
        <f t="shared" si="6"/>
        <v>12550.614678899081</v>
      </c>
      <c r="Q43" s="147">
        <f t="shared" si="18"/>
        <v>1129.5553211009192</v>
      </c>
      <c r="R43" s="22">
        <f t="shared" si="17"/>
        <v>1368.0170000000001</v>
      </c>
      <c r="S43" s="71"/>
      <c r="T43" s="61"/>
      <c r="U43" s="13"/>
      <c r="V43" s="2"/>
    </row>
    <row r="44" spans="1:22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4039.2199999999993</v>
      </c>
      <c r="F44" s="82">
        <f>+SUM(F45:F53)</f>
        <v>150828.36999999997</v>
      </c>
      <c r="G44" s="82">
        <f t="shared" ref="G44:R44" si="22">+SUM(G45:G53)</f>
        <v>22501.690000000002</v>
      </c>
      <c r="H44" s="82">
        <f>+SUM(H45:H53)</f>
        <v>5308.4</v>
      </c>
      <c r="I44" s="82">
        <f t="shared" si="22"/>
        <v>0</v>
      </c>
      <c r="J44" s="82">
        <f t="shared" si="22"/>
        <v>0</v>
      </c>
      <c r="K44" s="100">
        <f t="shared" si="22"/>
        <v>0</v>
      </c>
      <c r="L44" s="100">
        <f t="shared" si="22"/>
        <v>0</v>
      </c>
      <c r="M44" s="100">
        <f t="shared" si="22"/>
        <v>630.02</v>
      </c>
      <c r="N44" s="100">
        <f t="shared" si="22"/>
        <v>13091.810000000001</v>
      </c>
      <c r="O44" s="42">
        <f>+SUM(O45:O53)</f>
        <v>196399.51</v>
      </c>
      <c r="P44" s="82">
        <f t="shared" si="22"/>
        <v>180183.03669724771</v>
      </c>
      <c r="Q44" s="82">
        <f t="shared" si="22"/>
        <v>16216.473302752305</v>
      </c>
      <c r="R44" s="19">
        <f t="shared" si="22"/>
        <v>28988.966666666671</v>
      </c>
      <c r="S44" s="71"/>
      <c r="T44" s="61"/>
      <c r="U44" s="105">
        <f>+SUM(U45:U53)</f>
        <v>292142.79000000004</v>
      </c>
    </row>
    <row r="45" spans="1:22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>
        <f>+'R_2014_04_atkelta(viso)'!E45+R_2014_04_priskirta!E46</f>
        <v>360</v>
      </c>
      <c r="F45" s="127">
        <f>+'R_2014_04_atkelta(viso)'!F45+R_2014_04_priskirta!F46</f>
        <v>15360</v>
      </c>
      <c r="G45" s="127">
        <f>+'R_2014_04_atkelta(viso)'!G45+R_2014_04_priskirta!G46</f>
        <v>2376</v>
      </c>
      <c r="H45" s="127">
        <f>+'R_2014_04_atkelta(viso)'!H45+R_2014_04_priskirta!H46</f>
        <v>588</v>
      </c>
      <c r="I45" s="127">
        <f>+'R_2014_04_atkelta(viso)'!I45+R_2014_04_priskirta!I46</f>
        <v>0</v>
      </c>
      <c r="J45" s="127">
        <f>+'R_2014_04_atkelta(viso)'!J45+R_2014_04_priskirta!J46</f>
        <v>0</v>
      </c>
      <c r="K45" s="127">
        <f>+'R_2014_04_atkelta(viso)'!K45+R_2014_04_priskirta!K46</f>
        <v>0</v>
      </c>
      <c r="L45" s="127">
        <f>+'R_2014_04_atkelta(viso)'!L45+R_2014_04_priskirta!L46</f>
        <v>0</v>
      </c>
      <c r="M45" s="127">
        <f>+'R_2014_04_atkelta(viso)'!M45+R_2014_04_priskirta!M46</f>
        <v>108</v>
      </c>
      <c r="N45" s="127">
        <f>+'R_2014_04_atkelta(viso)'!N45+R_2014_04_priskirta!N46</f>
        <v>1236</v>
      </c>
      <c r="O45" s="206">
        <f t="shared" si="16"/>
        <v>20028</v>
      </c>
      <c r="P45" s="229">
        <f t="shared" si="6"/>
        <v>18374.311926605504</v>
      </c>
      <c r="Q45" s="99">
        <f t="shared" ref="Q45:Q53" si="23">+O45-P45</f>
        <v>1653.6880733944963</v>
      </c>
      <c r="R45" s="116">
        <f t="shared" ref="R45:R53" si="24">O45/D45</f>
        <v>1669</v>
      </c>
      <c r="S45" s="71"/>
      <c r="T45" s="61"/>
      <c r="U45" s="13"/>
      <c r="V45"/>
    </row>
    <row r="46" spans="1:22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>
        <f>+'R_2014_04_atkelta(viso)'!E46+R_2014_04_priskirta!E47</f>
        <v>198</v>
      </c>
      <c r="F46" s="127">
        <f>+'R_2014_04_atkelta(viso)'!F46+R_2014_04_priskirta!F47</f>
        <v>2040</v>
      </c>
      <c r="G46" s="127">
        <f>+'R_2014_04_atkelta(viso)'!G46+R_2014_04_priskirta!G47</f>
        <v>264</v>
      </c>
      <c r="H46" s="127">
        <f>+'R_2014_04_atkelta(viso)'!H46+R_2014_04_priskirta!H47</f>
        <v>30</v>
      </c>
      <c r="I46" s="127">
        <f>+'R_2014_04_atkelta(viso)'!I46+R_2014_04_priskirta!I47</f>
        <v>0</v>
      </c>
      <c r="J46" s="127">
        <f>+'R_2014_04_atkelta(viso)'!J46+R_2014_04_priskirta!J47</f>
        <v>0</v>
      </c>
      <c r="K46" s="127">
        <f>+'R_2014_04_atkelta(viso)'!K46+R_2014_04_priskirta!K47</f>
        <v>0</v>
      </c>
      <c r="L46" s="127">
        <f>+'R_2014_04_atkelta(viso)'!L46+R_2014_04_priskirta!L47</f>
        <v>0</v>
      </c>
      <c r="M46" s="127">
        <f>+'R_2014_04_atkelta(viso)'!M46+R_2014_04_priskirta!M47</f>
        <v>12</v>
      </c>
      <c r="N46" s="127">
        <f>+'R_2014_04_atkelta(viso)'!N46+R_2014_04_priskirta!N47</f>
        <v>108</v>
      </c>
      <c r="O46" s="206">
        <f t="shared" si="16"/>
        <v>2652</v>
      </c>
      <c r="P46" s="229">
        <f t="shared" si="6"/>
        <v>2433.0275229357794</v>
      </c>
      <c r="Q46" s="5">
        <f t="shared" si="23"/>
        <v>218.97247706422058</v>
      </c>
      <c r="R46" s="31">
        <f t="shared" si="24"/>
        <v>442</v>
      </c>
      <c r="S46" s="71"/>
      <c r="T46" s="61">
        <v>6</v>
      </c>
      <c r="U46" s="13">
        <f t="shared" ref="U46:U47" si="25">+R46*T46</f>
        <v>2652</v>
      </c>
    </row>
    <row r="47" spans="1:22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+'R_2014_04_atkelta(viso)'!E47+R_2014_04_priskirta!E48</f>
        <v>739.19999999999993</v>
      </c>
      <c r="F47" s="127">
        <f>+'R_2014_04_atkelta(viso)'!F47+R_2014_04_priskirta!F48</f>
        <v>35618.400000000001</v>
      </c>
      <c r="G47" s="127">
        <f>+'R_2014_04_atkelta(viso)'!G47+R_2014_04_priskirta!G48</f>
        <v>6878.4000000000005</v>
      </c>
      <c r="H47" s="127">
        <f>+'R_2014_04_atkelta(viso)'!H47+R_2014_04_priskirta!H48</f>
        <v>268.8</v>
      </c>
      <c r="I47" s="127">
        <f>+'R_2014_04_atkelta(viso)'!I47+R_2014_04_priskirta!I48</f>
        <v>0</v>
      </c>
      <c r="J47" s="127">
        <f>+'R_2014_04_atkelta(viso)'!J47+R_2014_04_priskirta!J48</f>
        <v>0</v>
      </c>
      <c r="K47" s="127">
        <f>+'R_2014_04_atkelta(viso)'!K47+R_2014_04_priskirta!K48</f>
        <v>0</v>
      </c>
      <c r="L47" s="127">
        <f>+'R_2014_04_atkelta(viso)'!L47+R_2014_04_priskirta!L48</f>
        <v>0</v>
      </c>
      <c r="M47" s="127">
        <f>+'R_2014_04_atkelta(viso)'!M47+R_2014_04_priskirta!M48</f>
        <v>88.8</v>
      </c>
      <c r="N47" s="127">
        <f>+'R_2014_04_atkelta(viso)'!N47+R_2014_04_priskirta!N48</f>
        <v>2383.1999999999998</v>
      </c>
      <c r="O47" s="206">
        <f t="shared" si="16"/>
        <v>45976.800000000003</v>
      </c>
      <c r="P47" s="229">
        <f t="shared" si="6"/>
        <v>42180.550458715596</v>
      </c>
      <c r="Q47" s="5">
        <f t="shared" si="23"/>
        <v>3796.2495412844073</v>
      </c>
      <c r="R47" s="31">
        <f t="shared" si="24"/>
        <v>19157.000000000004</v>
      </c>
      <c r="S47" s="71"/>
      <c r="T47" s="61">
        <v>9.6</v>
      </c>
      <c r="U47" s="13">
        <f t="shared" si="25"/>
        <v>183907.20000000004</v>
      </c>
    </row>
    <row r="48" spans="1:22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f>+'R_2014_04_atkelta(viso)'!E48+R_2014_04_priskirta!E49</f>
        <v>322</v>
      </c>
      <c r="F48" s="127">
        <f>+'R_2014_04_atkelta(viso)'!F48+R_2014_04_priskirta!F49</f>
        <v>14686</v>
      </c>
      <c r="G48" s="127">
        <f>+'R_2014_04_atkelta(viso)'!G48+R_2014_04_priskirta!G49</f>
        <v>1547</v>
      </c>
      <c r="H48" s="127">
        <f>+'R_2014_04_atkelta(viso)'!H48+R_2014_04_priskirta!H49</f>
        <v>1246</v>
      </c>
      <c r="I48" s="127">
        <f>+'R_2014_04_atkelta(viso)'!I48+R_2014_04_priskirta!I49</f>
        <v>0</v>
      </c>
      <c r="J48" s="127">
        <f>+'R_2014_04_atkelta(viso)'!J48+R_2014_04_priskirta!J49</f>
        <v>0</v>
      </c>
      <c r="K48" s="127">
        <f>+'R_2014_04_atkelta(viso)'!K48+R_2014_04_priskirta!K49</f>
        <v>0</v>
      </c>
      <c r="L48" s="127">
        <f>+'R_2014_04_atkelta(viso)'!L48+R_2014_04_priskirta!L49</f>
        <v>0</v>
      </c>
      <c r="M48" s="127">
        <f>+'R_2014_04_atkelta(viso)'!M48+R_2014_04_priskirta!M49</f>
        <v>42</v>
      </c>
      <c r="N48" s="127">
        <f>+'R_2014_04_atkelta(viso)'!N48+R_2014_04_priskirta!N49</f>
        <v>1288</v>
      </c>
      <c r="O48" s="206">
        <f t="shared" si="16"/>
        <v>19131</v>
      </c>
      <c r="P48" s="229">
        <f t="shared" si="6"/>
        <v>17551.376146788989</v>
      </c>
      <c r="Q48" s="5">
        <f t="shared" si="23"/>
        <v>1579.623853211011</v>
      </c>
      <c r="R48" s="31">
        <f t="shared" si="24"/>
        <v>911</v>
      </c>
      <c r="S48" s="71"/>
      <c r="T48" s="61"/>
      <c r="U48" s="13"/>
    </row>
    <row r="49" spans="1:21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+'R_2014_04_atkelta(viso)'!E49+R_2014_04_priskirta!E50</f>
        <v>31.5</v>
      </c>
      <c r="F49" s="127">
        <f>+'R_2014_04_atkelta(viso)'!F49+R_2014_04_priskirta!F50</f>
        <v>1442</v>
      </c>
      <c r="G49" s="127">
        <f>+'R_2014_04_atkelta(viso)'!G49+R_2014_04_priskirta!G50</f>
        <v>231</v>
      </c>
      <c r="H49" s="127">
        <f>+'R_2014_04_atkelta(viso)'!H49+R_2014_04_priskirta!H50</f>
        <v>59.5</v>
      </c>
      <c r="I49" s="127">
        <f>+'R_2014_04_atkelta(viso)'!I49+R_2014_04_priskirta!I50</f>
        <v>0</v>
      </c>
      <c r="J49" s="127">
        <f>+'R_2014_04_atkelta(viso)'!J49+R_2014_04_priskirta!J50</f>
        <v>0</v>
      </c>
      <c r="K49" s="127">
        <f>+'R_2014_04_atkelta(viso)'!K49+R_2014_04_priskirta!K50</f>
        <v>0</v>
      </c>
      <c r="L49" s="127">
        <f>+'R_2014_04_atkelta(viso)'!L49+R_2014_04_priskirta!L50</f>
        <v>0</v>
      </c>
      <c r="M49" s="127">
        <f>+'R_2014_04_atkelta(viso)'!M49+R_2014_04_priskirta!M50</f>
        <v>38.5</v>
      </c>
      <c r="N49" s="127">
        <f>+'R_2014_04_atkelta(viso)'!N49+R_2014_04_priskirta!N50</f>
        <v>94.5</v>
      </c>
      <c r="O49" s="206">
        <f t="shared" si="16"/>
        <v>1897</v>
      </c>
      <c r="P49" s="229">
        <f t="shared" si="6"/>
        <v>1740.3669724770641</v>
      </c>
      <c r="Q49" s="5">
        <f t="shared" si="23"/>
        <v>156.63302752293589</v>
      </c>
      <c r="R49" s="21">
        <f t="shared" si="24"/>
        <v>180.66666666666666</v>
      </c>
      <c r="S49" s="71"/>
      <c r="T49" s="61">
        <v>10.5</v>
      </c>
      <c r="U49" s="13">
        <f t="shared" ref="U49:U50" si="26">+R49*T49</f>
        <v>1897</v>
      </c>
    </row>
    <row r="50" spans="1:21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+'R_2014_04_atkelta(viso)'!E50+R_2014_04_priskirta!E51</f>
        <v>235.2</v>
      </c>
      <c r="F50" s="127">
        <f>+'R_2014_04_atkelta(viso)'!F50+R_2014_04_priskirta!F51</f>
        <v>9654.4</v>
      </c>
      <c r="G50" s="127">
        <f>+'R_2014_04_atkelta(viso)'!G50+R_2014_04_priskirta!G51</f>
        <v>1222.2</v>
      </c>
      <c r="H50" s="127">
        <f>+'R_2014_04_atkelta(viso)'!H50+R_2014_04_priskirta!H51</f>
        <v>176.4</v>
      </c>
      <c r="I50" s="127">
        <f>+'R_2014_04_atkelta(viso)'!I50+R_2014_04_priskirta!I51</f>
        <v>0</v>
      </c>
      <c r="J50" s="127">
        <f>+'R_2014_04_atkelta(viso)'!J50+R_2014_04_priskirta!J51</f>
        <v>0</v>
      </c>
      <c r="K50" s="127">
        <f>+'R_2014_04_atkelta(viso)'!K50+R_2014_04_priskirta!K51</f>
        <v>0</v>
      </c>
      <c r="L50" s="127">
        <f>+'R_2014_04_atkelta(viso)'!L50+R_2014_04_priskirta!L51</f>
        <v>0</v>
      </c>
      <c r="M50" s="127">
        <f>+'R_2014_04_atkelta(viso)'!M50+R_2014_04_priskirta!M51</f>
        <v>40.6</v>
      </c>
      <c r="N50" s="127">
        <f>+'R_2014_04_atkelta(viso)'!N50+R_2014_04_priskirta!N51</f>
        <v>1565.1999999999998</v>
      </c>
      <c r="O50" s="206">
        <f t="shared" si="16"/>
        <v>12894</v>
      </c>
      <c r="P50" s="229">
        <f t="shared" si="6"/>
        <v>11829.357798165136</v>
      </c>
      <c r="Q50" s="5">
        <f t="shared" si="23"/>
        <v>1064.642201834864</v>
      </c>
      <c r="R50" s="21">
        <f t="shared" si="24"/>
        <v>3070</v>
      </c>
      <c r="S50" s="71"/>
      <c r="T50" s="61">
        <v>16.8</v>
      </c>
      <c r="U50" s="13">
        <f t="shared" si="26"/>
        <v>51576</v>
      </c>
    </row>
    <row r="51" spans="1:21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+'R_2014_04_atkelta(viso)'!E51+R_2014_04_priskirta!E52</f>
        <v>1812.1999999999998</v>
      </c>
      <c r="F51" s="127">
        <f>+'R_2014_04_atkelta(viso)'!F51+R_2014_04_priskirta!F52</f>
        <v>58625.9</v>
      </c>
      <c r="G51" s="127">
        <f>+'R_2014_04_atkelta(viso)'!G51+R_2014_04_priskirta!G52</f>
        <v>7954</v>
      </c>
      <c r="H51" s="127">
        <f>+'R_2014_04_atkelta(viso)'!H51+R_2014_04_priskirta!H52</f>
        <v>2509.1999999999998</v>
      </c>
      <c r="I51" s="127">
        <f>+'R_2014_04_atkelta(viso)'!I51+R_2014_04_priskirta!I52</f>
        <v>0</v>
      </c>
      <c r="J51" s="127">
        <f>+'R_2014_04_atkelta(viso)'!J51+R_2014_04_priskirta!J52</f>
        <v>0</v>
      </c>
      <c r="K51" s="127">
        <f>+'R_2014_04_atkelta(viso)'!K51+R_2014_04_priskirta!K52</f>
        <v>0</v>
      </c>
      <c r="L51" s="127">
        <f>+'R_2014_04_atkelta(viso)'!L51+R_2014_04_priskirta!L52</f>
        <v>0</v>
      </c>
      <c r="M51" s="127">
        <f>+'R_2014_04_atkelta(viso)'!M51+R_2014_04_priskirta!M52</f>
        <v>229.6</v>
      </c>
      <c r="N51" s="127">
        <f>+'R_2014_04_atkelta(viso)'!N51+R_2014_04_priskirta!N52</f>
        <v>4768.3</v>
      </c>
      <c r="O51" s="206">
        <f t="shared" si="16"/>
        <v>75899.200000000012</v>
      </c>
      <c r="P51" s="229">
        <f t="shared" si="6"/>
        <v>69632.293577981662</v>
      </c>
      <c r="Q51" s="5">
        <f t="shared" si="23"/>
        <v>6266.90642201835</v>
      </c>
      <c r="R51" s="21">
        <f t="shared" si="24"/>
        <v>1851.2000000000003</v>
      </c>
      <c r="S51" s="71"/>
      <c r="T51" s="61"/>
      <c r="U51" s="13"/>
    </row>
    <row r="52" spans="1:21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+'R_2014_04_atkelta(viso)'!E52+R_2014_04_priskirta!E53</f>
        <v>159.9</v>
      </c>
      <c r="F52" s="127">
        <f>+'R_2014_04_atkelta(viso)'!F52+R_2014_04_priskirta!F53</f>
        <v>5151.6499999999996</v>
      </c>
      <c r="G52" s="127">
        <f>+'R_2014_04_atkelta(viso)'!G52+R_2014_04_priskirta!G53</f>
        <v>809.75</v>
      </c>
      <c r="H52" s="127">
        <f>+'R_2014_04_atkelta(viso)'!H52+R_2014_04_priskirta!H53</f>
        <v>90.199999999999989</v>
      </c>
      <c r="I52" s="127">
        <f>+'R_2014_04_atkelta(viso)'!I52+R_2014_04_priskirta!I53</f>
        <v>0</v>
      </c>
      <c r="J52" s="127">
        <f>+'R_2014_04_atkelta(viso)'!J52+R_2014_04_priskirta!J53</f>
        <v>0</v>
      </c>
      <c r="K52" s="127">
        <f>+'R_2014_04_atkelta(viso)'!K52+R_2014_04_priskirta!K53</f>
        <v>0</v>
      </c>
      <c r="L52" s="127">
        <f>+'R_2014_04_atkelta(viso)'!L52+R_2014_04_priskirta!L53</f>
        <v>0</v>
      </c>
      <c r="M52" s="127">
        <f>+'R_2014_04_atkelta(viso)'!M52+R_2014_04_priskirta!M53</f>
        <v>61.5</v>
      </c>
      <c r="N52" s="127">
        <f>+'R_2014_04_atkelta(viso)'!N52+R_2014_04_priskirta!N53</f>
        <v>252.15</v>
      </c>
      <c r="O52" s="206">
        <f t="shared" si="16"/>
        <v>6525.1499999999987</v>
      </c>
      <c r="P52" s="229">
        <f t="shared" si="6"/>
        <v>5986.376146788989</v>
      </c>
      <c r="Q52" s="5">
        <f t="shared" si="23"/>
        <v>538.77385321100974</v>
      </c>
      <c r="R52" s="21">
        <f t="shared" si="24"/>
        <v>318.29999999999995</v>
      </c>
      <c r="S52" s="71"/>
      <c r="T52" s="61">
        <v>20.5</v>
      </c>
      <c r="U52" s="13">
        <f t="shared" ref="U52:U53" si="27">+R52*T52</f>
        <v>6525.1499999999987</v>
      </c>
    </row>
    <row r="53" spans="1:21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+'R_2014_04_atkelta(viso)'!E53+R_2014_04_priskirta!E54</f>
        <v>181.22</v>
      </c>
      <c r="F53" s="199">
        <f>+'R_2014_04_atkelta(viso)'!F53+R_2014_04_priskirta!F54</f>
        <v>8250.02</v>
      </c>
      <c r="G53" s="199">
        <f>+'R_2014_04_atkelta(viso)'!G53+R_2014_04_priskirta!G54</f>
        <v>1219.3400000000001</v>
      </c>
      <c r="H53" s="199">
        <f>+'R_2014_04_atkelta(viso)'!H53+R_2014_04_priskirta!H54</f>
        <v>340.29999999999995</v>
      </c>
      <c r="I53" s="199">
        <f>+'R_2014_04_atkelta(viso)'!I53+R_2014_04_priskirta!I54</f>
        <v>0</v>
      </c>
      <c r="J53" s="199">
        <f>+'R_2014_04_atkelta(viso)'!J53+R_2014_04_priskirta!J54</f>
        <v>0</v>
      </c>
      <c r="K53" s="199">
        <f>+'R_2014_04_atkelta(viso)'!K53+R_2014_04_priskirta!K54</f>
        <v>0</v>
      </c>
      <c r="L53" s="199">
        <f>+'R_2014_04_atkelta(viso)'!L53+R_2014_04_priskirta!L54</f>
        <v>0</v>
      </c>
      <c r="M53" s="199">
        <f>+'R_2014_04_atkelta(viso)'!M53+R_2014_04_priskirta!M54</f>
        <v>9.02</v>
      </c>
      <c r="N53" s="199">
        <f>+'R_2014_04_atkelta(viso)'!N53+R_2014_04_priskirta!N54</f>
        <v>1396.46</v>
      </c>
      <c r="O53" s="248">
        <f t="shared" si="16"/>
        <v>11396.36</v>
      </c>
      <c r="P53" s="140">
        <f t="shared" si="6"/>
        <v>10455.376146788991</v>
      </c>
      <c r="Q53" s="6">
        <f t="shared" si="23"/>
        <v>940.98385321100977</v>
      </c>
      <c r="R53" s="22">
        <f t="shared" si="24"/>
        <v>1389.8000000000002</v>
      </c>
      <c r="S53" s="35"/>
      <c r="T53" s="61">
        <v>32.799999999999997</v>
      </c>
      <c r="U53" s="13">
        <f t="shared" si="27"/>
        <v>45585.440000000002</v>
      </c>
    </row>
    <row r="54" spans="1:21" x14ac:dyDescent="0.25">
      <c r="F54" s="2"/>
      <c r="G54" s="2"/>
      <c r="H54" s="2"/>
      <c r="I54" s="2"/>
      <c r="J54" s="2"/>
      <c r="K54" s="2"/>
      <c r="L54" s="2"/>
      <c r="M54" s="2"/>
      <c r="O54" s="2"/>
      <c r="P54" s="2"/>
      <c r="Q54" s="2"/>
    </row>
    <row r="55" spans="1:21" x14ac:dyDescent="0.25">
      <c r="E55" s="2"/>
      <c r="F55" s="2"/>
      <c r="G55" s="2"/>
      <c r="H55" s="2"/>
      <c r="I55" s="2"/>
      <c r="J55" s="2"/>
      <c r="M55" s="2"/>
      <c r="O55" s="2"/>
      <c r="P55" s="2"/>
      <c r="Q55" s="2"/>
    </row>
    <row r="57" spans="1:21" x14ac:dyDescent="0.25">
      <c r="N57" s="137"/>
    </row>
    <row r="73" spans="2:2" x14ac:dyDescent="0.25">
      <c r="B73" s="1"/>
    </row>
  </sheetData>
  <mergeCells count="18">
    <mergeCell ref="N3:N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  <mergeCell ref="O3:O4"/>
    <mergeCell ref="P3:P4"/>
    <mergeCell ref="Q3:Q4"/>
    <mergeCell ref="R3:R4"/>
    <mergeCell ref="U3:U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C73"/>
  <sheetViews>
    <sheetView zoomScaleNormal="100"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O3" sqref="O3:O4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1.5546875" style="1" customWidth="1" outlineLevel="1"/>
    <col min="9" max="9" width="15.109375" style="1" customWidth="1" outlineLevel="1"/>
    <col min="10" max="10" width="14.109375" style="1" customWidth="1" outlineLevel="1"/>
    <col min="11" max="11" width="11.33203125" style="1" customWidth="1" outlineLevel="1"/>
    <col min="12" max="12" width="10.5546875" style="1" customWidth="1" outlineLevel="1"/>
    <col min="13" max="14" width="13" style="1" customWidth="1" outlineLevel="1"/>
    <col min="15" max="15" width="15.109375" style="1" bestFit="1" customWidth="1"/>
    <col min="16" max="17" width="12.33203125" style="1" customWidth="1"/>
    <col min="18" max="18" width="12.33203125" style="1" bestFit="1" customWidth="1"/>
    <col min="19" max="19" width="3.109375" style="1" customWidth="1"/>
    <col min="20" max="20" width="5.109375" style="1" customWidth="1"/>
    <col min="21" max="21" width="13.44140625" style="2" customWidth="1"/>
    <col min="22" max="22" width="11.33203125" style="1" bestFit="1" customWidth="1"/>
    <col min="23" max="23" width="11" style="141" customWidth="1"/>
    <col min="24" max="16384" width="8.88671875" style="1"/>
  </cols>
  <sheetData>
    <row r="1" spans="1:29" ht="22.2" customHeight="1" x14ac:dyDescent="0.3">
      <c r="A1" s="40" t="s">
        <v>299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>
        <f>+(O5-K5-L5)/1.09+O55</f>
        <v>10429648.446972474</v>
      </c>
      <c r="P1" s="136"/>
      <c r="Q1" s="136"/>
      <c r="R1" s="136"/>
      <c r="U1" s="136"/>
      <c r="V1" s="2"/>
    </row>
    <row r="2" spans="1:29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>
        <f>+O5/3.4528</f>
        <v>3259234.6269694157</v>
      </c>
      <c r="P2" s="2"/>
      <c r="Q2" s="2"/>
      <c r="R2" s="2"/>
    </row>
    <row r="3" spans="1:29" ht="37.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0" t="s">
        <v>178</v>
      </c>
      <c r="O3" s="590" t="s">
        <v>43</v>
      </c>
      <c r="P3" s="590" t="s">
        <v>44</v>
      </c>
      <c r="Q3" s="590" t="s">
        <v>41</v>
      </c>
      <c r="R3" s="590" t="s">
        <v>149</v>
      </c>
      <c r="T3" s="61"/>
      <c r="U3" s="584" t="s">
        <v>148</v>
      </c>
    </row>
    <row r="4" spans="1:29" ht="37.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309</v>
      </c>
      <c r="M4" s="575"/>
      <c r="N4" s="581"/>
      <c r="O4" s="591"/>
      <c r="P4" s="592"/>
      <c r="Q4" s="592"/>
      <c r="R4" s="592"/>
      <c r="T4" s="87"/>
      <c r="U4" s="585"/>
    </row>
    <row r="5" spans="1:29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R5" si="0">+E6+E18+E44</f>
        <v>156148.76</v>
      </c>
      <c r="F5" s="187">
        <f t="shared" si="0"/>
        <v>6576163.3799999999</v>
      </c>
      <c r="G5" s="82">
        <f t="shared" si="0"/>
        <v>980586.89999999991</v>
      </c>
      <c r="H5" s="82">
        <f t="shared" si="0"/>
        <v>155464.94</v>
      </c>
      <c r="I5" s="187">
        <f t="shared" si="0"/>
        <v>649972.05000000005</v>
      </c>
      <c r="J5" s="187">
        <f t="shared" si="0"/>
        <v>1060215.45</v>
      </c>
      <c r="K5" s="187">
        <f t="shared" si="0"/>
        <v>1002169.18</v>
      </c>
      <c r="L5" s="187">
        <f t="shared" si="0"/>
        <v>6787.2400000000735</v>
      </c>
      <c r="M5" s="187">
        <f t="shared" si="0"/>
        <v>48766.42</v>
      </c>
      <c r="N5" s="19">
        <f t="shared" si="0"/>
        <v>617211</v>
      </c>
      <c r="O5" s="42">
        <f t="shared" si="0"/>
        <v>11253485.319999998</v>
      </c>
      <c r="P5" s="42">
        <f t="shared" si="0"/>
        <v>10324298.458715595</v>
      </c>
      <c r="Q5" s="42">
        <f t="shared" si="0"/>
        <v>929186.86128440476</v>
      </c>
      <c r="R5" s="42">
        <f t="shared" si="0"/>
        <v>2474889</v>
      </c>
      <c r="S5" s="71"/>
      <c r="T5" s="87"/>
      <c r="U5" s="135">
        <f>+U7+U18+U44</f>
        <v>7034673.4800000004</v>
      </c>
      <c r="V5" s="2"/>
      <c r="W5" s="138"/>
    </row>
    <row r="6" spans="1:29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R6" si="1">+E7+E11</f>
        <v>35659.860000000008</v>
      </c>
      <c r="F6" s="187">
        <f t="shared" si="1"/>
        <v>1667353.6800000002</v>
      </c>
      <c r="G6" s="82">
        <f t="shared" si="1"/>
        <v>241172.69999999998</v>
      </c>
      <c r="H6" s="82">
        <f t="shared" si="1"/>
        <v>34913.140000000007</v>
      </c>
      <c r="I6" s="187">
        <f t="shared" si="1"/>
        <v>649972.05000000005</v>
      </c>
      <c r="J6" s="187">
        <f t="shared" si="1"/>
        <v>1060215.45</v>
      </c>
      <c r="K6" s="187">
        <f t="shared" si="1"/>
        <v>1002169.18</v>
      </c>
      <c r="L6" s="187">
        <f t="shared" si="1"/>
        <v>6787.2400000000735</v>
      </c>
      <c r="M6" s="187">
        <f t="shared" si="1"/>
        <v>13647.619999999999</v>
      </c>
      <c r="N6" s="19">
        <f t="shared" si="1"/>
        <v>153287.29999999999</v>
      </c>
      <c r="O6" s="42">
        <f t="shared" si="1"/>
        <v>4865178.22</v>
      </c>
      <c r="P6" s="42">
        <f t="shared" si="1"/>
        <v>4463466.2568807332</v>
      </c>
      <c r="Q6" s="42">
        <f t="shared" si="1"/>
        <v>401711.9631192665</v>
      </c>
      <c r="R6" s="44">
        <f t="shared" si="1"/>
        <v>2327151</v>
      </c>
      <c r="T6" s="61"/>
      <c r="U6" s="13"/>
      <c r="V6" s="2"/>
      <c r="W6" s="138"/>
    </row>
    <row r="7" spans="1:29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2">+SUM(E8:E10)</f>
        <v>0</v>
      </c>
      <c r="F7" s="219">
        <f t="shared" si="2"/>
        <v>0</v>
      </c>
      <c r="G7" s="79">
        <f t="shared" si="2"/>
        <v>0</v>
      </c>
      <c r="H7" s="79">
        <f t="shared" si="2"/>
        <v>0</v>
      </c>
      <c r="I7" s="79">
        <f t="shared" si="2"/>
        <v>649972.05000000005</v>
      </c>
      <c r="J7" s="79">
        <f t="shared" si="2"/>
        <v>1060215.45</v>
      </c>
      <c r="K7" s="79">
        <f t="shared" si="2"/>
        <v>0</v>
      </c>
      <c r="L7" s="79">
        <f t="shared" si="2"/>
        <v>0</v>
      </c>
      <c r="M7" s="79">
        <f t="shared" ref="M7:R7" si="3">+SUM(M8:M10)</f>
        <v>0</v>
      </c>
      <c r="N7" s="79">
        <f t="shared" si="3"/>
        <v>0</v>
      </c>
      <c r="O7" s="43">
        <f t="shared" si="3"/>
        <v>1710187.5</v>
      </c>
      <c r="P7" s="43">
        <f t="shared" si="3"/>
        <v>1568979.3577981649</v>
      </c>
      <c r="Q7" s="43">
        <f t="shared" si="3"/>
        <v>141208.14220183503</v>
      </c>
      <c r="R7" s="45">
        <f t="shared" si="3"/>
        <v>644162</v>
      </c>
      <c r="S7" s="71"/>
      <c r="T7" s="134"/>
      <c r="U7" s="105">
        <f>+SUM(U8:U17)</f>
        <v>1155725.58</v>
      </c>
      <c r="V7" s="2"/>
      <c r="W7" s="138"/>
    </row>
    <row r="8" spans="1:29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444605</v>
      </c>
      <c r="J8" s="127">
        <f>740362+28511</f>
        <v>768873</v>
      </c>
      <c r="K8" s="36"/>
      <c r="L8" s="36"/>
      <c r="M8" s="36"/>
      <c r="N8" s="36"/>
      <c r="O8" s="5">
        <f>+SUM(E8:N8)</f>
        <v>1213478</v>
      </c>
      <c r="P8" s="5">
        <f t="shared" ref="P8:P10" si="4">+O8/1.09</f>
        <v>1113282.5688073393</v>
      </c>
      <c r="Q8" s="5">
        <f t="shared" ref="Q8:Q10" si="5">+O8-P8</f>
        <v>100195.4311926607</v>
      </c>
      <c r="R8" s="21">
        <f>O8/D8</f>
        <v>346708</v>
      </c>
      <c r="S8" s="71"/>
      <c r="T8" s="61"/>
      <c r="U8" s="13"/>
      <c r="V8" s="2"/>
      <c r="W8" s="138"/>
      <c r="X8" s="2"/>
      <c r="Y8" s="2"/>
      <c r="Z8" s="2"/>
      <c r="AA8" s="2"/>
      <c r="AB8" s="2"/>
      <c r="AC8" s="2"/>
    </row>
    <row r="9" spans="1:29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6">+D8*0.5</f>
        <v>1.75</v>
      </c>
      <c r="E9" s="122"/>
      <c r="F9" s="17"/>
      <c r="G9" s="13"/>
      <c r="H9" s="13"/>
      <c r="I9" s="127">
        <v>201720.75</v>
      </c>
      <c r="J9" s="127">
        <f>270672.5+8426.25</f>
        <v>279098.75</v>
      </c>
      <c r="K9" s="143"/>
      <c r="L9" s="143"/>
      <c r="M9" s="143"/>
      <c r="N9" s="143"/>
      <c r="O9" s="26">
        <f>+SUM(E9:N9)</f>
        <v>480819.5</v>
      </c>
      <c r="P9" s="26">
        <f t="shared" si="4"/>
        <v>441118.80733944953</v>
      </c>
      <c r="Q9" s="26">
        <f t="shared" si="5"/>
        <v>39700.69266055047</v>
      </c>
      <c r="R9" s="39">
        <f>O9/D9</f>
        <v>274754</v>
      </c>
      <c r="S9" s="71"/>
      <c r="T9" s="61">
        <v>1.75</v>
      </c>
      <c r="U9" s="13">
        <f>+R9*T9</f>
        <v>480819.5</v>
      </c>
      <c r="V9" s="2"/>
      <c r="W9" s="138"/>
      <c r="X9" s="2"/>
      <c r="Y9" s="2"/>
      <c r="Z9" s="2"/>
      <c r="AA9" s="2"/>
      <c r="AB9" s="2"/>
      <c r="AC9" s="2"/>
    </row>
    <row r="10" spans="1:29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3646.3</v>
      </c>
      <c r="J10" s="144">
        <f>12102.3+141.4</f>
        <v>12243.699999999999</v>
      </c>
      <c r="K10" s="144"/>
      <c r="L10" s="144"/>
      <c r="M10" s="144"/>
      <c r="N10" s="144"/>
      <c r="O10" s="26">
        <f>+SUM(E10:N10)</f>
        <v>15890</v>
      </c>
      <c r="P10" s="26">
        <f t="shared" si="4"/>
        <v>14577.981651376145</v>
      </c>
      <c r="Q10" s="26">
        <f t="shared" si="5"/>
        <v>1312.0183486238548</v>
      </c>
      <c r="R10" s="39">
        <f>O10/D10</f>
        <v>22700</v>
      </c>
      <c r="S10" s="71"/>
      <c r="T10" s="107">
        <v>2.8</v>
      </c>
      <c r="U10" s="13">
        <f>+R10*T10</f>
        <v>63559.999999999993</v>
      </c>
      <c r="V10" s="2"/>
      <c r="W10" s="138"/>
      <c r="X10" s="2"/>
      <c r="Y10" s="2"/>
      <c r="Z10" s="2"/>
      <c r="AA10" s="2"/>
      <c r="AB10" s="2"/>
      <c r="AC10" s="2"/>
    </row>
    <row r="11" spans="1:29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R11" si="7">+SUM(E12:E17)</f>
        <v>35659.860000000008</v>
      </c>
      <c r="F11" s="16">
        <f t="shared" si="7"/>
        <v>1667353.6800000002</v>
      </c>
      <c r="G11" s="84">
        <f t="shared" si="7"/>
        <v>241172.69999999998</v>
      </c>
      <c r="H11" s="84">
        <f t="shared" si="7"/>
        <v>34913.140000000007</v>
      </c>
      <c r="I11" s="84">
        <f t="shared" si="7"/>
        <v>0</v>
      </c>
      <c r="J11" s="74">
        <f t="shared" si="7"/>
        <v>0</v>
      </c>
      <c r="K11" s="101">
        <f t="shared" si="7"/>
        <v>1002169.18</v>
      </c>
      <c r="L11" s="101">
        <f t="shared" si="7"/>
        <v>6787.2400000000735</v>
      </c>
      <c r="M11" s="101">
        <f t="shared" si="7"/>
        <v>13647.619999999999</v>
      </c>
      <c r="N11" s="101">
        <f t="shared" si="7"/>
        <v>153287.29999999999</v>
      </c>
      <c r="O11" s="43">
        <f t="shared" si="7"/>
        <v>3154990.7199999997</v>
      </c>
      <c r="P11" s="43">
        <f t="shared" si="7"/>
        <v>2894486.899082568</v>
      </c>
      <c r="Q11" s="43">
        <f t="shared" si="7"/>
        <v>260503.82091743147</v>
      </c>
      <c r="R11" s="45">
        <f t="shared" si="7"/>
        <v>1682989</v>
      </c>
      <c r="S11" s="71"/>
      <c r="T11" s="61"/>
      <c r="U11" s="13"/>
      <c r="V11" s="2"/>
      <c r="W11" s="138"/>
      <c r="X11" s="2"/>
      <c r="Y11" s="2"/>
      <c r="Z11" s="2"/>
      <c r="AA11" s="2"/>
      <c r="AB11" s="2"/>
      <c r="AC11" s="2"/>
    </row>
    <row r="12" spans="1:29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28747.4</v>
      </c>
      <c r="F12" s="13">
        <v>1252235.6000000001</v>
      </c>
      <c r="G12" s="13">
        <v>175430.2</v>
      </c>
      <c r="H12" s="13">
        <v>26166.800000000003</v>
      </c>
      <c r="I12" s="13"/>
      <c r="J12" s="33"/>
      <c r="K12" s="33">
        <v>777018</v>
      </c>
      <c r="L12" s="305">
        <v>5293.2000000000698</v>
      </c>
      <c r="M12" s="308">
        <v>9519.4</v>
      </c>
      <c r="N12" s="127">
        <v>135568.4</v>
      </c>
      <c r="O12" s="5">
        <f t="shared" ref="O12:O17" si="8">+SUM(E12:N12)</f>
        <v>2409979</v>
      </c>
      <c r="P12" s="5">
        <f t="shared" ref="P12:P17" si="9">+O12/1.09</f>
        <v>2210989.9082568805</v>
      </c>
      <c r="Q12" s="5">
        <f t="shared" ref="Q12:Q17" si="10">+O12-P12</f>
        <v>198989.09174311953</v>
      </c>
      <c r="R12" s="21">
        <f t="shared" ref="R12:R17" si="11">O12/D12</f>
        <v>1095445</v>
      </c>
      <c r="S12" s="2"/>
      <c r="T12" s="61"/>
      <c r="U12" s="13"/>
      <c r="V12" s="2">
        <f>+L12+R_2014_03_saskaitos!K12</f>
        <v>769817.4</v>
      </c>
      <c r="W12" s="138"/>
      <c r="X12" s="2"/>
      <c r="Y12" s="2"/>
      <c r="Z12" s="2"/>
      <c r="AA12" s="2"/>
      <c r="AB12" s="2"/>
      <c r="AC12" s="2"/>
    </row>
    <row r="13" spans="1:29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6339.3</v>
      </c>
      <c r="F13" s="13">
        <v>386727</v>
      </c>
      <c r="G13" s="13">
        <v>61141.3</v>
      </c>
      <c r="H13" s="13">
        <v>8416.1</v>
      </c>
      <c r="I13" s="13"/>
      <c r="J13" s="33"/>
      <c r="K13" s="33">
        <v>82294.3</v>
      </c>
      <c r="L13" s="306">
        <v>523.59999999999127</v>
      </c>
      <c r="M13" s="13">
        <v>4009.5</v>
      </c>
      <c r="N13" s="127">
        <v>9436.9</v>
      </c>
      <c r="O13" s="5">
        <f t="shared" si="8"/>
        <v>558888</v>
      </c>
      <c r="P13" s="5">
        <f t="shared" si="9"/>
        <v>512741.28440366971</v>
      </c>
      <c r="Q13" s="5">
        <f t="shared" si="10"/>
        <v>46146.715596330294</v>
      </c>
      <c r="R13" s="21">
        <f t="shared" si="11"/>
        <v>508079.99999999994</v>
      </c>
      <c r="S13" s="71"/>
      <c r="T13" s="107">
        <v>1.1000000000000001</v>
      </c>
      <c r="U13" s="13">
        <f t="shared" ref="U13:U14" si="12">+R13*T13</f>
        <v>558888</v>
      </c>
      <c r="V13" s="2">
        <f>+L13+R_2014_03_saskaitos!K13</f>
        <v>82960.899999999994</v>
      </c>
      <c r="W13" s="138"/>
      <c r="X13" s="2"/>
      <c r="Y13" s="2"/>
      <c r="Z13" s="2"/>
      <c r="AA13" s="2"/>
      <c r="AB13" s="2"/>
      <c r="AC13" s="2"/>
    </row>
    <row r="14" spans="1:29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85.8</v>
      </c>
      <c r="F14" s="13">
        <v>4362.6000000000004</v>
      </c>
      <c r="G14" s="13">
        <v>630.96</v>
      </c>
      <c r="H14" s="13">
        <v>116.16</v>
      </c>
      <c r="I14" s="13"/>
      <c r="J14" s="33"/>
      <c r="K14" s="33">
        <v>1514.48</v>
      </c>
      <c r="L14" s="306">
        <v>10.119999999999891</v>
      </c>
      <c r="M14" s="13">
        <v>17.600000000000001</v>
      </c>
      <c r="N14" s="127">
        <v>171.6</v>
      </c>
      <c r="O14" s="5">
        <f t="shared" si="8"/>
        <v>6909.3200000000006</v>
      </c>
      <c r="P14" s="5">
        <f t="shared" si="9"/>
        <v>6338.8256880733943</v>
      </c>
      <c r="Q14" s="5">
        <f t="shared" si="10"/>
        <v>570.49431192660631</v>
      </c>
      <c r="R14" s="5">
        <f t="shared" si="11"/>
        <v>15703.000000000002</v>
      </c>
      <c r="S14" s="71"/>
      <c r="T14" s="61">
        <v>1.76</v>
      </c>
      <c r="U14" s="13">
        <f t="shared" si="12"/>
        <v>27637.280000000002</v>
      </c>
      <c r="V14" s="2">
        <f>+L14+R_2014_03_saskaitos!K14</f>
        <v>1460.36</v>
      </c>
      <c r="W14" s="138"/>
      <c r="X14" s="2"/>
      <c r="Y14" s="2"/>
      <c r="Z14" s="2"/>
      <c r="AA14" s="2"/>
      <c r="AB14" s="2"/>
      <c r="AC14" s="2"/>
    </row>
    <row r="15" spans="1:29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396.8</v>
      </c>
      <c r="F15" s="13">
        <v>19244.8</v>
      </c>
      <c r="G15" s="13">
        <v>3027.2</v>
      </c>
      <c r="H15" s="13">
        <v>80</v>
      </c>
      <c r="I15" s="13"/>
      <c r="J15" s="33"/>
      <c r="K15" s="33">
        <v>124764.8</v>
      </c>
      <c r="L15" s="306">
        <v>819.20000000001164</v>
      </c>
      <c r="M15" s="13">
        <v>60.8</v>
      </c>
      <c r="N15" s="127">
        <v>7392</v>
      </c>
      <c r="O15" s="5">
        <f t="shared" si="8"/>
        <v>155785.60000000001</v>
      </c>
      <c r="P15" s="5">
        <f t="shared" si="9"/>
        <v>142922.56880733944</v>
      </c>
      <c r="Q15" s="5">
        <f t="shared" si="10"/>
        <v>12863.031192660565</v>
      </c>
      <c r="R15" s="21">
        <f t="shared" si="11"/>
        <v>48683</v>
      </c>
      <c r="S15" s="71"/>
      <c r="T15" s="61"/>
      <c r="U15" s="13"/>
      <c r="V15" s="2">
        <f>+L15+R_2014_03_saskaitos!K15</f>
        <v>116969.60000000001</v>
      </c>
      <c r="W15" s="138"/>
      <c r="X15" s="2"/>
      <c r="Y15" s="2"/>
      <c r="Z15" s="2"/>
      <c r="AA15" s="2"/>
      <c r="AB15" s="2"/>
      <c r="AC15" s="2"/>
    </row>
    <row r="16" spans="1:29" ht="1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>
        <v>81.600000000000009</v>
      </c>
      <c r="F16" s="13">
        <v>4670.3999999999996</v>
      </c>
      <c r="G16" s="13">
        <v>932.8</v>
      </c>
      <c r="H16" s="13">
        <v>129.6</v>
      </c>
      <c r="I16" s="13"/>
      <c r="J16" s="33"/>
      <c r="K16" s="33">
        <v>16264</v>
      </c>
      <c r="L16" s="306">
        <v>139.20000000000073</v>
      </c>
      <c r="M16" s="13">
        <v>28.8</v>
      </c>
      <c r="N16" s="127">
        <v>718.4</v>
      </c>
      <c r="O16" s="5">
        <f t="shared" si="8"/>
        <v>22964.800000000003</v>
      </c>
      <c r="P16" s="5">
        <f t="shared" si="9"/>
        <v>21068.623853211011</v>
      </c>
      <c r="Q16" s="5">
        <f t="shared" si="10"/>
        <v>1896.1761467889919</v>
      </c>
      <c r="R16" s="21">
        <f t="shared" si="11"/>
        <v>14353.000000000002</v>
      </c>
      <c r="S16" s="71"/>
      <c r="T16" s="61">
        <v>1.6</v>
      </c>
      <c r="U16" s="13">
        <f t="shared" ref="U16:U17" si="13">+R16*T16</f>
        <v>22964.800000000003</v>
      </c>
      <c r="V16" s="2">
        <f>+L16+R_2014_03_saskaitos!K16</f>
        <v>14363.2</v>
      </c>
      <c r="W16" s="138"/>
      <c r="X16" s="2"/>
      <c r="Y16" s="2"/>
      <c r="Z16" s="2"/>
      <c r="AA16" s="2"/>
      <c r="AB16" s="2"/>
      <c r="AC16" s="2"/>
    </row>
    <row r="17" spans="1:29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8.9600000000000009</v>
      </c>
      <c r="F17" s="13">
        <v>113.28</v>
      </c>
      <c r="G17" s="13">
        <v>10.24</v>
      </c>
      <c r="H17" s="14">
        <v>4.4799999999999995</v>
      </c>
      <c r="I17" s="14"/>
      <c r="J17" s="76"/>
      <c r="K17" s="76">
        <v>313.60000000000002</v>
      </c>
      <c r="L17" s="307">
        <v>1.9200000000000159</v>
      </c>
      <c r="M17" s="14">
        <v>11.52</v>
      </c>
      <c r="N17" s="127"/>
      <c r="O17" s="5">
        <f t="shared" si="8"/>
        <v>464.00000000000006</v>
      </c>
      <c r="P17" s="5">
        <f t="shared" si="9"/>
        <v>425.68807339449546</v>
      </c>
      <c r="Q17" s="5">
        <f t="shared" si="10"/>
        <v>38.311926605504595</v>
      </c>
      <c r="R17" s="22">
        <f t="shared" si="11"/>
        <v>725.00000000000011</v>
      </c>
      <c r="S17" s="71"/>
      <c r="T17" s="61">
        <v>2.56</v>
      </c>
      <c r="U17" s="13">
        <f t="shared" si="13"/>
        <v>1856.0000000000002</v>
      </c>
      <c r="V17" s="2">
        <f>+L17+R_2014_03_saskaitos!K17</f>
        <v>297.60000000000002</v>
      </c>
      <c r="W17" s="138"/>
      <c r="X17" s="2"/>
      <c r="Y17" s="2"/>
      <c r="Z17" s="2"/>
      <c r="AA17" s="2"/>
      <c r="AB17" s="2"/>
      <c r="AC17" s="2"/>
    </row>
    <row r="18" spans="1:29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116662</v>
      </c>
      <c r="F18" s="118">
        <f t="shared" ref="F18:R18" si="14">+SUM(F19:F43)</f>
        <v>4757730</v>
      </c>
      <c r="G18" s="231">
        <f t="shared" si="14"/>
        <v>717229</v>
      </c>
      <c r="H18" s="118">
        <f t="shared" si="14"/>
        <v>115323</v>
      </c>
      <c r="I18" s="231">
        <f t="shared" si="14"/>
        <v>0</v>
      </c>
      <c r="J18" s="118">
        <f t="shared" si="14"/>
        <v>0</v>
      </c>
      <c r="K18" s="118">
        <f t="shared" si="14"/>
        <v>0</v>
      </c>
      <c r="L18" s="118">
        <f t="shared" si="14"/>
        <v>0</v>
      </c>
      <c r="M18" s="118">
        <f t="shared" si="14"/>
        <v>34487</v>
      </c>
      <c r="N18" s="118">
        <f t="shared" si="14"/>
        <v>450971</v>
      </c>
      <c r="O18" s="118">
        <f t="shared" si="14"/>
        <v>6192402</v>
      </c>
      <c r="P18" s="118">
        <f t="shared" si="14"/>
        <v>5681102.7522935783</v>
      </c>
      <c r="Q18" s="118">
        <f t="shared" si="14"/>
        <v>511299.24770642258</v>
      </c>
      <c r="R18" s="253">
        <f t="shared" si="14"/>
        <v>118761</v>
      </c>
      <c r="S18" s="71"/>
      <c r="T18" s="61"/>
      <c r="U18" s="105">
        <f>+SUM(U19:U43)</f>
        <v>5587268</v>
      </c>
      <c r="V18" s="2"/>
      <c r="W18" s="138"/>
      <c r="X18" s="2"/>
      <c r="Y18" s="2"/>
      <c r="Z18" s="2"/>
      <c r="AA18" s="2"/>
      <c r="AB18" s="2"/>
      <c r="AC18" s="2"/>
    </row>
    <row r="19" spans="1:29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70600</v>
      </c>
      <c r="F19" s="92">
        <v>2712000</v>
      </c>
      <c r="G19" s="92">
        <v>387400</v>
      </c>
      <c r="H19" s="92">
        <v>66100</v>
      </c>
      <c r="I19" s="23"/>
      <c r="J19" s="34"/>
      <c r="K19" s="34"/>
      <c r="L19" s="34"/>
      <c r="M19" s="34">
        <v>22000</v>
      </c>
      <c r="N19" s="34">
        <v>231200</v>
      </c>
      <c r="O19" s="5">
        <f t="shared" ref="O19:O43" si="15">+SUM(E19:N19)</f>
        <v>3489300</v>
      </c>
      <c r="P19" s="99">
        <f t="shared" ref="P19:P43" si="16">+O19/1.09</f>
        <v>3201192.6605504584</v>
      </c>
      <c r="Q19" s="24">
        <f>+O19-P19</f>
        <v>288107.33944954164</v>
      </c>
      <c r="R19" s="94">
        <f t="shared" ref="R19:R43" si="17">O19/D19</f>
        <v>34893</v>
      </c>
      <c r="S19" s="41"/>
      <c r="T19" s="61"/>
      <c r="U19" s="106"/>
      <c r="V19" s="2"/>
      <c r="W19" s="138"/>
      <c r="X19" s="2"/>
      <c r="Y19" s="2"/>
      <c r="Z19" s="2"/>
      <c r="AA19" s="2"/>
      <c r="AB19" s="2"/>
      <c r="AC19" s="2"/>
    </row>
    <row r="20" spans="1:29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12000</v>
      </c>
      <c r="F20" s="48">
        <v>757900</v>
      </c>
      <c r="G20" s="48">
        <v>112450</v>
      </c>
      <c r="H20" s="48">
        <v>20050</v>
      </c>
      <c r="I20" s="13"/>
      <c r="J20" s="33"/>
      <c r="K20" s="33"/>
      <c r="L20" s="33"/>
      <c r="M20" s="33">
        <v>6600</v>
      </c>
      <c r="N20" s="36">
        <v>12350</v>
      </c>
      <c r="O20" s="5">
        <f t="shared" si="15"/>
        <v>921350</v>
      </c>
      <c r="P20" s="5">
        <f t="shared" si="16"/>
        <v>845275.22935779812</v>
      </c>
      <c r="Q20" s="5">
        <f t="shared" ref="Q20:Q43" si="18">+O20-P20</f>
        <v>76074.770642201882</v>
      </c>
      <c r="R20" s="21">
        <f t="shared" si="17"/>
        <v>18427</v>
      </c>
      <c r="S20" s="41"/>
      <c r="T20" s="61">
        <v>50</v>
      </c>
      <c r="U20" s="13">
        <f t="shared" ref="U20:U21" si="19">+R20*T20</f>
        <v>921350</v>
      </c>
      <c r="V20" s="2"/>
      <c r="W20" s="138"/>
      <c r="X20" s="2"/>
      <c r="Y20" s="2"/>
      <c r="Z20" s="2"/>
      <c r="AA20" s="2"/>
      <c r="AB20" s="2"/>
      <c r="AC20" s="2"/>
    </row>
    <row r="21" spans="1:29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20900</v>
      </c>
      <c r="F21" s="95">
        <v>843220</v>
      </c>
      <c r="G21" s="95">
        <v>145360</v>
      </c>
      <c r="H21" s="95">
        <v>11620</v>
      </c>
      <c r="I21" s="13"/>
      <c r="J21" s="33"/>
      <c r="K21" s="33"/>
      <c r="L21" s="33"/>
      <c r="M21" s="33">
        <v>2900</v>
      </c>
      <c r="N21" s="36">
        <f>1000+91760-100</f>
        <v>92660</v>
      </c>
      <c r="O21" s="5">
        <f t="shared" si="15"/>
        <v>1116660</v>
      </c>
      <c r="P21" s="5">
        <f t="shared" si="16"/>
        <v>1024458.7155963302</v>
      </c>
      <c r="Q21" s="5">
        <f t="shared" si="18"/>
        <v>92201.284403669764</v>
      </c>
      <c r="R21" s="309">
        <f t="shared" si="17"/>
        <v>55833</v>
      </c>
      <c r="S21" s="41"/>
      <c r="T21" s="61">
        <v>80</v>
      </c>
      <c r="U21" s="13">
        <f t="shared" si="19"/>
        <v>4466640</v>
      </c>
      <c r="V21" s="2"/>
      <c r="W21" s="138"/>
      <c r="X21" s="2"/>
      <c r="Y21" s="2"/>
      <c r="Z21" s="2"/>
      <c r="AA21" s="2"/>
      <c r="AB21" s="2"/>
      <c r="AC21" s="2"/>
    </row>
    <row r="22" spans="1:29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11430</v>
      </c>
      <c r="F22" s="95">
        <v>385110</v>
      </c>
      <c r="G22" s="95">
        <v>62730</v>
      </c>
      <c r="H22" s="95">
        <v>12960</v>
      </c>
      <c r="I22" s="13"/>
      <c r="J22" s="33"/>
      <c r="K22" s="33"/>
      <c r="L22" s="33"/>
      <c r="M22" s="33">
        <v>2520</v>
      </c>
      <c r="N22" s="36">
        <v>84240</v>
      </c>
      <c r="O22" s="5">
        <f t="shared" si="15"/>
        <v>558990</v>
      </c>
      <c r="P22" s="5">
        <f t="shared" si="16"/>
        <v>512834.86238532106</v>
      </c>
      <c r="Q22" s="5">
        <f t="shared" si="18"/>
        <v>46155.137614678941</v>
      </c>
      <c r="R22" s="21">
        <f t="shared" si="17"/>
        <v>6211</v>
      </c>
      <c r="S22" s="41"/>
      <c r="T22" s="61"/>
      <c r="U22" s="13"/>
      <c r="V22" s="2"/>
      <c r="W22" s="138"/>
      <c r="X22" s="2"/>
      <c r="Y22" s="2"/>
      <c r="Z22" s="2"/>
      <c r="AA22" s="2"/>
      <c r="AB22" s="2"/>
      <c r="AC22" s="2"/>
    </row>
    <row r="23" spans="1:29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360</v>
      </c>
      <c r="F23" s="95">
        <v>21240</v>
      </c>
      <c r="G23" s="95">
        <v>3645</v>
      </c>
      <c r="H23" s="95">
        <v>855</v>
      </c>
      <c r="I23" s="13"/>
      <c r="J23" s="33"/>
      <c r="K23" s="33"/>
      <c r="L23" s="33"/>
      <c r="M23" s="33">
        <v>45</v>
      </c>
      <c r="N23" s="36">
        <v>3105</v>
      </c>
      <c r="O23" s="5">
        <f t="shared" si="15"/>
        <v>29250</v>
      </c>
      <c r="P23" s="5">
        <f t="shared" si="16"/>
        <v>26834.862385321099</v>
      </c>
      <c r="Q23" s="5">
        <f t="shared" si="18"/>
        <v>2415.1376146789007</v>
      </c>
      <c r="R23" s="21">
        <f t="shared" si="17"/>
        <v>650</v>
      </c>
      <c r="S23" s="35"/>
      <c r="T23" s="61">
        <v>45</v>
      </c>
      <c r="U23" s="13">
        <f t="shared" ref="U23:U24" si="20">+R23*T23</f>
        <v>29250</v>
      </c>
      <c r="V23" s="2"/>
      <c r="W23" s="138"/>
      <c r="X23" s="2"/>
      <c r="Y23" s="2"/>
      <c r="Z23" s="2"/>
      <c r="AA23" s="2"/>
      <c r="AB23" s="2"/>
      <c r="AC23" s="2"/>
    </row>
    <row r="24" spans="1:29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918</v>
      </c>
      <c r="F24" s="95">
        <v>15246</v>
      </c>
      <c r="G24" s="95">
        <v>2664</v>
      </c>
      <c r="H24" s="95">
        <v>558</v>
      </c>
      <c r="I24" s="13"/>
      <c r="J24" s="33"/>
      <c r="K24" s="33"/>
      <c r="L24" s="33"/>
      <c r="M24" s="33">
        <v>162</v>
      </c>
      <c r="N24" s="36">
        <f>234+5634</f>
        <v>5868</v>
      </c>
      <c r="O24" s="5">
        <f t="shared" si="15"/>
        <v>25416</v>
      </c>
      <c r="P24" s="5">
        <f t="shared" si="16"/>
        <v>23317.431192660548</v>
      </c>
      <c r="Q24" s="5">
        <f t="shared" si="18"/>
        <v>2098.5688073394522</v>
      </c>
      <c r="R24" s="21">
        <f t="shared" si="17"/>
        <v>1412</v>
      </c>
      <c r="S24" s="35"/>
      <c r="T24" s="61">
        <v>72</v>
      </c>
      <c r="U24" s="13">
        <f t="shared" si="20"/>
        <v>101664</v>
      </c>
      <c r="V24" s="2"/>
      <c r="W24" s="138"/>
      <c r="X24" s="2"/>
      <c r="Y24" s="2"/>
      <c r="Z24" s="2"/>
      <c r="AA24" s="2"/>
      <c r="AB24" s="2"/>
      <c r="AC24" s="2"/>
    </row>
    <row r="25" spans="1:29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0</v>
      </c>
      <c r="F25" s="95">
        <v>4800</v>
      </c>
      <c r="G25" s="95">
        <v>300</v>
      </c>
      <c r="H25" s="95">
        <v>0</v>
      </c>
      <c r="I25" s="13"/>
      <c r="J25" s="33"/>
      <c r="K25" s="33"/>
      <c r="L25" s="33"/>
      <c r="M25" s="33"/>
      <c r="N25" s="36">
        <v>6600</v>
      </c>
      <c r="O25" s="5">
        <f t="shared" si="15"/>
        <v>11700</v>
      </c>
      <c r="P25" s="5">
        <f t="shared" si="16"/>
        <v>10733.944954128439</v>
      </c>
      <c r="Q25" s="5">
        <f t="shared" si="18"/>
        <v>966.05504587156065</v>
      </c>
      <c r="R25" s="21">
        <f t="shared" si="17"/>
        <v>39</v>
      </c>
      <c r="S25" s="35"/>
      <c r="T25" s="61"/>
      <c r="U25" s="13"/>
      <c r="V25" s="2"/>
      <c r="W25" s="138"/>
      <c r="X25" s="2"/>
      <c r="Y25" s="2"/>
      <c r="Z25" s="2"/>
      <c r="AA25" s="2"/>
      <c r="AB25" s="2"/>
      <c r="AC25" s="2"/>
    </row>
    <row r="26" spans="1:29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>
        <v>0</v>
      </c>
      <c r="F26" s="95">
        <v>2700</v>
      </c>
      <c r="G26" s="95">
        <v>150</v>
      </c>
      <c r="H26" s="95">
        <v>300</v>
      </c>
      <c r="I26" s="13"/>
      <c r="J26" s="33"/>
      <c r="K26" s="33"/>
      <c r="L26" s="33"/>
      <c r="M26" s="33"/>
      <c r="N26" s="33">
        <v>1050</v>
      </c>
      <c r="O26" s="5">
        <f t="shared" si="15"/>
        <v>4200</v>
      </c>
      <c r="P26" s="5">
        <f t="shared" si="16"/>
        <v>3853.2110091743116</v>
      </c>
      <c r="Q26" s="5">
        <f t="shared" si="18"/>
        <v>346.78899082568842</v>
      </c>
      <c r="R26" s="21">
        <f t="shared" si="17"/>
        <v>28</v>
      </c>
      <c r="S26" s="35"/>
      <c r="T26" s="61">
        <v>150</v>
      </c>
      <c r="U26" s="13">
        <f t="shared" ref="U26:U42" si="21">+R26*T26</f>
        <v>4200</v>
      </c>
      <c r="V26" s="2"/>
      <c r="W26" s="138"/>
      <c r="X26" s="2"/>
      <c r="Y26" s="2"/>
      <c r="Z26" s="2"/>
      <c r="AA26" s="2"/>
      <c r="AB26" s="2"/>
      <c r="AC26" s="2"/>
    </row>
    <row r="27" spans="1:29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180</v>
      </c>
      <c r="F27" s="95">
        <v>7200</v>
      </c>
      <c r="G27" s="95">
        <v>1080</v>
      </c>
      <c r="H27" s="95">
        <v>360</v>
      </c>
      <c r="I27" s="13"/>
      <c r="J27" s="33"/>
      <c r="K27" s="33"/>
      <c r="L27" s="33"/>
      <c r="M27" s="33">
        <v>60</v>
      </c>
      <c r="N27" s="33">
        <f>180+4860</f>
        <v>5040</v>
      </c>
      <c r="O27" s="5">
        <f t="shared" si="15"/>
        <v>13920</v>
      </c>
      <c r="P27" s="5">
        <f t="shared" si="16"/>
        <v>12770.642201834862</v>
      </c>
      <c r="Q27" s="5">
        <f t="shared" si="18"/>
        <v>1149.3577981651379</v>
      </c>
      <c r="R27" s="21">
        <f t="shared" si="17"/>
        <v>232</v>
      </c>
      <c r="S27" s="35"/>
      <c r="T27" s="61">
        <v>240</v>
      </c>
      <c r="U27" s="13">
        <f t="shared" si="21"/>
        <v>55680</v>
      </c>
      <c r="V27" s="2"/>
      <c r="W27" s="138"/>
      <c r="X27" s="2"/>
      <c r="Y27" s="2"/>
      <c r="Z27" s="2"/>
      <c r="AA27" s="2"/>
      <c r="AB27" s="2"/>
      <c r="AC27" s="2"/>
    </row>
    <row r="28" spans="1:29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>
        <v>0</v>
      </c>
      <c r="F28" s="95">
        <v>0</v>
      </c>
      <c r="G28" s="95"/>
      <c r="H28" s="95">
        <v>270</v>
      </c>
      <c r="I28" s="13"/>
      <c r="J28" s="33"/>
      <c r="K28" s="33"/>
      <c r="L28" s="33"/>
      <c r="M28" s="33"/>
      <c r="N28" s="33">
        <v>6210</v>
      </c>
      <c r="O28" s="5">
        <f t="shared" si="15"/>
        <v>6480</v>
      </c>
      <c r="P28" s="5">
        <f t="shared" si="16"/>
        <v>5944.9541284403667</v>
      </c>
      <c r="Q28" s="5">
        <f t="shared" si="18"/>
        <v>535.04587155963327</v>
      </c>
      <c r="R28" s="21">
        <f t="shared" si="17"/>
        <v>24</v>
      </c>
      <c r="S28" s="35"/>
      <c r="T28" s="61"/>
      <c r="U28" s="13"/>
      <c r="V28" s="2"/>
      <c r="W28" s="138"/>
      <c r="X28" s="2"/>
      <c r="Y28" s="2"/>
      <c r="Z28" s="2"/>
      <c r="AA28" s="2"/>
      <c r="AB28" s="2"/>
      <c r="AC28" s="2"/>
    </row>
    <row r="29" spans="1:29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>
        <v>0</v>
      </c>
      <c r="F29" s="95">
        <v>0</v>
      </c>
      <c r="G29" s="95"/>
      <c r="H29" s="95">
        <v>0</v>
      </c>
      <c r="I29" s="13"/>
      <c r="J29" s="33"/>
      <c r="K29" s="33"/>
      <c r="L29" s="33"/>
      <c r="M29" s="33"/>
      <c r="N29" s="33"/>
      <c r="O29" s="5">
        <f t="shared" si="15"/>
        <v>0</v>
      </c>
      <c r="P29" s="5">
        <f t="shared" si="16"/>
        <v>0</v>
      </c>
      <c r="Q29" s="5">
        <f t="shared" si="18"/>
        <v>0</v>
      </c>
      <c r="R29" s="21">
        <f t="shared" si="17"/>
        <v>0</v>
      </c>
      <c r="S29" s="35"/>
      <c r="T29" s="61">
        <v>135</v>
      </c>
      <c r="U29" s="13">
        <f t="shared" si="21"/>
        <v>0</v>
      </c>
      <c r="V29" s="2"/>
      <c r="W29" s="138"/>
      <c r="X29" s="2"/>
      <c r="Y29" s="2"/>
      <c r="Z29" s="2"/>
      <c r="AA29" s="2"/>
      <c r="AB29" s="2"/>
      <c r="AC29" s="2"/>
    </row>
    <row r="30" spans="1:29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54</v>
      </c>
      <c r="F30" s="95">
        <v>54</v>
      </c>
      <c r="G30" s="95"/>
      <c r="H30" s="95">
        <v>0</v>
      </c>
      <c r="I30" s="13"/>
      <c r="J30" s="33"/>
      <c r="K30" s="33"/>
      <c r="L30" s="33"/>
      <c r="M30" s="33"/>
      <c r="N30" s="33">
        <f>54+324</f>
        <v>378</v>
      </c>
      <c r="O30" s="5">
        <f t="shared" si="15"/>
        <v>486</v>
      </c>
      <c r="P30" s="5">
        <f t="shared" si="16"/>
        <v>445.87155963302752</v>
      </c>
      <c r="Q30" s="5">
        <f t="shared" si="18"/>
        <v>40.128440366972484</v>
      </c>
      <c r="R30" s="21">
        <f t="shared" si="17"/>
        <v>9</v>
      </c>
      <c r="S30" s="35"/>
      <c r="T30" s="61">
        <v>216</v>
      </c>
      <c r="U30" s="13">
        <f t="shared" si="21"/>
        <v>1944</v>
      </c>
      <c r="V30" s="2"/>
      <c r="W30" s="138"/>
      <c r="X30" s="2"/>
      <c r="Y30" s="2"/>
      <c r="Z30" s="2"/>
      <c r="AA30" s="2"/>
      <c r="AB30" s="2"/>
      <c r="AC30" s="2"/>
    </row>
    <row r="31" spans="1:29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>
        <v>0</v>
      </c>
      <c r="F31" s="95">
        <v>600</v>
      </c>
      <c r="G31" s="95"/>
      <c r="H31" s="95">
        <v>600</v>
      </c>
      <c r="I31" s="13"/>
      <c r="J31" s="33"/>
      <c r="K31" s="33"/>
      <c r="L31" s="33"/>
      <c r="M31" s="33"/>
      <c r="N31" s="33"/>
      <c r="O31" s="5">
        <f t="shared" si="15"/>
        <v>1200</v>
      </c>
      <c r="P31" s="5">
        <f t="shared" si="16"/>
        <v>1100.9174311926604</v>
      </c>
      <c r="Q31" s="5">
        <f t="shared" si="18"/>
        <v>99.082568807339612</v>
      </c>
      <c r="R31" s="21">
        <f t="shared" si="17"/>
        <v>2</v>
      </c>
      <c r="S31" s="35"/>
      <c r="T31" s="61"/>
      <c r="U31" s="13"/>
      <c r="V31" s="2"/>
      <c r="W31" s="138"/>
      <c r="X31" s="2"/>
      <c r="Y31" s="2"/>
      <c r="Z31" s="2"/>
      <c r="AA31" s="2"/>
      <c r="AB31" s="2"/>
      <c r="AC31" s="2"/>
    </row>
    <row r="32" spans="1:29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>
        <v>0</v>
      </c>
      <c r="F32" s="95">
        <v>0</v>
      </c>
      <c r="G32" s="95"/>
      <c r="H32" s="95">
        <v>300</v>
      </c>
      <c r="I32" s="13"/>
      <c r="J32" s="33"/>
      <c r="K32" s="33"/>
      <c r="L32" s="33"/>
      <c r="M32" s="33"/>
      <c r="N32" s="33"/>
      <c r="O32" s="5">
        <f t="shared" si="15"/>
        <v>300</v>
      </c>
      <c r="P32" s="5">
        <f t="shared" si="16"/>
        <v>275.2293577981651</v>
      </c>
      <c r="Q32" s="5">
        <f t="shared" si="18"/>
        <v>24.770642201834903</v>
      </c>
      <c r="R32" s="21">
        <f t="shared" si="17"/>
        <v>1</v>
      </c>
      <c r="S32" s="35"/>
      <c r="T32" s="61">
        <v>300</v>
      </c>
      <c r="U32" s="13">
        <f t="shared" si="21"/>
        <v>300</v>
      </c>
      <c r="V32" s="2"/>
      <c r="W32" s="138"/>
      <c r="X32" s="2"/>
      <c r="Y32" s="2"/>
      <c r="Z32" s="2"/>
      <c r="AA32" s="2"/>
      <c r="AB32" s="2"/>
      <c r="AC32" s="2"/>
    </row>
    <row r="33" spans="1:29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120</v>
      </c>
      <c r="F33" s="95">
        <v>240</v>
      </c>
      <c r="G33" s="95"/>
      <c r="H33" s="95">
        <v>0</v>
      </c>
      <c r="I33" s="13"/>
      <c r="J33" s="33"/>
      <c r="K33" s="33"/>
      <c r="L33" s="33"/>
      <c r="M33" s="33">
        <v>120</v>
      </c>
      <c r="N33" s="33"/>
      <c r="O33" s="5">
        <f t="shared" si="15"/>
        <v>480</v>
      </c>
      <c r="P33" s="5">
        <f t="shared" si="16"/>
        <v>440.36697247706417</v>
      </c>
      <c r="Q33" s="5">
        <f t="shared" si="18"/>
        <v>39.633027522935834</v>
      </c>
      <c r="R33" s="21">
        <f t="shared" si="17"/>
        <v>4</v>
      </c>
      <c r="S33" s="35"/>
      <c r="T33" s="61">
        <v>480</v>
      </c>
      <c r="U33" s="13">
        <f t="shared" si="21"/>
        <v>1920</v>
      </c>
      <c r="V33" s="2"/>
      <c r="W33" s="138"/>
      <c r="X33" s="2"/>
      <c r="Y33" s="2"/>
      <c r="Z33" s="2"/>
      <c r="AA33" s="2"/>
      <c r="AB33" s="2"/>
      <c r="AC33" s="2"/>
    </row>
    <row r="34" spans="1:29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>
        <v>0</v>
      </c>
      <c r="F34" s="95">
        <v>0</v>
      </c>
      <c r="G34" s="95"/>
      <c r="H34" s="95">
        <v>0</v>
      </c>
      <c r="I34" s="13"/>
      <c r="J34" s="33"/>
      <c r="K34" s="33"/>
      <c r="L34" s="33"/>
      <c r="M34" s="33"/>
      <c r="N34" s="33"/>
      <c r="O34" s="5">
        <f t="shared" si="15"/>
        <v>0</v>
      </c>
      <c r="P34" s="5">
        <f t="shared" si="16"/>
        <v>0</v>
      </c>
      <c r="Q34" s="5">
        <f t="shared" si="18"/>
        <v>0</v>
      </c>
      <c r="R34" s="21">
        <f t="shared" si="17"/>
        <v>0</v>
      </c>
      <c r="S34" s="35"/>
      <c r="T34" s="61"/>
      <c r="U34" s="13"/>
      <c r="V34" s="2"/>
      <c r="W34" s="138"/>
      <c r="X34" s="2"/>
      <c r="Y34" s="2"/>
      <c r="Z34" s="2"/>
      <c r="AA34" s="2"/>
      <c r="AB34" s="2"/>
      <c r="AC34" s="2"/>
    </row>
    <row r="35" spans="1:29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>
        <v>0</v>
      </c>
      <c r="F35" s="95">
        <v>0</v>
      </c>
      <c r="G35" s="95"/>
      <c r="H35" s="95">
        <v>0</v>
      </c>
      <c r="I35" s="13"/>
      <c r="J35" s="33"/>
      <c r="K35" s="33"/>
      <c r="L35" s="33"/>
      <c r="M35" s="33"/>
      <c r="N35" s="33"/>
      <c r="O35" s="5">
        <f t="shared" si="15"/>
        <v>0</v>
      </c>
      <c r="P35" s="5">
        <f t="shared" si="16"/>
        <v>0</v>
      </c>
      <c r="Q35" s="5">
        <f t="shared" si="18"/>
        <v>0</v>
      </c>
      <c r="R35" s="21">
        <f t="shared" si="17"/>
        <v>0</v>
      </c>
      <c r="S35" s="35"/>
      <c r="T35" s="61">
        <v>270</v>
      </c>
      <c r="U35" s="13">
        <f t="shared" si="21"/>
        <v>0</v>
      </c>
      <c r="V35" s="2"/>
      <c r="W35" s="138"/>
      <c r="X35" s="2"/>
      <c r="Y35" s="2"/>
      <c r="Z35" s="2"/>
      <c r="AA35" s="2"/>
      <c r="AB35" s="2"/>
      <c r="AC35" s="2"/>
    </row>
    <row r="36" spans="1:29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>
        <v>0</v>
      </c>
      <c r="F36" s="95">
        <v>0</v>
      </c>
      <c r="G36" s="95"/>
      <c r="H36" s="95">
        <v>0</v>
      </c>
      <c r="I36" s="13"/>
      <c r="J36" s="33"/>
      <c r="K36" s="33"/>
      <c r="L36" s="33"/>
      <c r="M36" s="33"/>
      <c r="N36" s="33"/>
      <c r="O36" s="5">
        <f t="shared" si="15"/>
        <v>0</v>
      </c>
      <c r="P36" s="5">
        <f t="shared" si="16"/>
        <v>0</v>
      </c>
      <c r="Q36" s="5">
        <f t="shared" si="18"/>
        <v>0</v>
      </c>
      <c r="R36" s="21">
        <f t="shared" si="17"/>
        <v>0</v>
      </c>
      <c r="S36" s="35"/>
      <c r="T36" s="61">
        <v>432</v>
      </c>
      <c r="U36" s="13">
        <f t="shared" si="21"/>
        <v>0</v>
      </c>
      <c r="V36" s="2"/>
      <c r="W36" s="138"/>
      <c r="X36" s="2"/>
      <c r="Y36" s="2"/>
      <c r="Z36" s="2"/>
      <c r="AA36" s="2"/>
      <c r="AB36" s="2"/>
      <c r="AC36" s="2"/>
    </row>
    <row r="37" spans="1:29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>
        <v>0</v>
      </c>
      <c r="F37" s="95">
        <v>0</v>
      </c>
      <c r="G37" s="95"/>
      <c r="H37" s="95">
        <v>0</v>
      </c>
      <c r="I37" s="13"/>
      <c r="J37" s="33"/>
      <c r="K37" s="33"/>
      <c r="L37" s="33"/>
      <c r="M37" s="33"/>
      <c r="N37" s="33">
        <v>900</v>
      </c>
      <c r="O37" s="5">
        <f t="shared" si="15"/>
        <v>900</v>
      </c>
      <c r="P37" s="5">
        <f t="shared" si="16"/>
        <v>825.6880733944954</v>
      </c>
      <c r="Q37" s="5">
        <f t="shared" si="18"/>
        <v>74.311926605504595</v>
      </c>
      <c r="R37" s="21">
        <f t="shared" si="17"/>
        <v>1</v>
      </c>
      <c r="S37" s="35"/>
      <c r="T37" s="61"/>
      <c r="U37" s="13"/>
      <c r="V37" s="2"/>
      <c r="W37" s="138"/>
      <c r="X37" s="2"/>
      <c r="Y37" s="2"/>
      <c r="Z37" s="2"/>
      <c r="AA37" s="2"/>
      <c r="AB37" s="2"/>
      <c r="AC37" s="2"/>
    </row>
    <row r="38" spans="1:29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>
        <v>0</v>
      </c>
      <c r="F38" s="95">
        <v>0</v>
      </c>
      <c r="G38" s="95"/>
      <c r="H38" s="95">
        <v>0</v>
      </c>
      <c r="I38" s="13"/>
      <c r="J38" s="33"/>
      <c r="K38" s="33"/>
      <c r="L38" s="33"/>
      <c r="M38" s="33"/>
      <c r="N38" s="33"/>
      <c r="O38" s="5">
        <f t="shared" si="15"/>
        <v>0</v>
      </c>
      <c r="P38" s="5">
        <f t="shared" si="16"/>
        <v>0</v>
      </c>
      <c r="Q38" s="5">
        <f t="shared" si="18"/>
        <v>0</v>
      </c>
      <c r="R38" s="21">
        <f t="shared" si="17"/>
        <v>0</v>
      </c>
      <c r="S38" s="35"/>
      <c r="T38" s="61">
        <v>450</v>
      </c>
      <c r="U38" s="13">
        <f t="shared" si="21"/>
        <v>0</v>
      </c>
      <c r="V38" s="2"/>
      <c r="W38" s="138"/>
      <c r="X38" s="2"/>
      <c r="Y38" s="2"/>
      <c r="Z38" s="2"/>
      <c r="AA38" s="2"/>
      <c r="AB38" s="2"/>
      <c r="AC38" s="2"/>
    </row>
    <row r="39" spans="1:29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>
        <v>0</v>
      </c>
      <c r="F39" s="95">
        <v>180</v>
      </c>
      <c r="G39" s="95">
        <v>360</v>
      </c>
      <c r="H39" s="95">
        <v>0</v>
      </c>
      <c r="I39" s="13"/>
      <c r="J39" s="33"/>
      <c r="K39" s="33"/>
      <c r="L39" s="33"/>
      <c r="M39" s="33"/>
      <c r="N39" s="33">
        <f>180+360</f>
        <v>540</v>
      </c>
      <c r="O39" s="5">
        <f t="shared" si="15"/>
        <v>1080</v>
      </c>
      <c r="P39" s="5">
        <f t="shared" si="16"/>
        <v>990.82568807339442</v>
      </c>
      <c r="Q39" s="5">
        <f t="shared" si="18"/>
        <v>89.174311926605583</v>
      </c>
      <c r="R39" s="21">
        <f t="shared" si="17"/>
        <v>6</v>
      </c>
      <c r="S39" s="35"/>
      <c r="T39" s="61">
        <v>720</v>
      </c>
      <c r="U39" s="13">
        <f t="shared" si="21"/>
        <v>4320</v>
      </c>
      <c r="V39" s="2"/>
      <c r="W39" s="138"/>
      <c r="X39" s="2"/>
      <c r="Y39" s="2"/>
      <c r="Z39" s="2"/>
      <c r="AA39" s="2"/>
      <c r="AB39" s="2"/>
      <c r="AC39" s="2"/>
    </row>
    <row r="40" spans="1:29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>
        <v>0</v>
      </c>
      <c r="F40" s="95">
        <v>0</v>
      </c>
      <c r="G40" s="95"/>
      <c r="H40" s="95">
        <v>0</v>
      </c>
      <c r="I40" s="13"/>
      <c r="J40" s="33"/>
      <c r="K40" s="33"/>
      <c r="L40" s="33"/>
      <c r="M40" s="33"/>
      <c r="N40" s="33">
        <v>810</v>
      </c>
      <c r="O40" s="5">
        <f t="shared" si="15"/>
        <v>810</v>
      </c>
      <c r="P40" s="5">
        <f t="shared" si="16"/>
        <v>743.11926605504584</v>
      </c>
      <c r="Q40" s="5">
        <f t="shared" si="18"/>
        <v>66.880733944954159</v>
      </c>
      <c r="R40" s="21">
        <f t="shared" si="17"/>
        <v>1</v>
      </c>
      <c r="S40" s="71"/>
      <c r="T40" s="61"/>
      <c r="U40" s="13"/>
      <c r="V40" s="2"/>
      <c r="W40" s="138"/>
      <c r="X40" s="2"/>
      <c r="Y40" s="2"/>
      <c r="Z40" s="2"/>
      <c r="AA40" s="2"/>
      <c r="AB40" s="2"/>
      <c r="AC40" s="2"/>
    </row>
    <row r="41" spans="1:29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>
        <v>0</v>
      </c>
      <c r="F41" s="95">
        <v>0</v>
      </c>
      <c r="G41" s="95"/>
      <c r="H41" s="95">
        <v>0</v>
      </c>
      <c r="I41" s="13"/>
      <c r="J41" s="33"/>
      <c r="K41" s="33"/>
      <c r="L41" s="33"/>
      <c r="M41" s="33"/>
      <c r="N41" s="33"/>
      <c r="O41" s="5">
        <f t="shared" si="15"/>
        <v>0</v>
      </c>
      <c r="P41" s="5">
        <f t="shared" si="16"/>
        <v>0</v>
      </c>
      <c r="Q41" s="5">
        <f t="shared" si="18"/>
        <v>0</v>
      </c>
      <c r="R41" s="21">
        <f t="shared" si="17"/>
        <v>0</v>
      </c>
      <c r="S41" s="71"/>
      <c r="T41" s="61">
        <v>405</v>
      </c>
      <c r="U41" s="13">
        <f t="shared" si="21"/>
        <v>0</v>
      </c>
      <c r="V41" s="2"/>
      <c r="W41" s="138"/>
      <c r="X41" s="2"/>
      <c r="Y41" s="2"/>
      <c r="Z41" s="2"/>
      <c r="AA41" s="2"/>
      <c r="AB41" s="2"/>
      <c r="AC41" s="2"/>
    </row>
    <row r="42" spans="1:29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>
        <v>0</v>
      </c>
      <c r="F42" s="250">
        <v>0</v>
      </c>
      <c r="G42" s="250"/>
      <c r="H42" s="250">
        <v>0</v>
      </c>
      <c r="I42" s="25"/>
      <c r="J42" s="239"/>
      <c r="K42" s="239"/>
      <c r="L42" s="239"/>
      <c r="M42" s="239"/>
      <c r="N42" s="239"/>
      <c r="O42" s="26">
        <f t="shared" si="15"/>
        <v>0</v>
      </c>
      <c r="P42" s="26">
        <f t="shared" si="16"/>
        <v>0</v>
      </c>
      <c r="Q42" s="26">
        <f t="shared" si="18"/>
        <v>0</v>
      </c>
      <c r="R42" s="39">
        <f t="shared" si="17"/>
        <v>0</v>
      </c>
      <c r="S42" s="71"/>
      <c r="T42" s="61">
        <v>648</v>
      </c>
      <c r="U42" s="13">
        <f t="shared" si="21"/>
        <v>0</v>
      </c>
      <c r="V42" s="2"/>
      <c r="W42" s="138"/>
      <c r="X42" s="2"/>
      <c r="Y42" s="2"/>
      <c r="Z42" s="2"/>
      <c r="AA42" s="2"/>
      <c r="AB42" s="2"/>
      <c r="AC42" s="2"/>
    </row>
    <row r="43" spans="1:29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100</v>
      </c>
      <c r="F43" s="124">
        <v>7240</v>
      </c>
      <c r="G43" s="124">
        <v>1090</v>
      </c>
      <c r="H43" s="124">
        <v>1350</v>
      </c>
      <c r="I43" s="124"/>
      <c r="J43" s="124"/>
      <c r="K43" s="124"/>
      <c r="L43" s="124"/>
      <c r="M43" s="124">
        <v>80</v>
      </c>
      <c r="N43" s="124">
        <v>20</v>
      </c>
      <c r="O43" s="248">
        <f t="shared" si="15"/>
        <v>9880</v>
      </c>
      <c r="P43" s="26">
        <f t="shared" si="16"/>
        <v>9064.2201834862371</v>
      </c>
      <c r="Q43" s="26">
        <f t="shared" si="18"/>
        <v>815.77981651376285</v>
      </c>
      <c r="R43" s="39">
        <f t="shared" si="17"/>
        <v>988</v>
      </c>
      <c r="S43" s="71"/>
      <c r="T43" s="61"/>
      <c r="U43" s="13"/>
      <c r="V43" s="2"/>
      <c r="W43" s="138"/>
      <c r="X43" s="2"/>
      <c r="Y43" s="2"/>
      <c r="Z43" s="2"/>
      <c r="AA43" s="2"/>
      <c r="AB43" s="2"/>
      <c r="AC43" s="2"/>
    </row>
    <row r="44" spans="1:29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3826.8999999999996</v>
      </c>
      <c r="F44" s="82">
        <f>+SUM(F45:F53)</f>
        <v>151079.70000000001</v>
      </c>
      <c r="G44" s="82">
        <f t="shared" ref="G44:R44" si="22">+SUM(G45:G53)</f>
        <v>22185.199999999997</v>
      </c>
      <c r="H44" s="82">
        <f>+SUM(H45:H53)</f>
        <v>5228.8000000000011</v>
      </c>
      <c r="I44" s="82">
        <f t="shared" si="22"/>
        <v>0</v>
      </c>
      <c r="J44" s="82">
        <f t="shared" si="22"/>
        <v>0</v>
      </c>
      <c r="K44" s="100">
        <f t="shared" si="22"/>
        <v>0</v>
      </c>
      <c r="L44" s="100">
        <f t="shared" si="22"/>
        <v>0</v>
      </c>
      <c r="M44" s="100">
        <f t="shared" si="22"/>
        <v>631.79999999999995</v>
      </c>
      <c r="N44" s="100">
        <f t="shared" si="22"/>
        <v>12952.699999999999</v>
      </c>
      <c r="O44" s="42">
        <f>+SUM(O45:O53)</f>
        <v>195905.09999999998</v>
      </c>
      <c r="P44" s="82">
        <f t="shared" si="22"/>
        <v>179729.44954128438</v>
      </c>
      <c r="Q44" s="82">
        <f t="shared" si="22"/>
        <v>16175.650458715605</v>
      </c>
      <c r="R44" s="19">
        <f t="shared" si="22"/>
        <v>28977.000000000004</v>
      </c>
      <c r="S44" s="71"/>
      <c r="T44" s="61"/>
      <c r="U44" s="105">
        <f>+SUM(U45:U68)</f>
        <v>291679.90000000002</v>
      </c>
      <c r="V44" s="2"/>
      <c r="W44" s="138"/>
      <c r="X44" s="2"/>
      <c r="Y44" s="2"/>
      <c r="Z44" s="2"/>
      <c r="AA44" s="2"/>
      <c r="AB44" s="2"/>
      <c r="AC44" s="2"/>
    </row>
    <row r="45" spans="1:29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360</v>
      </c>
      <c r="F45" s="23">
        <v>15360</v>
      </c>
      <c r="G45" s="28">
        <v>2376</v>
      </c>
      <c r="H45" s="23">
        <v>588</v>
      </c>
      <c r="I45" s="83"/>
      <c r="J45" s="75"/>
      <c r="K45" s="75"/>
      <c r="L45" s="75"/>
      <c r="M45" s="75">
        <v>108</v>
      </c>
      <c r="N45" s="75">
        <v>1236</v>
      </c>
      <c r="O45" s="5">
        <f t="shared" ref="O45:O55" si="23">+SUM(E45:N45)</f>
        <v>20028</v>
      </c>
      <c r="P45" s="99">
        <f t="shared" ref="P45:P53" si="24">+O45/1.09</f>
        <v>18374.311926605504</v>
      </c>
      <c r="Q45" s="64">
        <f t="shared" ref="Q45:R55" si="25">+O45-P45</f>
        <v>1653.6880733944963</v>
      </c>
      <c r="R45" s="116">
        <f t="shared" ref="R45:R54" si="26">O45/D45</f>
        <v>1669</v>
      </c>
      <c r="S45" s="71"/>
      <c r="T45" s="61"/>
      <c r="U45" s="13"/>
      <c r="V45" s="2"/>
      <c r="W45" s="138"/>
      <c r="X45" s="2"/>
      <c r="Y45" s="2"/>
      <c r="Z45" s="2"/>
      <c r="AA45" s="2"/>
      <c r="AB45" s="2"/>
      <c r="AC45" s="2"/>
    </row>
    <row r="46" spans="1:29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198</v>
      </c>
      <c r="F46" s="13">
        <v>2040</v>
      </c>
      <c r="G46" s="17">
        <v>264</v>
      </c>
      <c r="H46" s="23">
        <v>30</v>
      </c>
      <c r="I46" s="13"/>
      <c r="J46" s="33"/>
      <c r="K46" s="33"/>
      <c r="L46" s="33"/>
      <c r="M46" s="33">
        <v>12</v>
      </c>
      <c r="N46" s="33">
        <v>108</v>
      </c>
      <c r="O46" s="5">
        <f t="shared" si="23"/>
        <v>2652</v>
      </c>
      <c r="P46" s="5">
        <f t="shared" si="24"/>
        <v>2433.0275229357794</v>
      </c>
      <c r="Q46" s="5">
        <f t="shared" si="25"/>
        <v>218.97247706422058</v>
      </c>
      <c r="R46" s="31">
        <f t="shared" si="26"/>
        <v>442</v>
      </c>
      <c r="S46" s="71"/>
      <c r="T46" s="61">
        <v>6</v>
      </c>
      <c r="U46" s="13">
        <f t="shared" ref="U46:U47" si="27">+R46*T46</f>
        <v>2652</v>
      </c>
      <c r="V46" s="2"/>
      <c r="W46" s="138"/>
      <c r="X46" s="2"/>
      <c r="Y46" s="2"/>
      <c r="Z46" s="2"/>
      <c r="AA46" s="2"/>
      <c r="AB46" s="2"/>
      <c r="AC46" s="2"/>
    </row>
    <row r="47" spans="1:29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739.19999999999993</v>
      </c>
      <c r="F47" s="13">
        <v>35618.400000000001</v>
      </c>
      <c r="G47" s="17">
        <v>6878.4</v>
      </c>
      <c r="H47" s="23">
        <v>268.8</v>
      </c>
      <c r="I47" s="13"/>
      <c r="J47" s="33"/>
      <c r="K47" s="33"/>
      <c r="L47" s="33"/>
      <c r="M47" s="33">
        <v>88.8</v>
      </c>
      <c r="N47" s="33">
        <f>24+2359.2</f>
        <v>2383.1999999999998</v>
      </c>
      <c r="O47" s="5">
        <f t="shared" si="23"/>
        <v>45976.800000000003</v>
      </c>
      <c r="P47" s="5">
        <f t="shared" si="24"/>
        <v>42180.550458715596</v>
      </c>
      <c r="Q47" s="5">
        <f t="shared" si="25"/>
        <v>3796.2495412844073</v>
      </c>
      <c r="R47" s="31">
        <f t="shared" si="26"/>
        <v>19157.000000000004</v>
      </c>
      <c r="S47" s="71"/>
      <c r="T47" s="61">
        <v>9.6</v>
      </c>
      <c r="U47" s="13">
        <f t="shared" si="27"/>
        <v>183907.20000000004</v>
      </c>
      <c r="V47" s="2"/>
      <c r="W47" s="138"/>
      <c r="X47" s="2"/>
      <c r="Y47" s="2"/>
      <c r="Z47" s="2"/>
      <c r="AA47" s="2"/>
      <c r="AB47" s="2"/>
      <c r="AC47" s="2"/>
    </row>
    <row r="48" spans="1:29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336</v>
      </c>
      <c r="F48" s="13">
        <v>14826</v>
      </c>
      <c r="G48" s="17">
        <v>1533</v>
      </c>
      <c r="H48" s="13">
        <v>1239</v>
      </c>
      <c r="I48" s="13"/>
      <c r="J48" s="33"/>
      <c r="K48" s="33"/>
      <c r="L48" s="33"/>
      <c r="M48" s="33">
        <v>42</v>
      </c>
      <c r="N48" s="33">
        <v>1260</v>
      </c>
      <c r="O48" s="5">
        <f t="shared" si="23"/>
        <v>19236</v>
      </c>
      <c r="P48" s="5">
        <f t="shared" si="24"/>
        <v>17647.706422018346</v>
      </c>
      <c r="Q48" s="5">
        <f t="shared" si="25"/>
        <v>1588.2935779816544</v>
      </c>
      <c r="R48" s="31">
        <f t="shared" si="26"/>
        <v>916</v>
      </c>
      <c r="S48" s="71"/>
      <c r="T48" s="61"/>
      <c r="U48" s="13"/>
      <c r="V48" s="2"/>
      <c r="W48" s="138"/>
      <c r="X48" s="2"/>
      <c r="Y48" s="2"/>
      <c r="Z48" s="2"/>
      <c r="AA48" s="2"/>
      <c r="AB48" s="2"/>
      <c r="AC48" s="2"/>
    </row>
    <row r="49" spans="1:29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31.5</v>
      </c>
      <c r="F49" s="13">
        <v>1480.5</v>
      </c>
      <c r="G49" s="17">
        <v>231</v>
      </c>
      <c r="H49" s="13">
        <v>52.5</v>
      </c>
      <c r="I49" s="13"/>
      <c r="J49" s="33"/>
      <c r="K49" s="33"/>
      <c r="L49" s="33"/>
      <c r="M49" s="33">
        <v>31.5</v>
      </c>
      <c r="N49" s="33">
        <v>105</v>
      </c>
      <c r="O49" s="5">
        <f t="shared" si="23"/>
        <v>1932</v>
      </c>
      <c r="P49" s="5">
        <f t="shared" si="24"/>
        <v>1772.4770642201834</v>
      </c>
      <c r="Q49" s="5">
        <f t="shared" si="25"/>
        <v>159.52293577981663</v>
      </c>
      <c r="R49" s="21">
        <f t="shared" si="26"/>
        <v>184</v>
      </c>
      <c r="S49" s="71"/>
      <c r="T49" s="61">
        <v>10.5</v>
      </c>
      <c r="U49" s="13">
        <f t="shared" ref="U49:U50" si="28">+R49*T49</f>
        <v>1932</v>
      </c>
      <c r="V49" s="2"/>
      <c r="W49" s="138"/>
      <c r="X49" s="2"/>
      <c r="Y49" s="2"/>
      <c r="Z49" s="2"/>
      <c r="AA49" s="2"/>
      <c r="AB49" s="2"/>
      <c r="AC49" s="2"/>
    </row>
    <row r="50" spans="1:29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235.20000000000002</v>
      </c>
      <c r="F50" s="13">
        <v>9676.7999999999993</v>
      </c>
      <c r="G50" s="17">
        <v>1243.2</v>
      </c>
      <c r="H50" s="13">
        <v>176.40000000000003</v>
      </c>
      <c r="I50" s="13"/>
      <c r="J50" s="33"/>
      <c r="K50" s="33"/>
      <c r="L50" s="33"/>
      <c r="M50" s="33">
        <v>42</v>
      </c>
      <c r="N50" s="33">
        <f>12.6+1570.8</f>
        <v>1583.3999999999999</v>
      </c>
      <c r="O50" s="5">
        <f t="shared" si="23"/>
        <v>12957</v>
      </c>
      <c r="P50" s="5">
        <f t="shared" si="24"/>
        <v>11887.155963302752</v>
      </c>
      <c r="Q50" s="5">
        <f t="shared" si="25"/>
        <v>1069.8440366972482</v>
      </c>
      <c r="R50" s="21">
        <f t="shared" si="26"/>
        <v>3085</v>
      </c>
      <c r="S50" s="71"/>
      <c r="T50" s="61">
        <v>16.8</v>
      </c>
      <c r="U50" s="13">
        <f t="shared" si="28"/>
        <v>51828</v>
      </c>
      <c r="V50" s="2"/>
      <c r="W50" s="138"/>
      <c r="X50" s="2"/>
      <c r="Y50" s="2"/>
      <c r="Z50" s="2"/>
      <c r="AA50" s="2"/>
      <c r="AB50" s="2"/>
      <c r="AC50" s="2"/>
    </row>
    <row r="51" spans="1:29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1640</v>
      </c>
      <c r="F51" s="13">
        <v>58630</v>
      </c>
      <c r="G51" s="17">
        <v>7626</v>
      </c>
      <c r="H51" s="13">
        <v>2583</v>
      </c>
      <c r="I51" s="13"/>
      <c r="J51" s="33"/>
      <c r="K51" s="33"/>
      <c r="L51" s="33"/>
      <c r="M51" s="33">
        <v>246</v>
      </c>
      <c r="N51" s="33">
        <v>4715</v>
      </c>
      <c r="O51" s="5">
        <f t="shared" si="23"/>
        <v>75440</v>
      </c>
      <c r="P51" s="5">
        <f t="shared" si="24"/>
        <v>69211.009174311926</v>
      </c>
      <c r="Q51" s="5">
        <f t="shared" si="25"/>
        <v>6228.9908256880735</v>
      </c>
      <c r="R51" s="21">
        <f t="shared" si="26"/>
        <v>1840</v>
      </c>
      <c r="S51" s="71"/>
      <c r="T51" s="61"/>
      <c r="U51" s="13"/>
      <c r="V51" s="2"/>
      <c r="W51" s="138"/>
      <c r="X51" s="2"/>
      <c r="Y51" s="2"/>
      <c r="Z51" s="2"/>
      <c r="AA51" s="2"/>
      <c r="AB51" s="2"/>
      <c r="AC51" s="2"/>
    </row>
    <row r="52" spans="1:29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123</v>
      </c>
      <c r="F52" s="13">
        <v>5166</v>
      </c>
      <c r="G52" s="17">
        <v>779</v>
      </c>
      <c r="H52" s="13">
        <v>102.5</v>
      </c>
      <c r="I52" s="13"/>
      <c r="J52" s="33"/>
      <c r="K52" s="33"/>
      <c r="L52" s="33"/>
      <c r="M52" s="33">
        <v>61.5</v>
      </c>
      <c r="N52" s="33">
        <v>225.5</v>
      </c>
      <c r="O52" s="5">
        <f t="shared" si="23"/>
        <v>6457.5</v>
      </c>
      <c r="P52" s="5">
        <f t="shared" si="24"/>
        <v>5924.3119266055046</v>
      </c>
      <c r="Q52" s="5">
        <f t="shared" si="25"/>
        <v>533.1880733944954</v>
      </c>
      <c r="R52" s="21">
        <f t="shared" si="26"/>
        <v>315</v>
      </c>
      <c r="S52" s="71"/>
      <c r="T52" s="61">
        <v>20.5</v>
      </c>
      <c r="U52" s="13">
        <f t="shared" ref="U52:U53" si="29">+R52*T52</f>
        <v>6457.5</v>
      </c>
      <c r="V52" s="2"/>
      <c r="W52" s="138"/>
      <c r="X52" s="2"/>
      <c r="Y52" s="2"/>
      <c r="Z52" s="2"/>
      <c r="AA52" s="2"/>
      <c r="AB52" s="2"/>
      <c r="AC52" s="2"/>
    </row>
    <row r="53" spans="1:29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164</v>
      </c>
      <c r="F53" s="14">
        <v>8282</v>
      </c>
      <c r="G53" s="51">
        <v>1254.5999999999999</v>
      </c>
      <c r="H53" s="14">
        <v>188.6</v>
      </c>
      <c r="I53" s="14"/>
      <c r="J53" s="76"/>
      <c r="K53" s="76"/>
      <c r="L53" s="76"/>
      <c r="M53" s="76"/>
      <c r="N53" s="76">
        <f>8.2+1328.4</f>
        <v>1336.6000000000001</v>
      </c>
      <c r="O53" s="26">
        <f t="shared" si="23"/>
        <v>11225.800000000001</v>
      </c>
      <c r="P53" s="6">
        <f t="shared" si="24"/>
        <v>10298.899082568807</v>
      </c>
      <c r="Q53" s="6">
        <f t="shared" si="25"/>
        <v>926.9009174311941</v>
      </c>
      <c r="R53" s="22">
        <f t="shared" si="26"/>
        <v>1369.0000000000002</v>
      </c>
      <c r="S53" s="35"/>
      <c r="T53" s="61">
        <v>32.799999999999997</v>
      </c>
      <c r="U53" s="13">
        <f t="shared" si="29"/>
        <v>44903.200000000004</v>
      </c>
      <c r="V53" s="2"/>
      <c r="W53" s="138"/>
      <c r="X53" s="2"/>
      <c r="Y53" s="2"/>
      <c r="Z53" s="2"/>
      <c r="AA53" s="2"/>
      <c r="AB53" s="2"/>
      <c r="AC53" s="2"/>
    </row>
    <row r="54" spans="1:29" x14ac:dyDescent="0.25">
      <c r="C54" s="1" t="s">
        <v>150</v>
      </c>
      <c r="D54" s="4">
        <v>4</v>
      </c>
      <c r="E54" s="125">
        <f>250*4</f>
        <v>1000</v>
      </c>
      <c r="F54" s="112">
        <v>40924</v>
      </c>
      <c r="G54" s="112">
        <v>5840</v>
      </c>
      <c r="H54" s="112">
        <v>2940</v>
      </c>
      <c r="I54" s="112"/>
      <c r="J54" s="112"/>
      <c r="K54" s="112"/>
      <c r="L54" s="112"/>
      <c r="O54" s="230">
        <f t="shared" si="23"/>
        <v>50704</v>
      </c>
      <c r="P54" s="6">
        <f>+O54/1.21</f>
        <v>41904.132231404961</v>
      </c>
      <c r="Q54" s="6">
        <f t="shared" si="25"/>
        <v>8799.8677685950388</v>
      </c>
      <c r="R54" s="22">
        <f t="shared" si="26"/>
        <v>12676</v>
      </c>
      <c r="V54" s="2"/>
      <c r="W54" s="138"/>
    </row>
    <row r="55" spans="1:29" x14ac:dyDescent="0.25">
      <c r="C55" s="1" t="s">
        <v>143</v>
      </c>
      <c r="E55" s="2">
        <v>25851.15</v>
      </c>
      <c r="F55" s="2">
        <v>854041.56</v>
      </c>
      <c r="G55" s="2">
        <v>125766.85</v>
      </c>
      <c r="H55" s="2">
        <v>17351.419999999998</v>
      </c>
      <c r="I55" s="2"/>
      <c r="J55" s="2"/>
      <c r="K55" s="2"/>
      <c r="L55" s="2"/>
      <c r="M55" s="2">
        <v>7987.1</v>
      </c>
      <c r="O55" s="6">
        <f t="shared" si="23"/>
        <v>1030998.0800000001</v>
      </c>
      <c r="P55" s="6">
        <f>+O55</f>
        <v>1030998.0800000001</v>
      </c>
      <c r="Q55" s="6">
        <f t="shared" si="25"/>
        <v>0</v>
      </c>
      <c r="R55" s="6">
        <f t="shared" si="25"/>
        <v>1030998.0800000001</v>
      </c>
      <c r="V55" s="2"/>
      <c r="W55" s="138"/>
    </row>
    <row r="57" spans="1:29" x14ac:dyDescent="0.25">
      <c r="D57" s="4" t="s">
        <v>151</v>
      </c>
      <c r="E57" s="136">
        <f>+E5+E54+E55</f>
        <v>182999.91</v>
      </c>
      <c r="F57" s="136">
        <f t="shared" ref="F57:N57" si="30">+F5+F54+F55</f>
        <v>7471128.9399999995</v>
      </c>
      <c r="G57" s="136">
        <f t="shared" si="30"/>
        <v>1112193.75</v>
      </c>
      <c r="H57" s="136">
        <f t="shared" si="30"/>
        <v>175756.36</v>
      </c>
      <c r="I57" s="136">
        <f t="shared" si="30"/>
        <v>649972.05000000005</v>
      </c>
      <c r="J57" s="136">
        <f t="shared" si="30"/>
        <v>1060215.45</v>
      </c>
      <c r="K57" s="136">
        <f t="shared" si="30"/>
        <v>1002169.18</v>
      </c>
      <c r="L57" s="136">
        <f t="shared" si="30"/>
        <v>6787.2400000000735</v>
      </c>
      <c r="M57" s="136">
        <f t="shared" si="30"/>
        <v>56753.52</v>
      </c>
      <c r="N57" s="136">
        <f t="shared" si="30"/>
        <v>617211</v>
      </c>
      <c r="O57" s="103">
        <f>+SUM(E57:N57)</f>
        <v>12335187.399999999</v>
      </c>
      <c r="P57" s="150">
        <f>+P54+P55+P5-((K5+L5)/1.09)</f>
        <v>10471552.579203881</v>
      </c>
      <c r="Q57" s="150"/>
    </row>
    <row r="59" spans="1:29" x14ac:dyDescent="0.25">
      <c r="E59" s="125"/>
      <c r="F59" s="112"/>
      <c r="G59" s="112"/>
      <c r="H59" s="112"/>
      <c r="M59" s="561" t="s">
        <v>609</v>
      </c>
      <c r="N59" s="560">
        <v>0</v>
      </c>
      <c r="O59" s="112"/>
    </row>
    <row r="60" spans="1:29" x14ac:dyDescent="0.25">
      <c r="E60" s="136"/>
    </row>
    <row r="61" spans="1:29" x14ac:dyDescent="0.25">
      <c r="G61" s="2"/>
      <c r="M61" s="2"/>
    </row>
    <row r="73" spans="2:2" x14ac:dyDescent="0.25">
      <c r="B73" s="1"/>
    </row>
  </sheetData>
  <mergeCells count="18">
    <mergeCell ref="U3:U4"/>
    <mergeCell ref="G3:G4"/>
    <mergeCell ref="H3:H4"/>
    <mergeCell ref="I3:I4"/>
    <mergeCell ref="J3:J4"/>
    <mergeCell ref="K3:L3"/>
    <mergeCell ref="M3:M4"/>
    <mergeCell ref="N3:N4"/>
    <mergeCell ref="O3:O4"/>
    <mergeCell ref="P3:P4"/>
    <mergeCell ref="Q3:Q4"/>
    <mergeCell ref="R3:R4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12"/>
  <sheetViews>
    <sheetView topLeftCell="B1" workbookViewId="0">
      <selection activeCell="N10" sqref="N10"/>
    </sheetView>
  </sheetViews>
  <sheetFormatPr defaultRowHeight="14.4" x14ac:dyDescent="0.3"/>
  <cols>
    <col min="1" max="1" width="49.6640625" customWidth="1"/>
    <col min="3" max="3" width="9.88671875" bestFit="1" customWidth="1"/>
    <col min="4" max="4" width="10" bestFit="1" customWidth="1"/>
    <col min="5" max="5" width="9" customWidth="1"/>
    <col min="6" max="6" width="9.88671875" bestFit="1" customWidth="1"/>
    <col min="7" max="7" width="10" bestFit="1" customWidth="1"/>
    <col min="8" max="8" width="9" customWidth="1"/>
    <col min="9" max="9" width="9.88671875" bestFit="1" customWidth="1"/>
    <col min="10" max="10" width="10" bestFit="1" customWidth="1"/>
    <col min="11" max="11" width="9" customWidth="1"/>
    <col min="12" max="13" width="11.5546875" bestFit="1" customWidth="1"/>
    <col min="14" max="15" width="12.33203125" bestFit="1" customWidth="1"/>
  </cols>
  <sheetData>
    <row r="1" spans="1:15" x14ac:dyDescent="0.3">
      <c r="A1" t="s">
        <v>321</v>
      </c>
    </row>
    <row r="2" spans="1:15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</row>
    <row r="3" spans="1:15" ht="40.200000000000003" customHeight="1" x14ac:dyDescent="0.3">
      <c r="A3" s="344" t="s">
        <v>46</v>
      </c>
      <c r="B3" s="268" t="s">
        <v>208</v>
      </c>
      <c r="C3" s="268" t="s">
        <v>323</v>
      </c>
      <c r="D3" s="268" t="s">
        <v>324</v>
      </c>
      <c r="E3" s="268" t="s">
        <v>206</v>
      </c>
      <c r="F3" s="268" t="s">
        <v>323</v>
      </c>
      <c r="G3" s="268" t="s">
        <v>324</v>
      </c>
      <c r="H3" s="268" t="s">
        <v>206</v>
      </c>
      <c r="I3" s="268" t="s">
        <v>323</v>
      </c>
      <c r="J3" s="268" t="s">
        <v>324</v>
      </c>
      <c r="K3" s="268" t="s">
        <v>206</v>
      </c>
      <c r="L3" s="268" t="s">
        <v>323</v>
      </c>
      <c r="M3" s="268" t="s">
        <v>324</v>
      </c>
      <c r="N3" s="267" t="s">
        <v>206</v>
      </c>
      <c r="O3" s="365" t="s">
        <v>351</v>
      </c>
    </row>
    <row r="4" spans="1:15" x14ac:dyDescent="0.3">
      <c r="A4" s="263" t="s">
        <v>54</v>
      </c>
      <c r="B4" s="91">
        <v>2.2000000000000002</v>
      </c>
      <c r="C4" s="91">
        <v>757660.20000000007</v>
      </c>
      <c r="D4" s="91">
        <v>757737.2</v>
      </c>
      <c r="E4" s="91">
        <f>+D4-C4</f>
        <v>76.999999999883585</v>
      </c>
      <c r="F4" s="91">
        <v>697804.80000000005</v>
      </c>
      <c r="G4" s="91">
        <v>698522</v>
      </c>
      <c r="H4" s="91">
        <f>+G4-F4</f>
        <v>717.19999999995343</v>
      </c>
      <c r="I4" s="91">
        <v>769817.4</v>
      </c>
      <c r="J4" s="91">
        <v>769859.2</v>
      </c>
      <c r="K4" s="91">
        <f>+J4-I4</f>
        <v>41.799999999930151</v>
      </c>
      <c r="L4" s="264">
        <v>777018</v>
      </c>
      <c r="M4" s="91">
        <v>777774.8</v>
      </c>
      <c r="N4" s="265">
        <f>+M4-L4</f>
        <v>756.80000000004657</v>
      </c>
      <c r="O4" s="262">
        <f>+E4+H4+K4+N4</f>
        <v>1592.7999999998137</v>
      </c>
    </row>
    <row r="5" spans="1:15" x14ac:dyDescent="0.3">
      <c r="A5" s="255" t="s">
        <v>92</v>
      </c>
      <c r="B5" s="60">
        <v>1.1000000000000001</v>
      </c>
      <c r="C5" s="60">
        <v>74737.3</v>
      </c>
      <c r="D5" s="60">
        <v>74740.600000000006</v>
      </c>
      <c r="E5" s="91">
        <f t="shared" ref="E5:E9" si="0">+D5-C5</f>
        <v>3.3000000000029104</v>
      </c>
      <c r="F5" s="60">
        <v>72201.8</v>
      </c>
      <c r="G5" s="60">
        <v>72273.3</v>
      </c>
      <c r="H5" s="91">
        <f t="shared" ref="H5:H9" si="1">+G5-F5</f>
        <v>71.5</v>
      </c>
      <c r="I5" s="60">
        <v>82960.899999999994</v>
      </c>
      <c r="J5" s="60">
        <v>82963.100000000006</v>
      </c>
      <c r="K5" s="91">
        <f t="shared" ref="K5:K9" si="2">+J5-I5</f>
        <v>2.2000000000116415</v>
      </c>
      <c r="L5" s="106">
        <v>82294.3</v>
      </c>
      <c r="M5" s="91">
        <v>82359.199999999997</v>
      </c>
      <c r="N5" s="257">
        <f t="shared" ref="N5:N9" si="3">+M5-L5</f>
        <v>64.899999999994179</v>
      </c>
      <c r="O5" s="262">
        <f t="shared" ref="O5:O9" si="4">+E5+H5+K5+N5</f>
        <v>141.90000000000873</v>
      </c>
    </row>
    <row r="6" spans="1:15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1338.92</v>
      </c>
      <c r="G6" s="62">
        <v>1340.68</v>
      </c>
      <c r="H6" s="91">
        <f t="shared" si="1"/>
        <v>1.7599999999999909</v>
      </c>
      <c r="I6" s="62">
        <v>1460.36</v>
      </c>
      <c r="J6" s="62">
        <v>1460.36</v>
      </c>
      <c r="K6" s="91">
        <f t="shared" si="2"/>
        <v>0</v>
      </c>
      <c r="L6" s="106">
        <v>1514.48</v>
      </c>
      <c r="M6" s="91">
        <v>1517.12</v>
      </c>
      <c r="N6" s="257">
        <f t="shared" si="3"/>
        <v>2.6399999999998727</v>
      </c>
      <c r="O6" s="262">
        <f t="shared" si="4"/>
        <v>4.3999999999998636</v>
      </c>
    </row>
    <row r="7" spans="1:15" x14ac:dyDescent="0.3">
      <c r="A7" s="255" t="s">
        <v>58</v>
      </c>
      <c r="B7" s="62">
        <v>3.2</v>
      </c>
      <c r="C7" s="62">
        <v>117836.8</v>
      </c>
      <c r="D7" s="62">
        <v>117843.2</v>
      </c>
      <c r="E7" s="91">
        <f t="shared" si="0"/>
        <v>6.3999999999941792</v>
      </c>
      <c r="F7" s="62">
        <v>107289.60000000001</v>
      </c>
      <c r="G7" s="62">
        <v>107462.39999999999</v>
      </c>
      <c r="H7" s="91">
        <f t="shared" si="1"/>
        <v>172.79999999998836</v>
      </c>
      <c r="I7" s="62">
        <v>116969.60000000001</v>
      </c>
      <c r="J7" s="62">
        <v>116982.39999999999</v>
      </c>
      <c r="K7" s="91">
        <f t="shared" si="2"/>
        <v>12.799999999988358</v>
      </c>
      <c r="L7" s="106">
        <v>124764.8</v>
      </c>
      <c r="M7" s="91">
        <v>124931.2</v>
      </c>
      <c r="N7" s="257">
        <f t="shared" si="3"/>
        <v>166.39999999999418</v>
      </c>
      <c r="O7" s="262">
        <f t="shared" si="4"/>
        <v>358.39999999996508</v>
      </c>
    </row>
    <row r="8" spans="1:15" ht="15" x14ac:dyDescent="0.25">
      <c r="A8" s="255" t="s">
        <v>94</v>
      </c>
      <c r="B8" s="62">
        <v>1.6</v>
      </c>
      <c r="C8" s="62">
        <v>12294.400000000001</v>
      </c>
      <c r="D8" s="62">
        <v>12296</v>
      </c>
      <c r="E8" s="91">
        <f t="shared" si="0"/>
        <v>1.5999999999985448</v>
      </c>
      <c r="F8" s="62">
        <v>12011.2</v>
      </c>
      <c r="G8" s="62">
        <v>12032</v>
      </c>
      <c r="H8" s="91">
        <f t="shared" si="1"/>
        <v>20.799999999999272</v>
      </c>
      <c r="I8" s="62">
        <v>14363.2</v>
      </c>
      <c r="J8" s="62">
        <v>14363.2</v>
      </c>
      <c r="K8" s="91">
        <f t="shared" si="2"/>
        <v>0</v>
      </c>
      <c r="L8" s="106">
        <v>16264</v>
      </c>
      <c r="M8" s="91">
        <v>16284.8</v>
      </c>
      <c r="N8" s="257">
        <f t="shared" si="3"/>
        <v>20.799999999999272</v>
      </c>
      <c r="O8" s="262">
        <f t="shared" si="4"/>
        <v>43.19999999999709</v>
      </c>
    </row>
    <row r="9" spans="1:15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258">
        <v>313.60000000000002</v>
      </c>
      <c r="M9" s="91">
        <v>314.24</v>
      </c>
      <c r="N9" s="259">
        <f t="shared" si="3"/>
        <v>0.63999999999998636</v>
      </c>
      <c r="O9" s="262">
        <f t="shared" si="4"/>
        <v>0.63999999999998636</v>
      </c>
    </row>
    <row r="10" spans="1:15" x14ac:dyDescent="0.3">
      <c r="A10" s="260" t="s">
        <v>151</v>
      </c>
      <c r="B10" s="261"/>
      <c r="C10" s="364">
        <f>+SUM(C4:C9)</f>
        <v>964251.50000000012</v>
      </c>
      <c r="D10" s="364">
        <f t="shared" ref="D10:O10" si="5">+SUM(D4:D9)</f>
        <v>964339.79999999981</v>
      </c>
      <c r="E10" s="364">
        <f t="shared" si="5"/>
        <v>88.299999999879219</v>
      </c>
      <c r="F10" s="364">
        <f t="shared" si="5"/>
        <v>890893.3600000001</v>
      </c>
      <c r="G10" s="364">
        <f t="shared" si="5"/>
        <v>891877.42000000016</v>
      </c>
      <c r="H10" s="364">
        <f t="shared" si="5"/>
        <v>984.05999999994106</v>
      </c>
      <c r="I10" s="364">
        <f t="shared" si="5"/>
        <v>985869.05999999994</v>
      </c>
      <c r="J10" s="364">
        <f t="shared" si="5"/>
        <v>985925.85999999987</v>
      </c>
      <c r="K10" s="364">
        <f t="shared" si="5"/>
        <v>56.799999999930151</v>
      </c>
      <c r="L10" s="364">
        <f t="shared" si="5"/>
        <v>1002169.18</v>
      </c>
      <c r="M10" s="364">
        <f t="shared" si="5"/>
        <v>1003181.36</v>
      </c>
      <c r="N10" s="364">
        <f t="shared" si="5"/>
        <v>1012.1800000000341</v>
      </c>
      <c r="O10" s="364">
        <f t="shared" si="5"/>
        <v>2141.3399999997841</v>
      </c>
    </row>
    <row r="11" spans="1:15" x14ac:dyDescent="0.3">
      <c r="C11" s="102"/>
      <c r="F11" s="102"/>
      <c r="I11" s="102"/>
    </row>
    <row r="12" spans="1:15" x14ac:dyDescent="0.3">
      <c r="O12" s="366"/>
    </row>
  </sheetData>
  <mergeCells count="4">
    <mergeCell ref="C2:E2"/>
    <mergeCell ref="L2:N2"/>
    <mergeCell ref="I2:K2"/>
    <mergeCell ref="F2:H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AG66"/>
  <sheetViews>
    <sheetView zoomScaleNormal="100" workbookViewId="0">
      <pane xSplit="4" ySplit="4" topLeftCell="Q44" activePane="bottomRight" state="frozen"/>
      <selection pane="topRight" activeCell="E1" sqref="E1"/>
      <selection pane="bottomLeft" activeCell="A5" sqref="A5"/>
      <selection pane="bottomRight" activeCell="W1" sqref="W1:W1048576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50.6640625" style="1" bestFit="1" customWidth="1"/>
    <col min="4" max="4" width="9.88671875" style="4" customWidth="1"/>
    <col min="5" max="5" width="14.33203125" style="4" customWidth="1" outlineLevel="1"/>
    <col min="6" max="6" width="12.441406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2" width="12.109375" style="1" customWidth="1" outlineLevel="1"/>
    <col min="13" max="13" width="13" style="1" customWidth="1" outlineLevel="1"/>
    <col min="14" max="14" width="12.109375" style="1" customWidth="1" outlineLevel="1"/>
    <col min="15" max="15" width="11.6640625" style="1" customWidth="1" outlineLevel="1"/>
    <col min="16" max="16" width="12.33203125" style="1" bestFit="1" customWidth="1"/>
    <col min="17" max="18" width="12.33203125" style="1" customWidth="1"/>
    <col min="19" max="19" width="11.33203125" style="1" customWidth="1" outlineLevel="1"/>
    <col min="20" max="20" width="3.109375" style="1" customWidth="1"/>
    <col min="21" max="21" width="5.109375" style="1" customWidth="1"/>
    <col min="22" max="22" width="13.33203125" style="2" customWidth="1"/>
    <col min="23" max="23" width="11.33203125" style="2" bestFit="1" customWidth="1"/>
    <col min="24" max="24" width="11.6640625" style="1" customWidth="1"/>
    <col min="25" max="16384" width="8.88671875" style="1"/>
  </cols>
  <sheetData>
    <row r="1" spans="1:25" ht="15.6" customHeight="1" x14ac:dyDescent="0.3">
      <c r="A1" s="40" t="s">
        <v>325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"/>
    </row>
    <row r="2" spans="1:25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139"/>
      <c r="Q2" s="2"/>
      <c r="R2" s="2"/>
    </row>
    <row r="3" spans="1:25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6" t="s">
        <v>178</v>
      </c>
      <c r="O3" s="598"/>
      <c r="P3" s="590" t="s">
        <v>43</v>
      </c>
      <c r="Q3" s="590" t="s">
        <v>44</v>
      </c>
      <c r="R3" s="590" t="s">
        <v>41</v>
      </c>
      <c r="S3" s="590" t="s">
        <v>149</v>
      </c>
      <c r="U3" s="61"/>
      <c r="V3" s="584" t="s">
        <v>148</v>
      </c>
    </row>
    <row r="4" spans="1:25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345</v>
      </c>
      <c r="M4" s="575"/>
      <c r="N4" s="254" t="s">
        <v>203</v>
      </c>
      <c r="O4" s="254" t="s">
        <v>348</v>
      </c>
      <c r="P4" s="597"/>
      <c r="Q4" s="597"/>
      <c r="R4" s="597"/>
      <c r="S4" s="597"/>
      <c r="U4" s="87"/>
      <c r="V4" s="585"/>
    </row>
    <row r="5" spans="1:25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52201.45</v>
      </c>
      <c r="F5" s="187">
        <f t="shared" si="0"/>
        <v>2139812.86</v>
      </c>
      <c r="G5" s="82">
        <f t="shared" si="0"/>
        <v>323463.03999999998</v>
      </c>
      <c r="H5" s="82">
        <f t="shared" si="0"/>
        <v>50079.429999999993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17263.559999999998</v>
      </c>
      <c r="N5" s="42">
        <f>+N6+N18+N44</f>
        <v>237475.93999999994</v>
      </c>
      <c r="O5" s="42">
        <f>+O6+O18+O44</f>
        <v>0</v>
      </c>
      <c r="P5" s="42">
        <f>+SUM(E5:O5)</f>
        <v>2820296.2800000003</v>
      </c>
      <c r="Q5" s="42">
        <f>+Q6+Q18+Q44</f>
        <v>2587427.7798165134</v>
      </c>
      <c r="R5" s="42">
        <f>+R6+R18+R44</f>
        <v>232868.50018348632</v>
      </c>
      <c r="S5" s="44">
        <f>+S6+S18+S44</f>
        <v>55075.850012962954</v>
      </c>
      <c r="T5" s="71"/>
      <c r="U5" s="87"/>
      <c r="V5" s="135">
        <f>+V7+V18+V44</f>
        <v>2605380.5199999996</v>
      </c>
      <c r="X5" s="2"/>
    </row>
    <row r="6" spans="1:25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1">+E7+E11</f>
        <v>0</v>
      </c>
      <c r="F6" s="187">
        <f t="shared" si="1"/>
        <v>0</v>
      </c>
      <c r="G6" s="82">
        <f t="shared" si="1"/>
        <v>0</v>
      </c>
      <c r="H6" s="82">
        <f t="shared" si="1"/>
        <v>0</v>
      </c>
      <c r="I6" s="82">
        <f t="shared" si="1"/>
        <v>0</v>
      </c>
      <c r="J6" s="82">
        <f t="shared" si="1"/>
        <v>0</v>
      </c>
      <c r="K6" s="100">
        <f t="shared" si="1"/>
        <v>0</v>
      </c>
      <c r="L6" s="100">
        <f t="shared" si="1"/>
        <v>0</v>
      </c>
      <c r="M6" s="192">
        <f>+M7+M11</f>
        <v>0</v>
      </c>
      <c r="N6" s="42">
        <f>+N7+N11</f>
        <v>0</v>
      </c>
      <c r="O6" s="42">
        <f>+O7+O11</f>
        <v>0</v>
      </c>
      <c r="P6" s="42">
        <f t="shared" ref="P6:P7" si="2">+SUM(E6:O6)</f>
        <v>0</v>
      </c>
      <c r="Q6" s="42">
        <f>+Q7+Q11</f>
        <v>0</v>
      </c>
      <c r="R6" s="42">
        <f>+R7+R11</f>
        <v>0</v>
      </c>
      <c r="S6" s="44">
        <f>+S7+S11</f>
        <v>0</v>
      </c>
      <c r="U6" s="61"/>
      <c r="V6" s="13"/>
    </row>
    <row r="7" spans="1:25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S7" si="4">+SUM(M8:M10)</f>
        <v>0</v>
      </c>
      <c r="N7" s="354">
        <f t="shared" si="4"/>
        <v>0</v>
      </c>
      <c r="O7" s="354">
        <f t="shared" ref="O7" si="5">+SUM(O8:O10)</f>
        <v>0</v>
      </c>
      <c r="P7" s="43">
        <f t="shared" si="2"/>
        <v>0</v>
      </c>
      <c r="Q7" s="354">
        <f t="shared" si="4"/>
        <v>0</v>
      </c>
      <c r="R7" s="354">
        <f t="shared" si="4"/>
        <v>0</v>
      </c>
      <c r="S7" s="240">
        <f t="shared" si="4"/>
        <v>0</v>
      </c>
      <c r="T7" s="71"/>
      <c r="U7" s="134"/>
      <c r="V7" s="105">
        <f>+SUM(V8:V17)</f>
        <v>0</v>
      </c>
    </row>
    <row r="8" spans="1:25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64"/>
      <c r="P8" s="24">
        <f>+SUM(E8:O8)</f>
        <v>0</v>
      </c>
      <c r="Q8" s="127">
        <f t="shared" ref="Q8:Q53" si="6">+P8/1.09</f>
        <v>0</v>
      </c>
      <c r="R8" s="24">
        <f t="shared" ref="R8:R17" si="7">+P8-Q8</f>
        <v>0</v>
      </c>
      <c r="S8" s="94">
        <f>+P8/D8</f>
        <v>0</v>
      </c>
      <c r="T8" s="71"/>
      <c r="U8" s="61"/>
      <c r="V8" s="13"/>
    </row>
    <row r="9" spans="1:25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8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64"/>
      <c r="P9" s="24">
        <f t="shared" ref="P9:P53" si="9">+SUM(E9:O9)</f>
        <v>0</v>
      </c>
      <c r="Q9" s="127">
        <f t="shared" si="6"/>
        <v>0</v>
      </c>
      <c r="R9" s="26">
        <f t="shared" si="7"/>
        <v>0</v>
      </c>
      <c r="S9" s="94">
        <f>+P9/D9</f>
        <v>0</v>
      </c>
      <c r="T9" s="71"/>
      <c r="U9" s="61">
        <v>1.75</v>
      </c>
      <c r="V9" s="13">
        <f>+S9*U9</f>
        <v>0</v>
      </c>
    </row>
    <row r="10" spans="1:25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350"/>
      <c r="P10" s="24">
        <f t="shared" si="9"/>
        <v>0</v>
      </c>
      <c r="Q10" s="26">
        <f t="shared" si="6"/>
        <v>0</v>
      </c>
      <c r="R10" s="26">
        <f t="shared" si="7"/>
        <v>0</v>
      </c>
      <c r="S10" s="39">
        <f>P10/D10</f>
        <v>0</v>
      </c>
      <c r="T10" s="71"/>
      <c r="U10" s="107">
        <v>2.8</v>
      </c>
      <c r="V10" s="13">
        <f>+S10*U10</f>
        <v>0</v>
      </c>
      <c r="X10" s="138"/>
      <c r="Y10" s="2"/>
    </row>
    <row r="11" spans="1:25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S11" si="10">+SUM(E12:E17)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74">
        <f t="shared" si="10"/>
        <v>0</v>
      </c>
      <c r="K11" s="101">
        <f t="shared" si="10"/>
        <v>0</v>
      </c>
      <c r="L11" s="101">
        <f t="shared" si="10"/>
        <v>0</v>
      </c>
      <c r="M11" s="101">
        <f t="shared" si="10"/>
        <v>0</v>
      </c>
      <c r="N11" s="101">
        <f t="shared" si="10"/>
        <v>0</v>
      </c>
      <c r="O11" s="101">
        <f t="shared" si="10"/>
        <v>0</v>
      </c>
      <c r="P11" s="43">
        <f t="shared" si="10"/>
        <v>0</v>
      </c>
      <c r="Q11" s="72">
        <f t="shared" si="10"/>
        <v>0</v>
      </c>
      <c r="R11" s="43">
        <f t="shared" si="10"/>
        <v>0</v>
      </c>
      <c r="S11" s="45">
        <f t="shared" si="10"/>
        <v>0</v>
      </c>
      <c r="T11" s="71"/>
      <c r="U11" s="61"/>
      <c r="V11" s="13"/>
    </row>
    <row r="12" spans="1:25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64"/>
      <c r="P12" s="24">
        <f t="shared" si="9"/>
        <v>0</v>
      </c>
      <c r="Q12" s="127">
        <f t="shared" si="6"/>
        <v>0</v>
      </c>
      <c r="R12" s="5">
        <f t="shared" si="7"/>
        <v>0</v>
      </c>
      <c r="S12" s="94">
        <f t="shared" ref="S12:S17" si="11">+P12/D12</f>
        <v>0</v>
      </c>
      <c r="T12" s="71"/>
      <c r="U12" s="61"/>
      <c r="V12" s="13"/>
      <c r="Y12" s="104"/>
    </row>
    <row r="13" spans="1:25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64"/>
      <c r="P13" s="24">
        <f t="shared" si="9"/>
        <v>0</v>
      </c>
      <c r="Q13" s="127">
        <f t="shared" si="6"/>
        <v>0</v>
      </c>
      <c r="R13" s="5">
        <f t="shared" si="7"/>
        <v>0</v>
      </c>
      <c r="S13" s="94">
        <f t="shared" si="11"/>
        <v>0</v>
      </c>
      <c r="T13" s="71"/>
      <c r="U13" s="107">
        <v>1.1000000000000001</v>
      </c>
      <c r="V13" s="13">
        <f t="shared" ref="V13:V14" si="12">+S13*U13</f>
        <v>0</v>
      </c>
      <c r="Y13" s="104"/>
    </row>
    <row r="14" spans="1:25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64"/>
      <c r="P14" s="24">
        <f t="shared" si="9"/>
        <v>0</v>
      </c>
      <c r="Q14" s="127">
        <f t="shared" si="6"/>
        <v>0</v>
      </c>
      <c r="R14" s="5">
        <f t="shared" si="7"/>
        <v>0</v>
      </c>
      <c r="S14" s="94">
        <f t="shared" si="11"/>
        <v>0</v>
      </c>
      <c r="T14" s="71"/>
      <c r="U14" s="61">
        <v>1.76</v>
      </c>
      <c r="V14" s="13">
        <f t="shared" si="12"/>
        <v>0</v>
      </c>
      <c r="Y14" s="104"/>
    </row>
    <row r="15" spans="1:25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64"/>
      <c r="P15" s="24">
        <f t="shared" si="9"/>
        <v>0</v>
      </c>
      <c r="Q15" s="127">
        <f t="shared" si="6"/>
        <v>0</v>
      </c>
      <c r="R15" s="5">
        <f t="shared" si="7"/>
        <v>0</v>
      </c>
      <c r="S15" s="94">
        <f t="shared" si="11"/>
        <v>0</v>
      </c>
      <c r="T15" s="71"/>
      <c r="U15" s="61"/>
      <c r="V15" s="13"/>
      <c r="Y15" s="104"/>
    </row>
    <row r="16" spans="1:2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64"/>
      <c r="P16" s="24">
        <f t="shared" si="9"/>
        <v>0</v>
      </c>
      <c r="Q16" s="127">
        <f t="shared" si="6"/>
        <v>0</v>
      </c>
      <c r="R16" s="5">
        <f t="shared" si="7"/>
        <v>0</v>
      </c>
      <c r="S16" s="94">
        <f t="shared" si="11"/>
        <v>0</v>
      </c>
      <c r="T16" s="71"/>
      <c r="U16" s="61">
        <v>1.6</v>
      </c>
      <c r="V16" s="13">
        <f t="shared" ref="V16:V17" si="13">+S16*U16</f>
        <v>0</v>
      </c>
      <c r="Y16" s="104"/>
    </row>
    <row r="17" spans="1:33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64"/>
      <c r="P17" s="24">
        <f t="shared" si="9"/>
        <v>0</v>
      </c>
      <c r="Q17" s="127">
        <f t="shared" si="6"/>
        <v>0</v>
      </c>
      <c r="R17" s="5">
        <f t="shared" si="7"/>
        <v>0</v>
      </c>
      <c r="S17" s="94">
        <f t="shared" si="11"/>
        <v>0</v>
      </c>
      <c r="T17" s="71"/>
      <c r="U17" s="61">
        <v>2.56</v>
      </c>
      <c r="V17" s="13">
        <f t="shared" si="13"/>
        <v>0</v>
      </c>
      <c r="Y17" s="104"/>
    </row>
    <row r="18" spans="1:33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51971.039999999994</v>
      </c>
      <c r="F18" s="231">
        <f t="shared" ref="F18:O18" si="14">+SUM(F19:F43)</f>
        <v>2129028.4499999997</v>
      </c>
      <c r="G18" s="231">
        <f t="shared" si="14"/>
        <v>322120.78999999998</v>
      </c>
      <c r="H18" s="231">
        <f t="shared" si="14"/>
        <v>49673.569999999992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17217.059999999998</v>
      </c>
      <c r="N18" s="238">
        <f t="shared" si="14"/>
        <v>236731.19999999995</v>
      </c>
      <c r="O18" s="238">
        <f t="shared" si="14"/>
        <v>0</v>
      </c>
      <c r="P18" s="42">
        <f>+SUM(P19:P43)</f>
        <v>2806742.11</v>
      </c>
      <c r="Q18" s="42">
        <f t="shared" ref="Q18:S18" si="15">+SUM(Q19:Q43)</f>
        <v>2574992.7614678894</v>
      </c>
      <c r="R18" s="42">
        <f t="shared" si="15"/>
        <v>231749.34853211016</v>
      </c>
      <c r="S18" s="42">
        <f t="shared" si="15"/>
        <v>54488.850012962954</v>
      </c>
      <c r="T18" s="71"/>
      <c r="U18" s="61"/>
      <c r="V18" s="105">
        <f>+SUM(V19:V42)</f>
        <v>2597407.6899999995</v>
      </c>
    </row>
    <row r="19" spans="1:33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30813.33</v>
      </c>
      <c r="F19" s="127">
        <v>1193283.33</v>
      </c>
      <c r="G19" s="127">
        <v>172706.67</v>
      </c>
      <c r="H19" s="127">
        <v>26520</v>
      </c>
      <c r="I19" s="127"/>
      <c r="J19" s="127"/>
      <c r="K19" s="127"/>
      <c r="L19" s="127"/>
      <c r="M19" s="127">
        <v>10950</v>
      </c>
      <c r="N19" s="127">
        <f>111886.67</f>
        <v>111886.67</v>
      </c>
      <c r="O19" s="164"/>
      <c r="P19" s="24">
        <f t="shared" si="9"/>
        <v>1546160</v>
      </c>
      <c r="Q19" s="127">
        <f t="shared" si="6"/>
        <v>1418495.4128440367</v>
      </c>
      <c r="R19" s="24">
        <f>+P19-Q19</f>
        <v>127664.58715596329</v>
      </c>
      <c r="S19" s="94">
        <f t="shared" ref="S19:S43" si="16">+P19/D19</f>
        <v>15461.6</v>
      </c>
      <c r="T19" s="71"/>
      <c r="U19" s="61"/>
      <c r="V19" s="106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</row>
    <row r="20" spans="1:33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5343.33</v>
      </c>
      <c r="F20" s="127">
        <v>351210</v>
      </c>
      <c r="G20" s="127">
        <v>51435</v>
      </c>
      <c r="H20" s="127">
        <v>8705</v>
      </c>
      <c r="I20" s="127"/>
      <c r="J20" s="127"/>
      <c r="K20" s="127"/>
      <c r="L20" s="127"/>
      <c r="M20" s="127">
        <v>3421.67</v>
      </c>
      <c r="N20" s="127">
        <v>6500</v>
      </c>
      <c r="O20" s="164"/>
      <c r="P20" s="24">
        <f t="shared" si="9"/>
        <v>426615</v>
      </c>
      <c r="Q20" s="127">
        <f t="shared" si="6"/>
        <v>391389.90825688071</v>
      </c>
      <c r="R20" s="5">
        <f t="shared" ref="R20:R43" si="17">+P20-Q20</f>
        <v>35225.091743119294</v>
      </c>
      <c r="S20" s="94">
        <f t="shared" si="16"/>
        <v>8532.2999999999993</v>
      </c>
      <c r="T20" s="71"/>
      <c r="U20" s="61">
        <v>50</v>
      </c>
      <c r="V20" s="13">
        <f t="shared" ref="V20:V21" si="18">+S20*U20</f>
        <v>426614.99999999994</v>
      </c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</row>
    <row r="21" spans="1:33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728.67+8659.33</f>
        <v>9388</v>
      </c>
      <c r="F21" s="127">
        <f>4530.67+369004</f>
        <v>373534.67</v>
      </c>
      <c r="G21" s="127">
        <f>924.67+64645.33</f>
        <v>65570</v>
      </c>
      <c r="H21" s="127">
        <v>4645.33</v>
      </c>
      <c r="I21" s="13"/>
      <c r="J21" s="127"/>
      <c r="K21" s="127"/>
      <c r="L21" s="127"/>
      <c r="M21" s="127">
        <f>18+1344</f>
        <v>1362</v>
      </c>
      <c r="N21" s="127">
        <f>456.67+41301.33-80</f>
        <v>41678</v>
      </c>
      <c r="O21" s="164"/>
      <c r="P21" s="24">
        <f t="shared" si="9"/>
        <v>496178</v>
      </c>
      <c r="Q21" s="127">
        <f t="shared" si="6"/>
        <v>455209.17431192659</v>
      </c>
      <c r="R21" s="5">
        <f t="shared" si="17"/>
        <v>40968.825688073412</v>
      </c>
      <c r="S21" s="94">
        <f t="shared" si="16"/>
        <v>24808.9</v>
      </c>
      <c r="T21" s="71"/>
      <c r="U21" s="61">
        <v>80</v>
      </c>
      <c r="V21" s="13">
        <f t="shared" si="18"/>
        <v>1984712</v>
      </c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</row>
    <row r="22" spans="1:33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4530</v>
      </c>
      <c r="F22" s="127">
        <v>160347</v>
      </c>
      <c r="G22" s="127">
        <v>25407</v>
      </c>
      <c r="H22" s="127">
        <v>4815</v>
      </c>
      <c r="I22" s="96"/>
      <c r="J22" s="127"/>
      <c r="K22" s="127"/>
      <c r="L22" s="127"/>
      <c r="M22" s="127">
        <v>1278</v>
      </c>
      <c r="N22" s="127">
        <v>43314</v>
      </c>
      <c r="O22" s="164"/>
      <c r="P22" s="24">
        <f t="shared" si="9"/>
        <v>239691</v>
      </c>
      <c r="Q22" s="127">
        <f t="shared" si="6"/>
        <v>219899.99999999997</v>
      </c>
      <c r="R22" s="5">
        <f t="shared" si="17"/>
        <v>19791.000000000029</v>
      </c>
      <c r="S22" s="94">
        <f t="shared" si="16"/>
        <v>2663.2333333333331</v>
      </c>
      <c r="T22" s="71"/>
      <c r="U22" s="61"/>
      <c r="V22" s="13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</row>
    <row r="23" spans="1:33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v>115.5</v>
      </c>
      <c r="F23" s="127">
        <v>9021</v>
      </c>
      <c r="G23" s="127">
        <v>1558.5</v>
      </c>
      <c r="H23" s="127">
        <v>348</v>
      </c>
      <c r="I23" s="127"/>
      <c r="J23" s="127"/>
      <c r="K23" s="127"/>
      <c r="L23" s="127"/>
      <c r="M23" s="127">
        <v>1.5</v>
      </c>
      <c r="N23" s="127">
        <v>1896</v>
      </c>
      <c r="O23" s="164"/>
      <c r="P23" s="24">
        <f t="shared" si="9"/>
        <v>12940.5</v>
      </c>
      <c r="Q23" s="127">
        <f t="shared" si="6"/>
        <v>11872.018348623853</v>
      </c>
      <c r="R23" s="5">
        <f t="shared" si="17"/>
        <v>1068.4816513761471</v>
      </c>
      <c r="S23" s="94">
        <f t="shared" si="16"/>
        <v>287.56666666666666</v>
      </c>
      <c r="T23" s="71"/>
      <c r="U23" s="61">
        <v>45</v>
      </c>
      <c r="V23" s="13">
        <f t="shared" ref="V23:V24" si="19">+S23*U23</f>
        <v>12940.5</v>
      </c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</row>
    <row r="24" spans="1:33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53.4+466.8</f>
        <v>520.20000000000005</v>
      </c>
      <c r="F24" s="127">
        <f>39.6+8294.4</f>
        <v>8334</v>
      </c>
      <c r="G24" s="127">
        <f>0.6+1428</f>
        <v>1428.6</v>
      </c>
      <c r="H24" s="127">
        <v>280.2</v>
      </c>
      <c r="I24" s="127"/>
      <c r="J24" s="127"/>
      <c r="K24" s="127"/>
      <c r="L24" s="127"/>
      <c r="M24" s="127">
        <v>77.400000000000006</v>
      </c>
      <c r="N24" s="127">
        <f>91.8+3210</f>
        <v>3301.8</v>
      </c>
      <c r="O24" s="164"/>
      <c r="P24" s="24">
        <f t="shared" si="9"/>
        <v>13942.2</v>
      </c>
      <c r="Q24" s="127">
        <f t="shared" si="6"/>
        <v>12791.009174311926</v>
      </c>
      <c r="R24" s="5">
        <f t="shared" si="17"/>
        <v>1151.1908256880743</v>
      </c>
      <c r="S24" s="94">
        <f t="shared" si="16"/>
        <v>774.56666666666672</v>
      </c>
      <c r="T24" s="71"/>
      <c r="U24" s="61">
        <v>72</v>
      </c>
      <c r="V24" s="13">
        <f t="shared" si="19"/>
        <v>55768.800000000003</v>
      </c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</row>
    <row r="25" spans="1:33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43.33</v>
      </c>
      <c r="F25" s="127">
        <v>3343.33</v>
      </c>
      <c r="G25" s="127">
        <v>403.33</v>
      </c>
      <c r="H25" s="127">
        <f>166.67+206.67</f>
        <v>373.34</v>
      </c>
      <c r="I25" s="127"/>
      <c r="J25" s="127"/>
      <c r="K25" s="127"/>
      <c r="L25" s="127"/>
      <c r="M25" s="127"/>
      <c r="N25" s="127">
        <v>4510</v>
      </c>
      <c r="O25" s="164"/>
      <c r="P25" s="24">
        <f t="shared" si="9"/>
        <v>8673.33</v>
      </c>
      <c r="Q25" s="127">
        <f t="shared" si="6"/>
        <v>7957.1834862385313</v>
      </c>
      <c r="R25" s="5">
        <f t="shared" si="17"/>
        <v>716.14651376146867</v>
      </c>
      <c r="S25" s="94">
        <f t="shared" si="16"/>
        <v>28.911100000000001</v>
      </c>
      <c r="T25" s="71"/>
      <c r="U25" s="61"/>
      <c r="V25" s="13"/>
      <c r="W25" s="112"/>
      <c r="X25" s="112"/>
    </row>
    <row r="26" spans="1:33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3653.33</v>
      </c>
      <c r="G26" s="127">
        <v>441.67</v>
      </c>
      <c r="H26" s="127">
        <f>100+90+155</f>
        <v>345</v>
      </c>
      <c r="I26" s="127"/>
      <c r="J26" s="127"/>
      <c r="K26" s="127"/>
      <c r="L26" s="127"/>
      <c r="M26" s="127"/>
      <c r="N26" s="127">
        <v>1100</v>
      </c>
      <c r="O26" s="164"/>
      <c r="P26" s="24">
        <f t="shared" si="9"/>
        <v>5540</v>
      </c>
      <c r="Q26" s="127">
        <f t="shared" si="6"/>
        <v>5082.5688073394494</v>
      </c>
      <c r="R26" s="5">
        <f t="shared" si="17"/>
        <v>457.43119266055055</v>
      </c>
      <c r="S26" s="94">
        <f t="shared" si="16"/>
        <v>36.93333333333333</v>
      </c>
      <c r="T26" s="71"/>
      <c r="U26" s="61">
        <v>150</v>
      </c>
      <c r="V26" s="13">
        <f t="shared" ref="V26:V42" si="20">+S26*U26</f>
        <v>5539.9999999999991</v>
      </c>
      <c r="W26" s="112"/>
      <c r="X26" s="112"/>
    </row>
    <row r="27" spans="1:33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76.67+238.67</f>
        <v>315.33999999999997</v>
      </c>
      <c r="F27" s="127">
        <f>142.67+9749.33</f>
        <v>9892</v>
      </c>
      <c r="G27" s="127">
        <f>60.67+1287.33</f>
        <v>1348</v>
      </c>
      <c r="H27" s="127">
        <f>120+164+472.67</f>
        <v>756.67000000000007</v>
      </c>
      <c r="I27" s="127"/>
      <c r="J27" s="127"/>
      <c r="K27" s="127"/>
      <c r="L27" s="127"/>
      <c r="M27" s="127">
        <f>13.33+62</f>
        <v>75.33</v>
      </c>
      <c r="N27" s="127">
        <f>215.33+7272.67</f>
        <v>7488</v>
      </c>
      <c r="O27" s="164"/>
      <c r="P27" s="24">
        <f t="shared" si="9"/>
        <v>19875.34</v>
      </c>
      <c r="Q27" s="127">
        <f t="shared" si="6"/>
        <v>18234.256880733945</v>
      </c>
      <c r="R27" s="5">
        <f t="shared" si="17"/>
        <v>1641.0831192660553</v>
      </c>
      <c r="S27" s="94">
        <f t="shared" si="16"/>
        <v>331.25566666666668</v>
      </c>
      <c r="T27" s="71"/>
      <c r="U27" s="61">
        <v>240</v>
      </c>
      <c r="V27" s="13">
        <f t="shared" si="20"/>
        <v>79501.36</v>
      </c>
      <c r="W27" s="112"/>
      <c r="X27" s="112"/>
    </row>
    <row r="28" spans="1:33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678</v>
      </c>
      <c r="G28" s="127">
        <v>75</v>
      </c>
      <c r="H28" s="127">
        <f>90+201</f>
        <v>291</v>
      </c>
      <c r="I28" s="127"/>
      <c r="J28" s="127"/>
      <c r="K28" s="127"/>
      <c r="L28" s="127"/>
      <c r="M28" s="127"/>
      <c r="N28" s="127">
        <v>9441</v>
      </c>
      <c r="O28" s="164"/>
      <c r="P28" s="24">
        <f t="shared" si="9"/>
        <v>10485</v>
      </c>
      <c r="Q28" s="127">
        <f t="shared" si="6"/>
        <v>9619.2660550458713</v>
      </c>
      <c r="R28" s="5">
        <f t="shared" si="17"/>
        <v>865.73394495412867</v>
      </c>
      <c r="S28" s="94">
        <f t="shared" si="16"/>
        <v>38.833333333333336</v>
      </c>
      <c r="T28" s="71"/>
      <c r="U28" s="61"/>
      <c r="V28" s="13"/>
      <c r="W28" s="112"/>
      <c r="X28" s="112"/>
    </row>
    <row r="29" spans="1:33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186</v>
      </c>
      <c r="G29" s="127"/>
      <c r="H29" s="127">
        <f>42+46.5</f>
        <v>88.5</v>
      </c>
      <c r="I29" s="127"/>
      <c r="J29" s="127"/>
      <c r="K29" s="127"/>
      <c r="L29" s="127"/>
      <c r="M29" s="127"/>
      <c r="N29" s="127">
        <v>75</v>
      </c>
      <c r="O29" s="164"/>
      <c r="P29" s="24">
        <f t="shared" si="9"/>
        <v>349.5</v>
      </c>
      <c r="Q29" s="127">
        <f t="shared" si="6"/>
        <v>320.64220183486236</v>
      </c>
      <c r="R29" s="5">
        <f t="shared" si="17"/>
        <v>28.857798165137638</v>
      </c>
      <c r="S29" s="94">
        <f t="shared" si="16"/>
        <v>2.588888888888889</v>
      </c>
      <c r="T29" s="71"/>
      <c r="U29" s="61">
        <v>135</v>
      </c>
      <c r="V29" s="13">
        <f t="shared" si="20"/>
        <v>349.5</v>
      </c>
      <c r="W29" s="112"/>
      <c r="X29" s="112"/>
    </row>
    <row r="30" spans="1:33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83.4</v>
      </c>
      <c r="F30" s="127">
        <v>181.8</v>
      </c>
      <c r="G30" s="127"/>
      <c r="H30" s="127">
        <f>11.4+37.2</f>
        <v>48.6</v>
      </c>
      <c r="I30" s="127"/>
      <c r="J30" s="127"/>
      <c r="K30" s="127"/>
      <c r="L30" s="127"/>
      <c r="M30" s="127">
        <v>18.600000000000001</v>
      </c>
      <c r="N30" s="127">
        <f>18.6+511.8</f>
        <v>530.4</v>
      </c>
      <c r="O30" s="164"/>
      <c r="P30" s="24">
        <f t="shared" si="9"/>
        <v>862.80000000000007</v>
      </c>
      <c r="Q30" s="127">
        <f t="shared" si="6"/>
        <v>791.55963302752298</v>
      </c>
      <c r="R30" s="5">
        <f t="shared" si="17"/>
        <v>71.240366972477091</v>
      </c>
      <c r="S30" s="94">
        <f t="shared" si="16"/>
        <v>15.97777777777778</v>
      </c>
      <c r="T30" s="71"/>
      <c r="U30" s="61">
        <v>216</v>
      </c>
      <c r="V30" s="13">
        <f t="shared" si="20"/>
        <v>3451.2000000000003</v>
      </c>
      <c r="W30" s="112"/>
      <c r="X30" s="112"/>
    </row>
    <row r="31" spans="1:33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103.33</v>
      </c>
      <c r="F31" s="127">
        <v>276.67</v>
      </c>
      <c r="G31" s="127"/>
      <c r="H31" s="127">
        <v>100</v>
      </c>
      <c r="I31" s="127"/>
      <c r="J31" s="127"/>
      <c r="K31" s="127"/>
      <c r="L31" s="127"/>
      <c r="M31" s="127"/>
      <c r="N31" s="127"/>
      <c r="O31" s="164"/>
      <c r="P31" s="24">
        <f t="shared" si="9"/>
        <v>480</v>
      </c>
      <c r="Q31" s="127">
        <f t="shared" si="6"/>
        <v>440.36697247706417</v>
      </c>
      <c r="R31" s="5">
        <f t="shared" si="17"/>
        <v>39.633027522935834</v>
      </c>
      <c r="S31" s="94">
        <f t="shared" si="16"/>
        <v>0.8</v>
      </c>
      <c r="T31" s="71"/>
      <c r="U31" s="61"/>
      <c r="V31" s="13"/>
      <c r="W31" s="112"/>
      <c r="X31" s="112"/>
    </row>
    <row r="32" spans="1:33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566.66999999999996</v>
      </c>
      <c r="G32" s="127">
        <v>51.67</v>
      </c>
      <c r="H32" s="127">
        <f>50+18.33+51.67+51.67</f>
        <v>171.67000000000002</v>
      </c>
      <c r="I32" s="127"/>
      <c r="J32" s="127"/>
      <c r="K32" s="127"/>
      <c r="L32" s="127"/>
      <c r="M32" s="127"/>
      <c r="N32" s="127">
        <v>155</v>
      </c>
      <c r="O32" s="164"/>
      <c r="P32" s="24">
        <f t="shared" si="9"/>
        <v>945.01</v>
      </c>
      <c r="Q32" s="127">
        <f t="shared" si="6"/>
        <v>866.98165137614671</v>
      </c>
      <c r="R32" s="5">
        <f t="shared" si="17"/>
        <v>78.028348623853276</v>
      </c>
      <c r="S32" s="94">
        <f t="shared" si="16"/>
        <v>3.1500333333333335</v>
      </c>
      <c r="T32" s="71"/>
      <c r="U32" s="61">
        <v>300</v>
      </c>
      <c r="V32" s="13">
        <f t="shared" si="20"/>
        <v>945.01</v>
      </c>
      <c r="W32" s="112"/>
      <c r="X32" s="112"/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62</v>
      </c>
      <c r="F33" s="127">
        <f>68+1104</f>
        <v>1172</v>
      </c>
      <c r="G33" s="127">
        <v>128</v>
      </c>
      <c r="H33" s="127">
        <v>41.33</v>
      </c>
      <c r="I33" s="127"/>
      <c r="J33" s="127"/>
      <c r="K33" s="127"/>
      <c r="L33" s="127"/>
      <c r="M33" s="127">
        <v>20.67</v>
      </c>
      <c r="N33" s="127">
        <f>41.33+1136</f>
        <v>1177.33</v>
      </c>
      <c r="O33" s="164"/>
      <c r="P33" s="24">
        <f t="shared" si="9"/>
        <v>2601.33</v>
      </c>
      <c r="Q33" s="127">
        <f t="shared" si="6"/>
        <v>2386.5412844036696</v>
      </c>
      <c r="R33" s="5">
        <f t="shared" si="17"/>
        <v>214.78871559633035</v>
      </c>
      <c r="S33" s="94">
        <f t="shared" si="16"/>
        <v>21.67775</v>
      </c>
      <c r="T33" s="71"/>
      <c r="U33" s="61">
        <v>480</v>
      </c>
      <c r="V33" s="13">
        <f t="shared" si="20"/>
        <v>10405.32</v>
      </c>
      <c r="W33" s="112"/>
      <c r="X33" s="112"/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1395</v>
      </c>
      <c r="O34" s="164"/>
      <c r="P34" s="24">
        <f t="shared" si="9"/>
        <v>1395</v>
      </c>
      <c r="Q34" s="127">
        <f t="shared" si="6"/>
        <v>1279.8165137614678</v>
      </c>
      <c r="R34" s="5">
        <f t="shared" si="17"/>
        <v>115.18348623853217</v>
      </c>
      <c r="S34" s="94">
        <f t="shared" si="16"/>
        <v>2.5833333333333335</v>
      </c>
      <c r="T34" s="71"/>
      <c r="U34" s="61"/>
      <c r="V34" s="13"/>
      <c r="W34" s="112"/>
      <c r="X34" s="112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64"/>
      <c r="P35" s="24">
        <f t="shared" si="9"/>
        <v>0</v>
      </c>
      <c r="Q35" s="127">
        <f t="shared" si="6"/>
        <v>0</v>
      </c>
      <c r="R35" s="5">
        <f t="shared" si="17"/>
        <v>0</v>
      </c>
      <c r="S35" s="94">
        <f t="shared" si="16"/>
        <v>0</v>
      </c>
      <c r="T35" s="71"/>
      <c r="U35" s="61">
        <v>270</v>
      </c>
      <c r="V35" s="13">
        <f t="shared" si="20"/>
        <v>0</v>
      </c>
      <c r="W35" s="112"/>
      <c r="X35" s="112"/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37.200000000000003</v>
      </c>
      <c r="F36" s="127">
        <v>73.8</v>
      </c>
      <c r="G36" s="127"/>
      <c r="H36" s="127"/>
      <c r="I36" s="127"/>
      <c r="J36" s="127"/>
      <c r="K36" s="127"/>
      <c r="L36" s="127"/>
      <c r="M36" s="127"/>
      <c r="N36" s="127">
        <v>131.4</v>
      </c>
      <c r="O36" s="164"/>
      <c r="P36" s="24">
        <f t="shared" si="9"/>
        <v>242.4</v>
      </c>
      <c r="Q36" s="127">
        <f t="shared" si="6"/>
        <v>222.38532110091742</v>
      </c>
      <c r="R36" s="5">
        <f t="shared" si="17"/>
        <v>20.014678899082583</v>
      </c>
      <c r="S36" s="94">
        <f t="shared" si="16"/>
        <v>2.2444444444444445</v>
      </c>
      <c r="T36" s="71"/>
      <c r="U36" s="61">
        <v>432</v>
      </c>
      <c r="V36" s="13">
        <f t="shared" si="20"/>
        <v>969.6</v>
      </c>
      <c r="W36" s="112"/>
      <c r="X36" s="112"/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310</v>
      </c>
      <c r="F37" s="127">
        <v>93.33</v>
      </c>
      <c r="G37" s="127"/>
      <c r="H37" s="127"/>
      <c r="I37" s="127"/>
      <c r="J37" s="127"/>
      <c r="K37" s="127"/>
      <c r="L37" s="127"/>
      <c r="M37" s="127"/>
      <c r="N37" s="127">
        <v>176.67</v>
      </c>
      <c r="O37" s="164"/>
      <c r="P37" s="24">
        <f t="shared" si="9"/>
        <v>580</v>
      </c>
      <c r="Q37" s="127">
        <f t="shared" si="6"/>
        <v>532.11009174311926</v>
      </c>
      <c r="R37" s="5">
        <f t="shared" si="17"/>
        <v>47.889908256880744</v>
      </c>
      <c r="S37" s="94">
        <f t="shared" si="16"/>
        <v>0.64444444444444449</v>
      </c>
      <c r="T37" s="71"/>
      <c r="U37" s="61"/>
      <c r="V37" s="13"/>
      <c r="W37" s="112"/>
      <c r="X37" s="112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51.67</v>
      </c>
      <c r="F38" s="127">
        <v>28.33</v>
      </c>
      <c r="G38" s="127"/>
      <c r="H38" s="127"/>
      <c r="I38" s="127"/>
      <c r="J38" s="127"/>
      <c r="K38" s="127"/>
      <c r="L38" s="127"/>
      <c r="M38" s="127"/>
      <c r="N38" s="127"/>
      <c r="O38" s="164"/>
      <c r="P38" s="24">
        <f t="shared" si="9"/>
        <v>80</v>
      </c>
      <c r="Q38" s="127">
        <f t="shared" si="6"/>
        <v>73.394495412844037</v>
      </c>
      <c r="R38" s="5">
        <f t="shared" si="17"/>
        <v>6.6055045871559628</v>
      </c>
      <c r="S38" s="94">
        <f t="shared" si="16"/>
        <v>0.17777777777777778</v>
      </c>
      <c r="T38" s="71"/>
      <c r="U38" s="61">
        <v>450</v>
      </c>
      <c r="V38" s="13">
        <f t="shared" si="20"/>
        <v>80</v>
      </c>
      <c r="W38" s="112"/>
      <c r="X38" s="112"/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18.67+80</f>
        <v>98.67</v>
      </c>
      <c r="F39" s="127">
        <f>72.67+1932</f>
        <v>2004.67</v>
      </c>
      <c r="G39" s="127">
        <f>20.67+109.33</f>
        <v>130</v>
      </c>
      <c r="H39" s="127">
        <f>60+62+20.67+20.67+20.67</f>
        <v>184.01000000000005</v>
      </c>
      <c r="I39" s="127"/>
      <c r="J39" s="127"/>
      <c r="K39" s="127"/>
      <c r="L39" s="127"/>
      <c r="M39" s="127"/>
      <c r="N39" s="127">
        <f>41.33+1120.67</f>
        <v>1162</v>
      </c>
      <c r="O39" s="164"/>
      <c r="P39" s="24">
        <f t="shared" si="9"/>
        <v>3579.3500000000004</v>
      </c>
      <c r="Q39" s="127">
        <f t="shared" si="6"/>
        <v>3283.8073394495414</v>
      </c>
      <c r="R39" s="5">
        <f t="shared" si="17"/>
        <v>295.542660550459</v>
      </c>
      <c r="S39" s="94">
        <f t="shared" si="16"/>
        <v>19.88527777777778</v>
      </c>
      <c r="T39" s="71"/>
      <c r="U39" s="61">
        <v>720</v>
      </c>
      <c r="V39" s="13">
        <f t="shared" si="20"/>
        <v>14317.400000000001</v>
      </c>
      <c r="W39" s="112"/>
      <c r="X39" s="112"/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558</v>
      </c>
      <c r="O40" s="164"/>
      <c r="P40" s="24">
        <f t="shared" si="9"/>
        <v>558</v>
      </c>
      <c r="Q40" s="127">
        <f t="shared" si="6"/>
        <v>511.92660550458714</v>
      </c>
      <c r="R40" s="5">
        <f t="shared" si="17"/>
        <v>46.073394495412856</v>
      </c>
      <c r="S40" s="94">
        <f t="shared" si="16"/>
        <v>0.68888888888888888</v>
      </c>
      <c r="T40" s="71"/>
      <c r="U40" s="61"/>
      <c r="V40" s="13"/>
      <c r="W40" s="112"/>
      <c r="X40" s="112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64"/>
      <c r="P41" s="24">
        <f t="shared" si="9"/>
        <v>0</v>
      </c>
      <c r="Q41" s="127">
        <f t="shared" si="6"/>
        <v>0</v>
      </c>
      <c r="R41" s="5">
        <f t="shared" si="17"/>
        <v>0</v>
      </c>
      <c r="S41" s="94">
        <f t="shared" si="16"/>
        <v>0</v>
      </c>
      <c r="T41" s="71"/>
      <c r="U41" s="61">
        <v>405</v>
      </c>
      <c r="V41" s="13">
        <f t="shared" si="20"/>
        <v>0</v>
      </c>
      <c r="W41" s="112"/>
      <c r="X41" s="112"/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>
        <v>15.6</v>
      </c>
      <c r="F42" s="221">
        <v>193.2</v>
      </c>
      <c r="G42" s="221">
        <v>15.6</v>
      </c>
      <c r="H42" s="221"/>
      <c r="I42" s="221"/>
      <c r="J42" s="221"/>
      <c r="K42" s="221"/>
      <c r="L42" s="221"/>
      <c r="M42" s="221"/>
      <c r="N42" s="221">
        <f>18.6+210</f>
        <v>228.6</v>
      </c>
      <c r="O42" s="351"/>
      <c r="P42" s="24">
        <f t="shared" si="9"/>
        <v>453</v>
      </c>
      <c r="Q42" s="221">
        <f t="shared" si="6"/>
        <v>415.59633027522932</v>
      </c>
      <c r="R42" s="26">
        <f t="shared" si="17"/>
        <v>37.40366972477068</v>
      </c>
      <c r="S42" s="244">
        <f t="shared" si="16"/>
        <v>2.7962962962962963</v>
      </c>
      <c r="T42" s="71"/>
      <c r="U42" s="61">
        <v>648</v>
      </c>
      <c r="V42" s="13">
        <f t="shared" si="20"/>
        <v>1812</v>
      </c>
      <c r="W42" s="112"/>
      <c r="X42" s="11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140.13999999999999</v>
      </c>
      <c r="F43" s="124">
        <v>10955.32</v>
      </c>
      <c r="G43" s="124">
        <v>1421.75</v>
      </c>
      <c r="H43" s="124">
        <f>110.96+1417.51+262.44+169.01</f>
        <v>1959.92</v>
      </c>
      <c r="I43" s="124"/>
      <c r="J43" s="124"/>
      <c r="K43" s="124"/>
      <c r="L43" s="124"/>
      <c r="M43" s="124">
        <v>11.89</v>
      </c>
      <c r="N43" s="124">
        <v>26.33</v>
      </c>
      <c r="O43" s="352"/>
      <c r="P43" s="24">
        <f t="shared" si="9"/>
        <v>14515.349999999999</v>
      </c>
      <c r="Q43" s="124">
        <f t="shared" si="6"/>
        <v>13316.834862385318</v>
      </c>
      <c r="R43" s="6">
        <f t="shared" si="17"/>
        <v>1198.5151376146805</v>
      </c>
      <c r="S43" s="22">
        <f t="shared" si="16"/>
        <v>1451.5349999999999</v>
      </c>
      <c r="T43" s="71"/>
      <c r="U43" s="61"/>
      <c r="V43" s="13"/>
      <c r="W43" s="112"/>
      <c r="X43" s="112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230.41000000000003</v>
      </c>
      <c r="F44" s="82">
        <f>+SUM(F45:F53)</f>
        <v>10784.41</v>
      </c>
      <c r="G44" s="82">
        <f t="shared" ref="G44:S44" si="21">+SUM(G45:G53)</f>
        <v>1342.2500000000002</v>
      </c>
      <c r="H44" s="82">
        <f t="shared" si="21"/>
        <v>405.86</v>
      </c>
      <c r="I44" s="82">
        <f t="shared" si="21"/>
        <v>0</v>
      </c>
      <c r="J44" s="82">
        <f t="shared" si="21"/>
        <v>0</v>
      </c>
      <c r="K44" s="82">
        <f t="shared" si="21"/>
        <v>0</v>
      </c>
      <c r="L44" s="82">
        <f t="shared" si="21"/>
        <v>0</v>
      </c>
      <c r="M44" s="100">
        <f t="shared" si="21"/>
        <v>46.5</v>
      </c>
      <c r="N44" s="100">
        <f t="shared" si="21"/>
        <v>744.74</v>
      </c>
      <c r="O44" s="100">
        <f t="shared" si="21"/>
        <v>0</v>
      </c>
      <c r="P44" s="42">
        <f>+SUM(P45:P53)</f>
        <v>13554.169999999998</v>
      </c>
      <c r="Q44" s="82">
        <f t="shared" si="21"/>
        <v>12435.018348623851</v>
      </c>
      <c r="R44" s="77">
        <f t="shared" si="21"/>
        <v>1119.1516513761471</v>
      </c>
      <c r="S44" s="44">
        <f t="shared" si="21"/>
        <v>587</v>
      </c>
      <c r="T44" s="71"/>
      <c r="U44" s="61"/>
      <c r="V44" s="105">
        <f>+SUM(V45:V61)</f>
        <v>7972.83</v>
      </c>
      <c r="W44" s="112"/>
      <c r="X44" s="112"/>
    </row>
    <row r="45" spans="1:25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64"/>
      <c r="P45" s="24">
        <f t="shared" si="9"/>
        <v>0</v>
      </c>
      <c r="Q45" s="127">
        <f t="shared" si="6"/>
        <v>0</v>
      </c>
      <c r="R45" s="24">
        <f t="shared" ref="R45:R53" si="22">+P45-Q45</f>
        <v>0</v>
      </c>
      <c r="S45" s="94">
        <f t="shared" ref="S45:S53" si="23">+P45/D45</f>
        <v>0</v>
      </c>
      <c r="T45" s="71"/>
      <c r="U45" s="61"/>
      <c r="V45" s="13"/>
      <c r="W45" s="112"/>
      <c r="X45" s="112"/>
      <c r="Y45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64"/>
      <c r="P46" s="24">
        <f t="shared" si="9"/>
        <v>0</v>
      </c>
      <c r="Q46" s="127">
        <f t="shared" si="6"/>
        <v>0</v>
      </c>
      <c r="R46" s="5">
        <f t="shared" si="22"/>
        <v>0</v>
      </c>
      <c r="S46" s="94">
        <f t="shared" si="23"/>
        <v>0</v>
      </c>
      <c r="T46" s="71"/>
      <c r="U46" s="61">
        <v>6</v>
      </c>
      <c r="V46" s="13">
        <f t="shared" ref="V46:V47" si="24">+S46*U46</f>
        <v>0</v>
      </c>
      <c r="W46" s="112"/>
      <c r="X46" s="11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64"/>
      <c r="P47" s="24">
        <f t="shared" si="9"/>
        <v>0</v>
      </c>
      <c r="Q47" s="127">
        <f t="shared" si="6"/>
        <v>0</v>
      </c>
      <c r="R47" s="5">
        <f t="shared" si="22"/>
        <v>0</v>
      </c>
      <c r="S47" s="94">
        <f t="shared" si="23"/>
        <v>0</v>
      </c>
      <c r="T47" s="71"/>
      <c r="U47" s="61">
        <v>9.6</v>
      </c>
      <c r="V47" s="13">
        <f t="shared" si="24"/>
        <v>0</v>
      </c>
      <c r="W47" s="112"/>
      <c r="X47" s="11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14</v>
      </c>
      <c r="F48" s="127">
        <v>525</v>
      </c>
      <c r="G48" s="127">
        <v>42</v>
      </c>
      <c r="H48" s="127">
        <v>7</v>
      </c>
      <c r="I48" s="127"/>
      <c r="J48" s="127"/>
      <c r="K48" s="127"/>
      <c r="L48" s="127"/>
      <c r="M48" s="127"/>
      <c r="N48" s="127">
        <v>21</v>
      </c>
      <c r="O48" s="164"/>
      <c r="P48" s="24">
        <f t="shared" si="9"/>
        <v>609</v>
      </c>
      <c r="Q48" s="127">
        <f t="shared" si="6"/>
        <v>558.71559633027516</v>
      </c>
      <c r="R48" s="5">
        <f t="shared" si="22"/>
        <v>50.284403669724838</v>
      </c>
      <c r="S48" s="94">
        <f t="shared" si="23"/>
        <v>29</v>
      </c>
      <c r="T48" s="71"/>
      <c r="U48" s="61"/>
      <c r="V48" s="13"/>
      <c r="W48" s="112"/>
      <c r="X48" s="112"/>
    </row>
    <row r="49" spans="1:24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59.5</v>
      </c>
      <c r="G49" s="127">
        <v>7</v>
      </c>
      <c r="H49" s="127"/>
      <c r="I49" s="127"/>
      <c r="J49" s="127"/>
      <c r="K49" s="127"/>
      <c r="L49" s="127"/>
      <c r="M49" s="127"/>
      <c r="N49" s="127">
        <v>10.5</v>
      </c>
      <c r="O49" s="164"/>
      <c r="P49" s="24">
        <f t="shared" si="9"/>
        <v>77</v>
      </c>
      <c r="Q49" s="127">
        <f t="shared" si="6"/>
        <v>70.642201834862377</v>
      </c>
      <c r="R49" s="5">
        <f t="shared" si="22"/>
        <v>6.3577981651376234</v>
      </c>
      <c r="S49" s="94">
        <f t="shared" si="23"/>
        <v>7.333333333333333</v>
      </c>
      <c r="T49" s="71"/>
      <c r="U49" s="61">
        <v>10.5</v>
      </c>
      <c r="V49" s="13">
        <f t="shared" ref="V49:V50" si="25">+S49*U49</f>
        <v>77</v>
      </c>
      <c r="W49" s="112"/>
      <c r="X49" s="112"/>
    </row>
    <row r="50" spans="1:24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2.8</v>
      </c>
      <c r="F50" s="127">
        <f>2.8+287</f>
        <v>289.8</v>
      </c>
      <c r="G50" s="127">
        <v>44.8</v>
      </c>
      <c r="H50" s="127">
        <v>2.8</v>
      </c>
      <c r="I50" s="127"/>
      <c r="J50" s="127"/>
      <c r="K50" s="127"/>
      <c r="L50" s="127"/>
      <c r="M50" s="127">
        <v>1.4</v>
      </c>
      <c r="N50" s="127">
        <v>39.200000000000003</v>
      </c>
      <c r="O50" s="164"/>
      <c r="P50" s="24">
        <f t="shared" si="9"/>
        <v>380.8</v>
      </c>
      <c r="Q50" s="127">
        <f t="shared" si="6"/>
        <v>349.35779816513758</v>
      </c>
      <c r="R50" s="5">
        <f t="shared" si="22"/>
        <v>31.442201834862431</v>
      </c>
      <c r="S50" s="94">
        <f t="shared" si="23"/>
        <v>90.666666666666671</v>
      </c>
      <c r="T50" s="71"/>
      <c r="U50" s="61">
        <v>16.8</v>
      </c>
      <c r="V50" s="13">
        <f t="shared" si="25"/>
        <v>1523.2</v>
      </c>
      <c r="W50" s="112"/>
      <c r="X50" s="112"/>
    </row>
    <row r="51" spans="1:24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200.9</v>
      </c>
      <c r="F51" s="127">
        <v>8175.4</v>
      </c>
      <c r="G51" s="127">
        <v>959.4</v>
      </c>
      <c r="H51" s="127">
        <v>360.8</v>
      </c>
      <c r="I51" s="127"/>
      <c r="J51" s="127"/>
      <c r="K51" s="127"/>
      <c r="L51" s="127"/>
      <c r="M51" s="127">
        <v>45.1</v>
      </c>
      <c r="N51" s="127">
        <v>446.9</v>
      </c>
      <c r="O51" s="164"/>
      <c r="P51" s="24">
        <f t="shared" si="9"/>
        <v>10188.499999999998</v>
      </c>
      <c r="Q51" s="127">
        <f t="shared" si="6"/>
        <v>9347.2477064220166</v>
      </c>
      <c r="R51" s="5">
        <f t="shared" si="22"/>
        <v>841.25229357798162</v>
      </c>
      <c r="S51" s="94">
        <f t="shared" si="23"/>
        <v>248.49999999999994</v>
      </c>
      <c r="T51" s="71"/>
      <c r="U51" s="61"/>
      <c r="V51" s="13"/>
      <c r="W51" s="112"/>
      <c r="X51" s="112"/>
    </row>
    <row r="52" spans="1:24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2.0499999999999998</v>
      </c>
      <c r="F52" s="123">
        <v>731.85</v>
      </c>
      <c r="G52" s="123">
        <v>129.15</v>
      </c>
      <c r="H52" s="123">
        <v>28.7</v>
      </c>
      <c r="I52" s="123"/>
      <c r="J52" s="123"/>
      <c r="K52" s="123"/>
      <c r="L52" s="127"/>
      <c r="M52" s="127"/>
      <c r="N52" s="123">
        <v>49.2</v>
      </c>
      <c r="O52" s="164"/>
      <c r="P52" s="24">
        <f t="shared" si="9"/>
        <v>940.95</v>
      </c>
      <c r="Q52" s="127">
        <f t="shared" si="6"/>
        <v>863.25688073394497</v>
      </c>
      <c r="R52" s="5">
        <f t="shared" si="22"/>
        <v>77.693119266055078</v>
      </c>
      <c r="S52" s="94">
        <f t="shared" si="23"/>
        <v>45.900000000000006</v>
      </c>
      <c r="T52" s="71"/>
      <c r="U52" s="61">
        <v>20.5</v>
      </c>
      <c r="V52" s="13">
        <f t="shared" ref="V52:V53" si="26">+S52*U52</f>
        <v>940.95000000000016</v>
      </c>
      <c r="W52" s="112"/>
      <c r="X52" s="112"/>
    </row>
    <row r="53" spans="1:24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10.66</v>
      </c>
      <c r="F53" s="199">
        <f>0.82+1002.04</f>
        <v>1002.86</v>
      </c>
      <c r="G53" s="199">
        <v>159.9</v>
      </c>
      <c r="H53" s="199">
        <v>6.56</v>
      </c>
      <c r="I53" s="199"/>
      <c r="J53" s="199"/>
      <c r="K53" s="199"/>
      <c r="L53" s="199"/>
      <c r="M53" s="148"/>
      <c r="N53" s="199">
        <v>177.94</v>
      </c>
      <c r="O53" s="353"/>
      <c r="P53" s="359">
        <f t="shared" si="9"/>
        <v>1357.92</v>
      </c>
      <c r="Q53" s="140">
        <f t="shared" si="6"/>
        <v>1245.7981651376147</v>
      </c>
      <c r="R53" s="6">
        <f t="shared" si="22"/>
        <v>112.12183486238541</v>
      </c>
      <c r="S53" s="22">
        <f t="shared" si="23"/>
        <v>165.60000000000002</v>
      </c>
      <c r="T53" s="71"/>
      <c r="U53" s="61">
        <v>32.799999999999997</v>
      </c>
      <c r="V53" s="13">
        <f t="shared" si="26"/>
        <v>5431.68</v>
      </c>
      <c r="W53" s="112"/>
      <c r="X53" s="112"/>
    </row>
    <row r="54" spans="1:24" x14ac:dyDescent="0.25">
      <c r="F54" s="2"/>
      <c r="G54" s="2"/>
      <c r="H54" s="2"/>
      <c r="I54" s="2"/>
      <c r="J54" s="2"/>
      <c r="K54" s="2"/>
      <c r="L54" s="2"/>
      <c r="P54" s="2"/>
      <c r="Q54" s="2"/>
      <c r="R54" s="2"/>
      <c r="S54" s="2"/>
    </row>
    <row r="66" spans="2:2" x14ac:dyDescent="0.25">
      <c r="B66" s="1"/>
    </row>
  </sheetData>
  <mergeCells count="18">
    <mergeCell ref="V3:V4"/>
    <mergeCell ref="G3:G4"/>
    <mergeCell ref="H3:H4"/>
    <mergeCell ref="I3:I4"/>
    <mergeCell ref="J3:J4"/>
    <mergeCell ref="K3:L3"/>
    <mergeCell ref="M3:M4"/>
    <mergeCell ref="P3:P4"/>
    <mergeCell ref="Q3:Q4"/>
    <mergeCell ref="R3:R4"/>
    <mergeCell ref="S3:S4"/>
    <mergeCell ref="N3:O3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Y74"/>
  <sheetViews>
    <sheetView zoomScaleNormal="100" workbookViewId="0">
      <pane xSplit="4" ySplit="5" topLeftCell="I6" activePane="bottomRight" state="frozen"/>
      <selection pane="topRight" activeCell="E1" sqref="E1"/>
      <selection pane="bottomLeft" activeCell="A6" sqref="A6"/>
      <selection pane="bottomRight" activeCell="N22" sqref="N22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6640625" style="1" customWidth="1" outlineLevel="1"/>
    <col min="10" max="10" width="14.6640625" style="1" customWidth="1" outlineLevel="1"/>
    <col min="11" max="15" width="13" style="1" customWidth="1" outlineLevel="1"/>
    <col min="16" max="16" width="12.33203125" style="1" bestFit="1" customWidth="1"/>
    <col min="17" max="18" width="12.33203125" style="1" customWidth="1"/>
    <col min="19" max="19" width="12.33203125" style="1" bestFit="1" customWidth="1"/>
    <col min="20" max="20" width="3.109375" style="1" customWidth="1"/>
    <col min="21" max="21" width="5.109375" style="1" customWidth="1"/>
    <col min="22" max="22" width="13.109375" style="2" customWidth="1"/>
    <col min="23" max="23" width="11.33203125" style="1" bestFit="1" customWidth="1"/>
    <col min="24" max="24" width="8.88671875" style="141"/>
    <col min="25" max="16384" width="8.88671875" style="1"/>
  </cols>
  <sheetData>
    <row r="1" spans="1:25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25" s="141" customFormat="1" ht="19.2" customHeight="1" x14ac:dyDescent="0.3">
      <c r="A2" s="40" t="s">
        <v>325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"/>
      <c r="Q2" s="1"/>
      <c r="R2" s="1"/>
      <c r="S2" s="1"/>
      <c r="T2" s="1"/>
      <c r="U2" s="1"/>
      <c r="V2" s="2"/>
      <c r="W2" s="1"/>
      <c r="Y2" s="1"/>
    </row>
    <row r="3" spans="1:25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3"/>
      <c r="R3" s="1"/>
      <c r="S3" s="3"/>
      <c r="T3" s="1"/>
      <c r="U3" s="1"/>
      <c r="V3" s="2"/>
      <c r="W3" s="1"/>
      <c r="Y3" s="1"/>
    </row>
    <row r="4" spans="1:25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86" t="s">
        <v>178</v>
      </c>
      <c r="O4" s="598"/>
      <c r="P4" s="590" t="s">
        <v>43</v>
      </c>
      <c r="Q4" s="590" t="s">
        <v>44</v>
      </c>
      <c r="R4" s="590" t="s">
        <v>41</v>
      </c>
      <c r="S4" s="590" t="s">
        <v>149</v>
      </c>
      <c r="T4" s="1"/>
      <c r="U4" s="61"/>
      <c r="V4" s="584" t="s">
        <v>148</v>
      </c>
      <c r="W4" s="1"/>
      <c r="Y4" s="1"/>
    </row>
    <row r="5" spans="1:25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345</v>
      </c>
      <c r="M5" s="575"/>
      <c r="N5" s="254" t="s">
        <v>203</v>
      </c>
      <c r="O5" s="254" t="s">
        <v>348</v>
      </c>
      <c r="P5" s="591"/>
      <c r="Q5" s="592"/>
      <c r="R5" s="592"/>
      <c r="S5" s="592"/>
      <c r="T5" s="1"/>
      <c r="U5" s="87"/>
      <c r="V5" s="585"/>
      <c r="W5" s="1"/>
      <c r="Y5" s="1"/>
    </row>
    <row r="6" spans="1:25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S6" si="0">+E7+E19+E45</f>
        <v>116217.82</v>
      </c>
      <c r="F6" s="82">
        <f t="shared" si="0"/>
        <v>4506864.26</v>
      </c>
      <c r="G6" s="82">
        <f t="shared" si="0"/>
        <v>660699.28999999992</v>
      </c>
      <c r="H6" s="82">
        <f t="shared" si="0"/>
        <v>91952.920000000013</v>
      </c>
      <c r="I6" s="82">
        <f t="shared" si="0"/>
        <v>719225.85</v>
      </c>
      <c r="J6" s="187">
        <f t="shared" si="0"/>
        <v>1120810.95</v>
      </c>
      <c r="K6" s="187">
        <f t="shared" si="0"/>
        <v>997961.84</v>
      </c>
      <c r="L6" s="187">
        <f t="shared" si="0"/>
        <v>2141.3399999997841</v>
      </c>
      <c r="M6" s="187">
        <f t="shared" si="0"/>
        <v>37397.56</v>
      </c>
      <c r="N6" s="19">
        <f t="shared" si="0"/>
        <v>405335.77</v>
      </c>
      <c r="O6" s="19">
        <f t="shared" ref="O6" si="1">+O7+O19+O45</f>
        <v>834.8</v>
      </c>
      <c r="P6" s="42">
        <f>+SUM(E6:O6)</f>
        <v>8659442.4000000004</v>
      </c>
      <c r="Q6" s="42">
        <f t="shared" si="0"/>
        <v>7944442.5688073393</v>
      </c>
      <c r="R6" s="42">
        <f t="shared" si="0"/>
        <v>714999.83119266119</v>
      </c>
      <c r="S6" s="42">
        <f t="shared" si="0"/>
        <v>2450368.7666693768</v>
      </c>
      <c r="T6" s="71"/>
      <c r="U6" s="87"/>
      <c r="V6" s="135">
        <f>+V8+V19+V45</f>
        <v>4462487.8000000007</v>
      </c>
      <c r="W6" s="1"/>
      <c r="Y6" s="1"/>
    </row>
    <row r="7" spans="1:25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S7" si="2">+E8+E12</f>
        <v>37980.340000000004</v>
      </c>
      <c r="F7" s="82">
        <f t="shared" si="2"/>
        <v>1675570.0800000003</v>
      </c>
      <c r="G7" s="82">
        <f t="shared" si="2"/>
        <v>245206.09999999998</v>
      </c>
      <c r="H7" s="82">
        <f t="shared" si="2"/>
        <v>33089.680000000008</v>
      </c>
      <c r="I7" s="82">
        <f t="shared" si="2"/>
        <v>719225.85</v>
      </c>
      <c r="J7" s="187">
        <f t="shared" si="2"/>
        <v>1120810.95</v>
      </c>
      <c r="K7" s="187">
        <f t="shared" si="2"/>
        <v>997961.84</v>
      </c>
      <c r="L7" s="187">
        <f t="shared" si="2"/>
        <v>2141.3399999997841</v>
      </c>
      <c r="M7" s="187">
        <f t="shared" si="2"/>
        <v>16273.54</v>
      </c>
      <c r="N7" s="19">
        <f t="shared" si="2"/>
        <v>158104.28</v>
      </c>
      <c r="O7" s="19">
        <f t="shared" ref="O7" si="3">+O8+O12</f>
        <v>156</v>
      </c>
      <c r="P7" s="42">
        <f t="shared" ref="P7:P8" si="4">+SUM(E7:O7)</f>
        <v>5006520</v>
      </c>
      <c r="Q7" s="42">
        <f t="shared" si="2"/>
        <v>4593137.6146788988</v>
      </c>
      <c r="R7" s="42">
        <f t="shared" si="2"/>
        <v>413382.38532110106</v>
      </c>
      <c r="S7" s="44">
        <f t="shared" si="2"/>
        <v>2354728</v>
      </c>
      <c r="T7" s="1"/>
      <c r="U7" s="61"/>
      <c r="V7" s="13"/>
      <c r="W7" s="1"/>
      <c r="Y7" s="1"/>
    </row>
    <row r="8" spans="1:25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5">+SUM(E9:E11)</f>
        <v>0</v>
      </c>
      <c r="F8" s="219">
        <f t="shared" si="5"/>
        <v>0</v>
      </c>
      <c r="G8" s="79">
        <f t="shared" si="5"/>
        <v>0</v>
      </c>
      <c r="H8" s="79">
        <f t="shared" si="5"/>
        <v>0</v>
      </c>
      <c r="I8" s="126">
        <f t="shared" si="5"/>
        <v>719225.85</v>
      </c>
      <c r="J8" s="126">
        <f t="shared" si="5"/>
        <v>1120810.95</v>
      </c>
      <c r="K8" s="79">
        <f t="shared" si="5"/>
        <v>0</v>
      </c>
      <c r="L8" s="79">
        <f t="shared" si="5"/>
        <v>0</v>
      </c>
      <c r="M8" s="79">
        <f t="shared" ref="M8:S8" si="6">+SUM(M9:M11)</f>
        <v>0</v>
      </c>
      <c r="N8" s="354">
        <f t="shared" si="6"/>
        <v>0</v>
      </c>
      <c r="O8" s="354">
        <f t="shared" ref="O8" si="7">+SUM(O9:O11)</f>
        <v>0</v>
      </c>
      <c r="P8" s="43">
        <f t="shared" si="4"/>
        <v>1840036.7999999998</v>
      </c>
      <c r="Q8" s="43">
        <f t="shared" si="6"/>
        <v>1688107.1559633026</v>
      </c>
      <c r="R8" s="43">
        <f t="shared" si="6"/>
        <v>151929.64403669734</v>
      </c>
      <c r="S8" s="45">
        <f t="shared" si="6"/>
        <v>673750</v>
      </c>
      <c r="T8" s="71"/>
      <c r="U8" s="134"/>
      <c r="V8" s="105">
        <f>+SUM(V9:V18)</f>
        <v>1114825.6000000001</v>
      </c>
      <c r="X8" s="138"/>
    </row>
    <row r="9" spans="1:25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524251</v>
      </c>
      <c r="J9" s="127">
        <f>804356+26740</f>
        <v>831096</v>
      </c>
      <c r="K9" s="36"/>
      <c r="L9" s="36"/>
      <c r="M9" s="36"/>
      <c r="N9" s="36"/>
      <c r="O9" s="355"/>
      <c r="P9" s="24">
        <f>+SUM(E9:O9)</f>
        <v>1355347</v>
      </c>
      <c r="Q9" s="5">
        <f t="shared" ref="Q9:Q11" si="8">+P9/1.09</f>
        <v>1243437.6146788991</v>
      </c>
      <c r="R9" s="5">
        <f t="shared" ref="R9:R11" si="9">+P9-Q9</f>
        <v>111909.38532110094</v>
      </c>
      <c r="S9" s="21">
        <f>P9/D9</f>
        <v>387242</v>
      </c>
      <c r="T9" s="71"/>
      <c r="U9" s="61"/>
      <c r="V9" s="13"/>
      <c r="W9" s="2"/>
      <c r="Y9" s="1"/>
    </row>
    <row r="10" spans="1:25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10">+D9*0.5</f>
        <v>1.75</v>
      </c>
      <c r="E10" s="122"/>
      <c r="F10" s="17"/>
      <c r="G10" s="13"/>
      <c r="H10" s="13"/>
      <c r="I10" s="127">
        <v>191150.75</v>
      </c>
      <c r="J10" s="127">
        <f>276032.75+6373.5</f>
        <v>282406.25</v>
      </c>
      <c r="K10" s="143"/>
      <c r="L10" s="143"/>
      <c r="M10" s="143"/>
      <c r="N10" s="143"/>
      <c r="O10" s="350"/>
      <c r="P10" s="24">
        <f t="shared" ref="P10:P54" si="11">+SUM(E10:O10)</f>
        <v>473557</v>
      </c>
      <c r="Q10" s="5">
        <f t="shared" si="8"/>
        <v>434455.96330275224</v>
      </c>
      <c r="R10" s="5">
        <f t="shared" si="9"/>
        <v>39101.036697247764</v>
      </c>
      <c r="S10" s="21">
        <f>P10/D10</f>
        <v>270604</v>
      </c>
      <c r="T10" s="71"/>
      <c r="U10" s="61">
        <v>1.75</v>
      </c>
      <c r="V10" s="13">
        <f>+S10*U10</f>
        <v>473557</v>
      </c>
      <c r="W10" s="1"/>
      <c r="Y10" s="1"/>
    </row>
    <row r="11" spans="1:25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3824.1</v>
      </c>
      <c r="J11" s="144">
        <f>7196+112.7</f>
        <v>7308.7</v>
      </c>
      <c r="K11" s="144"/>
      <c r="L11" s="144"/>
      <c r="M11" s="144"/>
      <c r="N11" s="144"/>
      <c r="O11" s="350"/>
      <c r="P11" s="24">
        <f t="shared" si="11"/>
        <v>11132.8</v>
      </c>
      <c r="Q11" s="243">
        <f t="shared" si="8"/>
        <v>10213.577981651375</v>
      </c>
      <c r="R11" s="243">
        <f t="shared" si="9"/>
        <v>919.22201834862426</v>
      </c>
      <c r="S11" s="244">
        <f>P11/D11</f>
        <v>15904</v>
      </c>
      <c r="T11" s="71"/>
      <c r="U11" s="107">
        <v>2.8</v>
      </c>
      <c r="V11" s="13">
        <f>+S11*U11</f>
        <v>44531.199999999997</v>
      </c>
      <c r="W11" s="2"/>
      <c r="X11" s="138"/>
      <c r="Y11" s="2"/>
    </row>
    <row r="12" spans="1:25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09">
        <f t="shared" ref="E12:S12" si="12">+SUM(E13:E18)</f>
        <v>37980.340000000004</v>
      </c>
      <c r="F12" s="84">
        <f t="shared" si="12"/>
        <v>1675570.0800000003</v>
      </c>
      <c r="G12" s="84">
        <f t="shared" si="12"/>
        <v>245206.09999999998</v>
      </c>
      <c r="H12" s="84">
        <f t="shared" si="12"/>
        <v>33089.680000000008</v>
      </c>
      <c r="I12" s="84">
        <f t="shared" si="12"/>
        <v>0</v>
      </c>
      <c r="J12" s="74">
        <f t="shared" si="12"/>
        <v>0</v>
      </c>
      <c r="K12" s="101">
        <f t="shared" si="12"/>
        <v>997961.84</v>
      </c>
      <c r="L12" s="101">
        <f t="shared" si="12"/>
        <v>2141.3399999997841</v>
      </c>
      <c r="M12" s="101">
        <f t="shared" si="12"/>
        <v>16273.54</v>
      </c>
      <c r="N12" s="101">
        <f t="shared" si="12"/>
        <v>158104.28</v>
      </c>
      <c r="O12" s="101">
        <f t="shared" si="12"/>
        <v>156</v>
      </c>
      <c r="P12" s="43">
        <f t="shared" ref="P12" si="13">+SUM(P13:P18)</f>
        <v>3166483.1999999997</v>
      </c>
      <c r="Q12" s="43">
        <f t="shared" si="12"/>
        <v>2905030.4587155962</v>
      </c>
      <c r="R12" s="43">
        <f t="shared" si="12"/>
        <v>261452.74128440369</v>
      </c>
      <c r="S12" s="45">
        <f t="shared" si="12"/>
        <v>1680977.9999999998</v>
      </c>
      <c r="T12" s="71"/>
      <c r="U12" s="61"/>
      <c r="V12" s="13"/>
      <c r="W12" s="1"/>
      <c r="Y12" s="1"/>
    </row>
    <row r="13" spans="1:25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29902.400000000001</v>
      </c>
      <c r="F13" s="13">
        <v>1272656</v>
      </c>
      <c r="G13" s="13">
        <v>180276.8</v>
      </c>
      <c r="H13" s="13">
        <v>25205.4</v>
      </c>
      <c r="I13" s="13"/>
      <c r="J13" s="33"/>
      <c r="K13" s="33">
        <v>773614.6</v>
      </c>
      <c r="L13" s="305">
        <v>1592.7999999998137</v>
      </c>
      <c r="M13" s="33">
        <v>11160.6</v>
      </c>
      <c r="N13" s="127">
        <v>138947.6</v>
      </c>
      <c r="O13" s="164">
        <v>138.6</v>
      </c>
      <c r="P13" s="24">
        <f t="shared" si="11"/>
        <v>2433494.7999999998</v>
      </c>
      <c r="Q13" s="5">
        <f t="shared" ref="Q13:Q18" si="14">+P13/1.09</f>
        <v>2232564.0366972475</v>
      </c>
      <c r="R13" s="5">
        <f t="shared" ref="R13:R18" si="15">+P13-Q13</f>
        <v>200930.76330275228</v>
      </c>
      <c r="S13" s="21">
        <f t="shared" ref="S13:S18" si="16">P13/D13</f>
        <v>1106133.9999999998</v>
      </c>
      <c r="T13" s="2"/>
      <c r="U13" s="61"/>
      <c r="V13" s="13"/>
    </row>
    <row r="14" spans="1:25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7208.3</v>
      </c>
      <c r="F14" s="13">
        <v>374435.6</v>
      </c>
      <c r="G14" s="13">
        <v>59592.5</v>
      </c>
      <c r="H14" s="13">
        <v>7627.4</v>
      </c>
      <c r="I14" s="13"/>
      <c r="J14" s="33"/>
      <c r="K14" s="33">
        <v>79211</v>
      </c>
      <c r="L14" s="306">
        <v>141.90000000000873</v>
      </c>
      <c r="M14" s="33">
        <v>4821.3</v>
      </c>
      <c r="N14" s="127">
        <v>10758</v>
      </c>
      <c r="O14" s="164">
        <v>11</v>
      </c>
      <c r="P14" s="24">
        <f t="shared" si="11"/>
        <v>543807.00000000012</v>
      </c>
      <c r="Q14" s="5">
        <f t="shared" si="14"/>
        <v>498905.50458715606</v>
      </c>
      <c r="R14" s="5">
        <f t="shared" si="15"/>
        <v>44901.495412844059</v>
      </c>
      <c r="S14" s="21">
        <f t="shared" si="16"/>
        <v>494370.00000000006</v>
      </c>
      <c r="T14" s="71"/>
      <c r="U14" s="107">
        <v>1.1000000000000001</v>
      </c>
      <c r="V14" s="13">
        <f t="shared" ref="V14:V15" si="17">+S14*U14</f>
        <v>543807.00000000012</v>
      </c>
    </row>
    <row r="15" spans="1:25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94.6</v>
      </c>
      <c r="F15" s="13">
        <v>4247.76</v>
      </c>
      <c r="G15" s="13">
        <v>635.36</v>
      </c>
      <c r="H15" s="13">
        <v>106.48</v>
      </c>
      <c r="I15" s="13"/>
      <c r="J15" s="33"/>
      <c r="K15" s="33">
        <v>1437.04</v>
      </c>
      <c r="L15" s="306">
        <v>4.3999999999998636</v>
      </c>
      <c r="M15" s="33">
        <v>70.84</v>
      </c>
      <c r="N15" s="127">
        <v>181.72</v>
      </c>
      <c r="O15" s="164"/>
      <c r="P15" s="24">
        <f t="shared" si="11"/>
        <v>6778.2</v>
      </c>
      <c r="Q15" s="5">
        <f t="shared" si="14"/>
        <v>6218.5321100917427</v>
      </c>
      <c r="R15" s="5">
        <f t="shared" si="15"/>
        <v>559.66788990825717</v>
      </c>
      <c r="S15" s="21">
        <f t="shared" si="16"/>
        <v>15405</v>
      </c>
      <c r="T15" s="71"/>
      <c r="U15" s="61">
        <v>1.76</v>
      </c>
      <c r="V15" s="13">
        <f t="shared" si="17"/>
        <v>27112.799999999999</v>
      </c>
    </row>
    <row r="16" spans="1:25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585.6</v>
      </c>
      <c r="F16" s="13">
        <v>19200</v>
      </c>
      <c r="G16" s="13">
        <v>3600</v>
      </c>
      <c r="H16" s="13">
        <v>73.599999999999994</v>
      </c>
      <c r="I16" s="13"/>
      <c r="J16" s="33"/>
      <c r="K16" s="33">
        <v>126585.60000000001</v>
      </c>
      <c r="L16" s="306">
        <v>358.39999999996508</v>
      </c>
      <c r="M16" s="33">
        <v>192</v>
      </c>
      <c r="N16" s="127">
        <v>7366.4</v>
      </c>
      <c r="O16" s="164">
        <v>6.4</v>
      </c>
      <c r="P16" s="24">
        <f t="shared" si="11"/>
        <v>157967.99999999994</v>
      </c>
      <c r="Q16" s="5">
        <f t="shared" si="14"/>
        <v>144924.77064220177</v>
      </c>
      <c r="R16" s="5">
        <f t="shared" si="15"/>
        <v>13043.229357798176</v>
      </c>
      <c r="S16" s="21">
        <f t="shared" si="16"/>
        <v>49364.999999999978</v>
      </c>
      <c r="T16" s="71"/>
      <c r="U16" s="61"/>
      <c r="V16" s="13"/>
    </row>
    <row r="17" spans="1:25" ht="15" x14ac:dyDescent="0.25">
      <c r="A17" s="58" t="s">
        <v>59</v>
      </c>
      <c r="B17" s="53" t="s">
        <v>193</v>
      </c>
      <c r="C17" s="59" t="s">
        <v>94</v>
      </c>
      <c r="D17" s="62">
        <v>1.6</v>
      </c>
      <c r="E17" s="130">
        <v>188.8</v>
      </c>
      <c r="F17" s="13">
        <v>4945.6000000000004</v>
      </c>
      <c r="G17" s="13">
        <v>1081.5999999999999</v>
      </c>
      <c r="H17" s="13">
        <v>76.8</v>
      </c>
      <c r="I17" s="13"/>
      <c r="J17" s="33"/>
      <c r="K17" s="33">
        <v>16784</v>
      </c>
      <c r="L17" s="306">
        <v>43.19999999999709</v>
      </c>
      <c r="M17" s="33">
        <v>16</v>
      </c>
      <c r="N17" s="127">
        <v>838.4</v>
      </c>
      <c r="O17" s="164"/>
      <c r="P17" s="24">
        <f t="shared" si="11"/>
        <v>23974.399999999998</v>
      </c>
      <c r="Q17" s="5">
        <f t="shared" si="14"/>
        <v>21994.862385321096</v>
      </c>
      <c r="R17" s="5">
        <f t="shared" si="15"/>
        <v>1979.5376146789022</v>
      </c>
      <c r="S17" s="21">
        <f t="shared" si="16"/>
        <v>14983.999999999998</v>
      </c>
      <c r="T17" s="71"/>
      <c r="U17" s="107">
        <v>1.6</v>
      </c>
      <c r="V17" s="13">
        <f t="shared" ref="V17:V18" si="18">+S17*U17</f>
        <v>23974.399999999998</v>
      </c>
    </row>
    <row r="18" spans="1:25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2">
        <v>0.64</v>
      </c>
      <c r="F18" s="14">
        <v>85.12</v>
      </c>
      <c r="G18" s="13">
        <v>19.84</v>
      </c>
      <c r="H18" s="14">
        <v>0</v>
      </c>
      <c r="I18" s="14"/>
      <c r="J18" s="76"/>
      <c r="K18" s="76">
        <v>329.6</v>
      </c>
      <c r="L18" s="307">
        <v>0.63999999999998636</v>
      </c>
      <c r="M18" s="76">
        <v>12.8</v>
      </c>
      <c r="N18" s="127">
        <v>12.16</v>
      </c>
      <c r="O18" s="164"/>
      <c r="P18" s="24">
        <f t="shared" si="11"/>
        <v>460.80000000000007</v>
      </c>
      <c r="Q18" s="5">
        <f t="shared" si="14"/>
        <v>422.75229357798167</v>
      </c>
      <c r="R18" s="5">
        <f t="shared" si="15"/>
        <v>38.047706422018393</v>
      </c>
      <c r="S18" s="22">
        <f t="shared" si="16"/>
        <v>720.00000000000011</v>
      </c>
      <c r="T18" s="71"/>
      <c r="U18" s="61">
        <v>2.56</v>
      </c>
      <c r="V18" s="13">
        <f t="shared" si="18"/>
        <v>1843.2000000000003</v>
      </c>
    </row>
    <row r="19" spans="1:25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74692.800000000003</v>
      </c>
      <c r="F19" s="118">
        <f t="shared" ref="F19:S19" si="19">+SUM(F20:F44)</f>
        <v>2682779.12</v>
      </c>
      <c r="G19" s="118">
        <f t="shared" si="19"/>
        <v>392390.99</v>
      </c>
      <c r="H19" s="118">
        <f t="shared" si="19"/>
        <v>55461.9</v>
      </c>
      <c r="I19" s="118">
        <f t="shared" si="19"/>
        <v>0</v>
      </c>
      <c r="J19" s="118">
        <f t="shared" si="19"/>
        <v>0</v>
      </c>
      <c r="K19" s="118">
        <f t="shared" si="19"/>
        <v>0</v>
      </c>
      <c r="L19" s="118">
        <f t="shared" si="19"/>
        <v>0</v>
      </c>
      <c r="M19" s="118">
        <f t="shared" si="19"/>
        <v>20136.600000000002</v>
      </c>
      <c r="N19" s="118">
        <f t="shared" si="19"/>
        <v>231130.29</v>
      </c>
      <c r="O19" s="118">
        <f t="shared" si="19"/>
        <v>674</v>
      </c>
      <c r="P19" s="42">
        <f>+SUM(P20:P44)</f>
        <v>3457265.7</v>
      </c>
      <c r="Q19" s="118">
        <f t="shared" si="19"/>
        <v>3171803.3944954127</v>
      </c>
      <c r="R19" s="118">
        <f t="shared" si="19"/>
        <v>285462.3055045876</v>
      </c>
      <c r="S19" s="253">
        <f t="shared" si="19"/>
        <v>65461.734555555558</v>
      </c>
      <c r="T19" s="71"/>
      <c r="U19" s="61"/>
      <c r="V19" s="105">
        <f>+SUM(V20:V43)</f>
        <v>3049195.2500000005</v>
      </c>
    </row>
    <row r="20" spans="1:25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46903.33</v>
      </c>
      <c r="F20" s="92">
        <v>1542353.34</v>
      </c>
      <c r="G20" s="92">
        <v>216680</v>
      </c>
      <c r="H20" s="92">
        <v>30893.33</v>
      </c>
      <c r="I20" s="23"/>
      <c r="J20" s="34"/>
      <c r="K20" s="34"/>
      <c r="L20" s="34"/>
      <c r="M20" s="34">
        <v>12670</v>
      </c>
      <c r="N20" s="367">
        <f>125686.67-20-13.33</f>
        <v>125653.34</v>
      </c>
      <c r="O20" s="356">
        <v>200</v>
      </c>
      <c r="P20" s="24">
        <f t="shared" si="11"/>
        <v>1975353.3400000003</v>
      </c>
      <c r="Q20" s="99">
        <f t="shared" ref="Q20:Q44" si="20">+P20/1.09</f>
        <v>1812250.7706422019</v>
      </c>
      <c r="R20" s="24">
        <f>+P20-Q20</f>
        <v>163102.56935779843</v>
      </c>
      <c r="S20" s="94">
        <f t="shared" ref="S20:S43" si="21">P20/D20</f>
        <v>19753.533400000004</v>
      </c>
      <c r="T20" s="41"/>
      <c r="U20" s="61"/>
      <c r="V20" s="106"/>
      <c r="W20"/>
      <c r="X20" s="142"/>
      <c r="Y20"/>
    </row>
    <row r="21" spans="1:25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6941.67</v>
      </c>
      <c r="F21" s="48">
        <v>418815</v>
      </c>
      <c r="G21" s="48">
        <v>57383.33</v>
      </c>
      <c r="H21" s="48">
        <v>10626.66</v>
      </c>
      <c r="I21" s="13"/>
      <c r="J21" s="33"/>
      <c r="K21" s="33"/>
      <c r="L21" s="33"/>
      <c r="M21" s="33">
        <v>4278.33</v>
      </c>
      <c r="N21" s="36">
        <v>7265</v>
      </c>
      <c r="O21" s="357"/>
      <c r="P21" s="24">
        <f t="shared" si="11"/>
        <v>505309.99</v>
      </c>
      <c r="Q21" s="5">
        <f t="shared" si="20"/>
        <v>463587.14678899077</v>
      </c>
      <c r="R21" s="5">
        <f t="shared" ref="R21:R44" si="22">+P21-Q21</f>
        <v>41722.843211009225</v>
      </c>
      <c r="S21" s="21">
        <f t="shared" si="21"/>
        <v>10106.1998</v>
      </c>
      <c r="T21" s="41"/>
      <c r="U21" s="61">
        <v>50</v>
      </c>
      <c r="V21" s="13">
        <f t="shared" ref="V21:V22" si="23">+S21*U21</f>
        <v>505309.99</v>
      </c>
      <c r="X21" s="142"/>
    </row>
    <row r="22" spans="1:25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f>795.33+11726.67</f>
        <v>12522</v>
      </c>
      <c r="F22" s="95">
        <f>5125.33+460270</f>
        <v>465395.33</v>
      </c>
      <c r="G22" s="95">
        <f>694+78440.67</f>
        <v>79134.67</v>
      </c>
      <c r="H22" s="95">
        <v>6088.67</v>
      </c>
      <c r="I22" s="13"/>
      <c r="J22" s="33"/>
      <c r="K22" s="33"/>
      <c r="L22" s="33"/>
      <c r="M22" s="33">
        <f>149.33+2122.67</f>
        <v>2272</v>
      </c>
      <c r="N22" s="36">
        <f>492+52478.67+20</f>
        <v>52990.67</v>
      </c>
      <c r="O22" s="357">
        <v>420</v>
      </c>
      <c r="P22" s="24">
        <f t="shared" si="11"/>
        <v>618823.34000000008</v>
      </c>
      <c r="Q22" s="5">
        <f t="shared" si="20"/>
        <v>567727.83486238541</v>
      </c>
      <c r="R22" s="5">
        <f t="shared" si="22"/>
        <v>51095.505137614673</v>
      </c>
      <c r="S22" s="21">
        <f t="shared" si="21"/>
        <v>30941.167000000005</v>
      </c>
      <c r="T22" s="41"/>
      <c r="U22" s="61">
        <v>80</v>
      </c>
      <c r="V22" s="13">
        <f t="shared" si="23"/>
        <v>2475293.3600000003</v>
      </c>
      <c r="W22" s="112">
        <f>+S22+R_2014_5_iškelta!S21</f>
        <v>51751.000000000007</v>
      </c>
      <c r="X22" s="142"/>
    </row>
    <row r="23" spans="1:25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7503</v>
      </c>
      <c r="F23" s="95">
        <v>234156</v>
      </c>
      <c r="G23" s="95">
        <v>35946</v>
      </c>
      <c r="H23" s="95">
        <v>6882</v>
      </c>
      <c r="I23" s="13"/>
      <c r="J23" s="33"/>
      <c r="K23" s="33"/>
      <c r="L23" s="33"/>
      <c r="M23" s="33">
        <v>750</v>
      </c>
      <c r="N23" s="33">
        <f>39861-27</f>
        <v>39834</v>
      </c>
      <c r="O23" s="357"/>
      <c r="P23" s="24">
        <f t="shared" si="11"/>
        <v>325071</v>
      </c>
      <c r="Q23" s="5">
        <f t="shared" si="20"/>
        <v>298230.27522935777</v>
      </c>
      <c r="R23" s="5">
        <f t="shared" si="22"/>
        <v>26840.724770642235</v>
      </c>
      <c r="S23" s="21">
        <f t="shared" si="21"/>
        <v>3611.9</v>
      </c>
      <c r="T23" s="41"/>
      <c r="U23" s="61"/>
      <c r="V23" s="13"/>
      <c r="X23" s="142"/>
    </row>
    <row r="24" spans="1:25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403.5</v>
      </c>
      <c r="F24" s="95">
        <v>12903</v>
      </c>
      <c r="G24" s="95">
        <v>1977</v>
      </c>
      <c r="H24" s="95">
        <v>613.5</v>
      </c>
      <c r="I24" s="13"/>
      <c r="J24" s="33"/>
      <c r="K24" s="33"/>
      <c r="L24" s="33"/>
      <c r="M24" s="33">
        <v>64.5</v>
      </c>
      <c r="N24" s="33">
        <v>1263</v>
      </c>
      <c r="O24" s="357"/>
      <c r="P24" s="24">
        <f t="shared" si="11"/>
        <v>17224.5</v>
      </c>
      <c r="Q24" s="5">
        <f t="shared" si="20"/>
        <v>15802.293577981651</v>
      </c>
      <c r="R24" s="5">
        <f t="shared" si="22"/>
        <v>1422.2064220183493</v>
      </c>
      <c r="S24" s="21">
        <f t="shared" si="21"/>
        <v>382.76666666666665</v>
      </c>
      <c r="T24" s="35"/>
      <c r="U24" s="61">
        <v>45</v>
      </c>
      <c r="V24" s="13">
        <f t="shared" ref="V24:V25" si="24">+S24*U24</f>
        <v>17224.5</v>
      </c>
      <c r="X24" s="142"/>
    </row>
    <row r="25" spans="1:25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f>37.8+358.8</f>
        <v>396.6</v>
      </c>
      <c r="F25" s="95">
        <f>24+6741</f>
        <v>6765</v>
      </c>
      <c r="G25" s="95">
        <f>11.4+1098.6</f>
        <v>1110</v>
      </c>
      <c r="H25" s="95">
        <v>110.4</v>
      </c>
      <c r="I25" s="13"/>
      <c r="J25" s="33"/>
      <c r="K25" s="33"/>
      <c r="L25" s="33"/>
      <c r="M25" s="33">
        <f>17.4+81.6</f>
        <v>99</v>
      </c>
      <c r="N25" s="33">
        <f>111+2070</f>
        <v>2181</v>
      </c>
      <c r="O25" s="357">
        <v>54</v>
      </c>
      <c r="P25" s="24">
        <f t="shared" si="11"/>
        <v>10716</v>
      </c>
      <c r="Q25" s="5">
        <f t="shared" si="20"/>
        <v>9831.1926605504577</v>
      </c>
      <c r="R25" s="5">
        <f t="shared" si="22"/>
        <v>884.80733944954227</v>
      </c>
      <c r="S25" s="21">
        <f t="shared" si="21"/>
        <v>595.33333333333337</v>
      </c>
      <c r="T25" s="35"/>
      <c r="U25" s="61">
        <v>72</v>
      </c>
      <c r="V25" s="13">
        <f t="shared" si="24"/>
        <v>42864</v>
      </c>
      <c r="X25" s="142"/>
    </row>
    <row r="26" spans="1:25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/>
      <c r="F26" s="95">
        <v>723.33</v>
      </c>
      <c r="G26" s="95"/>
      <c r="H26" s="95"/>
      <c r="I26" s="13"/>
      <c r="J26" s="33"/>
      <c r="K26" s="33"/>
      <c r="L26" s="33"/>
      <c r="M26" s="33"/>
      <c r="N26" s="33">
        <v>633.33000000000004</v>
      </c>
      <c r="O26" s="357"/>
      <c r="P26" s="24">
        <f t="shared" si="11"/>
        <v>1356.66</v>
      </c>
      <c r="Q26" s="5">
        <f t="shared" si="20"/>
        <v>1244.6422018348624</v>
      </c>
      <c r="R26" s="5">
        <f t="shared" si="22"/>
        <v>112.01779816513772</v>
      </c>
      <c r="S26" s="21">
        <f t="shared" si="21"/>
        <v>4.5222000000000007</v>
      </c>
      <c r="T26" s="35"/>
      <c r="U26" s="61"/>
      <c r="V26" s="13"/>
      <c r="X26" s="142"/>
    </row>
    <row r="27" spans="1:25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448.33</v>
      </c>
      <c r="G27" s="95">
        <v>80</v>
      </c>
      <c r="H27" s="95">
        <v>48.33</v>
      </c>
      <c r="I27" s="13"/>
      <c r="J27" s="33"/>
      <c r="K27" s="33"/>
      <c r="L27" s="33"/>
      <c r="M27" s="33"/>
      <c r="N27" s="33">
        <v>131.66999999999999</v>
      </c>
      <c r="O27" s="357"/>
      <c r="P27" s="24">
        <f t="shared" si="11"/>
        <v>708.32999999999993</v>
      </c>
      <c r="Q27" s="5">
        <f t="shared" si="20"/>
        <v>649.84403669724759</v>
      </c>
      <c r="R27" s="5">
        <f t="shared" si="22"/>
        <v>58.485963302752339</v>
      </c>
      <c r="S27" s="21">
        <f t="shared" si="21"/>
        <v>4.7222</v>
      </c>
      <c r="T27" s="35"/>
      <c r="U27" s="61">
        <v>150</v>
      </c>
      <c r="V27" s="13">
        <f t="shared" ref="V27:V43" si="25">+S27*U27</f>
        <v>708.33</v>
      </c>
      <c r="X27" s="142"/>
    </row>
    <row r="28" spans="1:25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19.329999999999998</v>
      </c>
      <c r="F28" s="95">
        <f>2+806</f>
        <v>808</v>
      </c>
      <c r="G28" s="95">
        <v>52.67</v>
      </c>
      <c r="H28" s="95">
        <v>30</v>
      </c>
      <c r="I28" s="13"/>
      <c r="J28" s="33"/>
      <c r="K28" s="33"/>
      <c r="L28" s="33"/>
      <c r="M28" s="33"/>
      <c r="N28" s="33">
        <f>10+832</f>
        <v>842</v>
      </c>
      <c r="O28" s="357"/>
      <c r="P28" s="24">
        <f t="shared" si="11"/>
        <v>1752</v>
      </c>
      <c r="Q28" s="5">
        <f t="shared" si="20"/>
        <v>1607.3394495412842</v>
      </c>
      <c r="R28" s="5">
        <f t="shared" si="22"/>
        <v>144.66055045871576</v>
      </c>
      <c r="S28" s="21">
        <f t="shared" si="21"/>
        <v>29.2</v>
      </c>
      <c r="T28" s="35"/>
      <c r="U28" s="61">
        <v>240</v>
      </c>
      <c r="V28" s="13">
        <f t="shared" si="25"/>
        <v>7008</v>
      </c>
      <c r="X28" s="142"/>
    </row>
    <row r="29" spans="1:25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135</v>
      </c>
      <c r="G29" s="95"/>
      <c r="H29" s="95">
        <v>54</v>
      </c>
      <c r="I29" s="13"/>
      <c r="J29" s="33"/>
      <c r="K29" s="33"/>
      <c r="L29" s="33"/>
      <c r="M29" s="33"/>
      <c r="N29" s="33">
        <v>63</v>
      </c>
      <c r="O29" s="357"/>
      <c r="P29" s="24">
        <f t="shared" si="11"/>
        <v>252</v>
      </c>
      <c r="Q29" s="5">
        <f t="shared" si="20"/>
        <v>231.1926605504587</v>
      </c>
      <c r="R29" s="5">
        <f t="shared" si="22"/>
        <v>20.807339449541303</v>
      </c>
      <c r="S29" s="21">
        <f t="shared" si="21"/>
        <v>0.93333333333333335</v>
      </c>
      <c r="T29" s="35"/>
      <c r="U29" s="61"/>
      <c r="V29" s="13"/>
      <c r="X29" s="142"/>
    </row>
    <row r="30" spans="1:25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/>
      <c r="G30" s="95"/>
      <c r="H30" s="95">
        <v>9</v>
      </c>
      <c r="I30" s="13"/>
      <c r="J30" s="33"/>
      <c r="K30" s="33"/>
      <c r="L30" s="33"/>
      <c r="M30" s="33"/>
      <c r="N30" s="33"/>
      <c r="O30" s="357"/>
      <c r="P30" s="24">
        <f t="shared" si="11"/>
        <v>9</v>
      </c>
      <c r="Q30" s="5">
        <f t="shared" si="20"/>
        <v>8.2568807339449535</v>
      </c>
      <c r="R30" s="5">
        <f t="shared" si="22"/>
        <v>0.74311926605504652</v>
      </c>
      <c r="S30" s="21">
        <f t="shared" si="21"/>
        <v>6.6666666666666666E-2</v>
      </c>
      <c r="T30" s="35"/>
      <c r="U30" s="61">
        <v>135</v>
      </c>
      <c r="V30" s="13">
        <f t="shared" si="25"/>
        <v>9</v>
      </c>
      <c r="X30" s="142"/>
    </row>
    <row r="31" spans="1:25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/>
      <c r="F31" s="95"/>
      <c r="G31" s="95"/>
      <c r="H31" s="95"/>
      <c r="I31" s="13"/>
      <c r="J31" s="33"/>
      <c r="K31" s="33"/>
      <c r="L31" s="33"/>
      <c r="M31" s="33"/>
      <c r="N31" s="33">
        <f>54-17.4</f>
        <v>36.6</v>
      </c>
      <c r="O31" s="357"/>
      <c r="P31" s="24">
        <f t="shared" si="11"/>
        <v>36.6</v>
      </c>
      <c r="Q31" s="5">
        <f t="shared" si="20"/>
        <v>33.577981651376149</v>
      </c>
      <c r="R31" s="5">
        <f t="shared" si="22"/>
        <v>3.0220183486238525</v>
      </c>
      <c r="S31" s="21">
        <f t="shared" si="21"/>
        <v>0.67777777777777781</v>
      </c>
      <c r="T31" s="35"/>
      <c r="U31" s="61">
        <v>216</v>
      </c>
      <c r="V31" s="13">
        <f t="shared" si="25"/>
        <v>146.4</v>
      </c>
      <c r="X31" s="142"/>
    </row>
    <row r="32" spans="1:25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/>
      <c r="G32" s="95"/>
      <c r="H32" s="95"/>
      <c r="I32" s="13"/>
      <c r="J32" s="33"/>
      <c r="K32" s="33"/>
      <c r="L32" s="33"/>
      <c r="M32" s="33"/>
      <c r="N32" s="33"/>
      <c r="O32" s="357"/>
      <c r="P32" s="24">
        <f t="shared" si="11"/>
        <v>0</v>
      </c>
      <c r="Q32" s="5">
        <f t="shared" si="20"/>
        <v>0</v>
      </c>
      <c r="R32" s="5">
        <f t="shared" si="22"/>
        <v>0</v>
      </c>
      <c r="S32" s="21">
        <f t="shared" si="21"/>
        <v>0</v>
      </c>
      <c r="T32" s="35"/>
      <c r="U32" s="61"/>
      <c r="V32" s="13"/>
      <c r="X32" s="142"/>
    </row>
    <row r="33" spans="1:25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/>
      <c r="G33" s="95"/>
      <c r="H33" s="95">
        <v>61.67</v>
      </c>
      <c r="I33" s="13"/>
      <c r="J33" s="33"/>
      <c r="K33" s="33"/>
      <c r="L33" s="33"/>
      <c r="M33" s="33"/>
      <c r="N33" s="33"/>
      <c r="O33" s="357"/>
      <c r="P33" s="24">
        <f t="shared" si="11"/>
        <v>61.67</v>
      </c>
      <c r="Q33" s="5">
        <f t="shared" si="20"/>
        <v>56.577981651376142</v>
      </c>
      <c r="R33" s="5">
        <f t="shared" si="22"/>
        <v>5.0920183486238599</v>
      </c>
      <c r="S33" s="21">
        <f t="shared" si="21"/>
        <v>0.20556666666666668</v>
      </c>
      <c r="T33" s="35"/>
      <c r="U33" s="61">
        <v>300</v>
      </c>
      <c r="V33" s="13">
        <f t="shared" si="25"/>
        <v>61.67</v>
      </c>
      <c r="X33" s="142"/>
    </row>
    <row r="34" spans="1:25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/>
      <c r="F34" s="95">
        <v>41.33</v>
      </c>
      <c r="G34" s="95"/>
      <c r="H34" s="95"/>
      <c r="I34" s="13"/>
      <c r="J34" s="33"/>
      <c r="K34" s="33"/>
      <c r="L34" s="33"/>
      <c r="M34" s="33"/>
      <c r="N34" s="33">
        <v>67.33</v>
      </c>
      <c r="O34" s="357"/>
      <c r="P34" s="24">
        <f t="shared" si="11"/>
        <v>108.66</v>
      </c>
      <c r="Q34" s="5">
        <f t="shared" si="20"/>
        <v>99.688073394495405</v>
      </c>
      <c r="R34" s="5">
        <f t="shared" si="22"/>
        <v>8.9719266055045921</v>
      </c>
      <c r="S34" s="21">
        <f t="shared" si="21"/>
        <v>0.90549999999999997</v>
      </c>
      <c r="T34" s="35"/>
      <c r="U34" s="61">
        <v>480</v>
      </c>
      <c r="V34" s="13">
        <f t="shared" si="25"/>
        <v>434.64</v>
      </c>
      <c r="X34" s="142"/>
    </row>
    <row r="35" spans="1:25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33">
        <v>150</v>
      </c>
      <c r="O35" s="357"/>
      <c r="P35" s="24">
        <f t="shared" si="11"/>
        <v>150</v>
      </c>
      <c r="Q35" s="5">
        <f t="shared" si="20"/>
        <v>137.61467889908255</v>
      </c>
      <c r="R35" s="5">
        <f t="shared" si="22"/>
        <v>12.385321100917452</v>
      </c>
      <c r="S35" s="21">
        <f t="shared" si="21"/>
        <v>0.27777777777777779</v>
      </c>
      <c r="T35" s="35"/>
      <c r="U35" s="61"/>
      <c r="V35" s="13"/>
      <c r="X35" s="142"/>
    </row>
    <row r="36" spans="1:25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33"/>
      <c r="O36" s="357"/>
      <c r="P36" s="24">
        <f t="shared" si="11"/>
        <v>0</v>
      </c>
      <c r="Q36" s="5">
        <f t="shared" si="20"/>
        <v>0</v>
      </c>
      <c r="R36" s="5">
        <f t="shared" si="22"/>
        <v>0</v>
      </c>
      <c r="S36" s="21">
        <f t="shared" si="21"/>
        <v>0</v>
      </c>
      <c r="T36" s="35"/>
      <c r="U36" s="61">
        <v>270</v>
      </c>
      <c r="V36" s="13">
        <f t="shared" si="25"/>
        <v>0</v>
      </c>
      <c r="X36" s="142"/>
    </row>
    <row r="37" spans="1:25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/>
      <c r="I37" s="13"/>
      <c r="J37" s="33"/>
      <c r="K37" s="33"/>
      <c r="L37" s="33"/>
      <c r="M37" s="33"/>
      <c r="N37" s="33"/>
      <c r="O37" s="357"/>
      <c r="P37" s="24">
        <f t="shared" si="11"/>
        <v>0</v>
      </c>
      <c r="Q37" s="5">
        <f t="shared" si="20"/>
        <v>0</v>
      </c>
      <c r="R37" s="5">
        <f t="shared" si="22"/>
        <v>0</v>
      </c>
      <c r="S37" s="21">
        <f t="shared" si="21"/>
        <v>0</v>
      </c>
      <c r="T37" s="35"/>
      <c r="U37" s="61">
        <v>432</v>
      </c>
      <c r="V37" s="13">
        <f t="shared" si="25"/>
        <v>0</v>
      </c>
      <c r="X37" s="142"/>
    </row>
    <row r="38" spans="1:25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/>
      <c r="I38" s="13"/>
      <c r="J38" s="33"/>
      <c r="K38" s="33"/>
      <c r="L38" s="33"/>
      <c r="M38" s="33"/>
      <c r="N38" s="33"/>
      <c r="O38" s="357"/>
      <c r="P38" s="24">
        <f t="shared" si="11"/>
        <v>0</v>
      </c>
      <c r="Q38" s="5">
        <f t="shared" si="20"/>
        <v>0</v>
      </c>
      <c r="R38" s="5">
        <f t="shared" si="22"/>
        <v>0</v>
      </c>
      <c r="S38" s="21">
        <f t="shared" si="21"/>
        <v>0</v>
      </c>
      <c r="T38" s="35"/>
      <c r="U38" s="61"/>
      <c r="V38" s="13"/>
      <c r="X38" s="142"/>
    </row>
    <row r="39" spans="1:25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>
        <v>10</v>
      </c>
      <c r="G39" s="95"/>
      <c r="H39" s="95"/>
      <c r="I39" s="13"/>
      <c r="J39" s="33"/>
      <c r="K39" s="33"/>
      <c r="L39" s="33"/>
      <c r="M39" s="33"/>
      <c r="N39" s="33"/>
      <c r="O39" s="357"/>
      <c r="P39" s="24">
        <f t="shared" si="11"/>
        <v>10</v>
      </c>
      <c r="Q39" s="5">
        <f t="shared" si="20"/>
        <v>9.1743119266055047</v>
      </c>
      <c r="R39" s="5">
        <f t="shared" si="22"/>
        <v>0.82568807339449535</v>
      </c>
      <c r="S39" s="21">
        <f t="shared" si="21"/>
        <v>2.2222222222222223E-2</v>
      </c>
      <c r="T39" s="35"/>
      <c r="U39" s="61">
        <v>450</v>
      </c>
      <c r="V39" s="13">
        <f t="shared" si="25"/>
        <v>10</v>
      </c>
      <c r="X39" s="142"/>
    </row>
    <row r="40" spans="1:25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95"/>
      <c r="G40" s="95"/>
      <c r="H40" s="95">
        <v>12.67</v>
      </c>
      <c r="I40" s="13"/>
      <c r="J40" s="33"/>
      <c r="K40" s="33"/>
      <c r="L40" s="33"/>
      <c r="M40" s="33"/>
      <c r="N40" s="33">
        <v>18.670000000000002</v>
      </c>
      <c r="O40" s="357"/>
      <c r="P40" s="24">
        <f t="shared" si="11"/>
        <v>31.340000000000003</v>
      </c>
      <c r="Q40" s="5">
        <f t="shared" si="20"/>
        <v>28.752293577981654</v>
      </c>
      <c r="R40" s="5">
        <f t="shared" si="22"/>
        <v>2.5877064220183499</v>
      </c>
      <c r="S40" s="21">
        <f t="shared" si="21"/>
        <v>0.17411111111111113</v>
      </c>
      <c r="T40" s="35"/>
      <c r="U40" s="61">
        <v>720</v>
      </c>
      <c r="V40" s="13">
        <f t="shared" si="25"/>
        <v>125.36000000000001</v>
      </c>
      <c r="X40" s="142"/>
    </row>
    <row r="41" spans="1:25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33"/>
      <c r="O41" s="357"/>
      <c r="P41" s="24">
        <f t="shared" si="11"/>
        <v>0</v>
      </c>
      <c r="Q41" s="5">
        <f t="shared" si="20"/>
        <v>0</v>
      </c>
      <c r="R41" s="5">
        <f t="shared" si="22"/>
        <v>0</v>
      </c>
      <c r="S41" s="21">
        <f t="shared" si="21"/>
        <v>0</v>
      </c>
      <c r="T41" s="71"/>
      <c r="U41" s="61"/>
      <c r="V41" s="13"/>
      <c r="X41" s="142"/>
    </row>
    <row r="42" spans="1:25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33"/>
      <c r="O42" s="357"/>
      <c r="P42" s="24">
        <f t="shared" si="11"/>
        <v>0</v>
      </c>
      <c r="Q42" s="5">
        <f t="shared" si="20"/>
        <v>0</v>
      </c>
      <c r="R42" s="5">
        <f t="shared" si="22"/>
        <v>0</v>
      </c>
      <c r="S42" s="21">
        <f t="shared" si="21"/>
        <v>0</v>
      </c>
      <c r="T42" s="71"/>
      <c r="U42" s="61">
        <v>405</v>
      </c>
      <c r="V42" s="13">
        <f t="shared" si="25"/>
        <v>0</v>
      </c>
      <c r="X42" s="142"/>
    </row>
    <row r="43" spans="1:25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39"/>
      <c r="O43" s="358"/>
      <c r="P43" s="24">
        <f t="shared" si="11"/>
        <v>0</v>
      </c>
      <c r="Q43" s="26">
        <f t="shared" si="20"/>
        <v>0</v>
      </c>
      <c r="R43" s="26">
        <f t="shared" si="22"/>
        <v>0</v>
      </c>
      <c r="S43" s="39">
        <f t="shared" si="21"/>
        <v>0</v>
      </c>
      <c r="T43" s="71"/>
      <c r="U43" s="61">
        <v>648</v>
      </c>
      <c r="V43" s="13">
        <f t="shared" si="25"/>
        <v>0</v>
      </c>
      <c r="X43" s="142"/>
    </row>
    <row r="44" spans="1:25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3.37</v>
      </c>
      <c r="F44" s="124">
        <v>225.46</v>
      </c>
      <c r="G44" s="124">
        <v>27.32</v>
      </c>
      <c r="H44" s="124">
        <v>31.67</v>
      </c>
      <c r="I44" s="124"/>
      <c r="J44" s="124"/>
      <c r="K44" s="124"/>
      <c r="L44" s="124"/>
      <c r="M44" s="124">
        <v>2.77</v>
      </c>
      <c r="N44" s="124">
        <v>0.68</v>
      </c>
      <c r="O44" s="352"/>
      <c r="P44" s="24">
        <f t="shared" si="11"/>
        <v>291.27000000000004</v>
      </c>
      <c r="Q44" s="124">
        <f t="shared" si="20"/>
        <v>267.22018348623857</v>
      </c>
      <c r="R44" s="6">
        <f t="shared" si="22"/>
        <v>24.049816513761471</v>
      </c>
      <c r="S44" s="22">
        <f>+P44/D44</f>
        <v>29.127000000000002</v>
      </c>
      <c r="T44" s="71"/>
      <c r="U44" s="61"/>
      <c r="V44" s="13"/>
      <c r="W44" s="2"/>
      <c r="X44" s="1"/>
    </row>
    <row r="45" spans="1:25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3544.68</v>
      </c>
      <c r="F45" s="82">
        <f>+SUM(F46:F54)</f>
        <v>148515.05999999997</v>
      </c>
      <c r="G45" s="82">
        <f>+SUM(G46:G54)</f>
        <v>23102.2</v>
      </c>
      <c r="H45" s="82">
        <f>+SUM(H46:H54)</f>
        <v>3401.34</v>
      </c>
      <c r="I45" s="82">
        <f t="shared" ref="I45:S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987.42000000000007</v>
      </c>
      <c r="N45" s="100">
        <f t="shared" si="26"/>
        <v>16101.2</v>
      </c>
      <c r="O45" s="100">
        <f t="shared" si="26"/>
        <v>4.8</v>
      </c>
      <c r="P45" s="42">
        <f>+SUM(P46:P54)</f>
        <v>195656.7</v>
      </c>
      <c r="Q45" s="82">
        <f t="shared" si="26"/>
        <v>179501.55963302753</v>
      </c>
      <c r="R45" s="82">
        <f t="shared" si="26"/>
        <v>16155.140366972493</v>
      </c>
      <c r="S45" s="19">
        <f t="shared" si="26"/>
        <v>30179.032113821144</v>
      </c>
      <c r="T45" s="71"/>
      <c r="U45" s="61"/>
      <c r="V45" s="105">
        <f>+SUM(V46:V69)</f>
        <v>298466.95</v>
      </c>
    </row>
    <row r="46" spans="1:25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420</v>
      </c>
      <c r="F46" s="23">
        <v>15936</v>
      </c>
      <c r="G46" s="28">
        <v>2340</v>
      </c>
      <c r="H46" s="347">
        <v>240</v>
      </c>
      <c r="I46" s="83"/>
      <c r="J46" s="75"/>
      <c r="K46" s="75"/>
      <c r="L46" s="75"/>
      <c r="M46" s="75">
        <v>72</v>
      </c>
      <c r="N46" s="75">
        <v>1776</v>
      </c>
      <c r="O46" s="356"/>
      <c r="P46" s="24">
        <f t="shared" si="11"/>
        <v>20784</v>
      </c>
      <c r="Q46" s="99">
        <f t="shared" ref="Q46:Q54" si="27">+P46/1.09</f>
        <v>19067.889908256879</v>
      </c>
      <c r="R46" s="64">
        <f t="shared" ref="R46:R54" si="28">+P46-Q46</f>
        <v>1716.1100917431213</v>
      </c>
      <c r="S46" s="85">
        <f t="shared" ref="S46:S54" si="29">P46/D46</f>
        <v>1732</v>
      </c>
      <c r="T46" s="71"/>
      <c r="U46" s="61"/>
      <c r="V46" s="13"/>
      <c r="W46"/>
      <c r="X46" s="142"/>
      <c r="Y46"/>
    </row>
    <row r="47" spans="1:25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246</v>
      </c>
      <c r="F47" s="13">
        <v>1932</v>
      </c>
      <c r="G47" s="17">
        <v>276</v>
      </c>
      <c r="H47" s="347">
        <v>12</v>
      </c>
      <c r="I47" s="13"/>
      <c r="J47" s="33"/>
      <c r="K47" s="33"/>
      <c r="L47" s="33"/>
      <c r="M47" s="33"/>
      <c r="N47" s="33">
        <v>168</v>
      </c>
      <c r="O47" s="357"/>
      <c r="P47" s="24">
        <f t="shared" si="11"/>
        <v>2634</v>
      </c>
      <c r="Q47" s="5">
        <f t="shared" si="27"/>
        <v>2416.5137614678897</v>
      </c>
      <c r="R47" s="5">
        <f t="shared" si="28"/>
        <v>217.48623853211029</v>
      </c>
      <c r="S47" s="31">
        <f t="shared" si="29"/>
        <v>439</v>
      </c>
      <c r="T47" s="71"/>
      <c r="U47" s="61">
        <v>6</v>
      </c>
      <c r="V47" s="13">
        <f t="shared" ref="V47:V48" si="30">+S47*U47</f>
        <v>2634</v>
      </c>
      <c r="X47" s="142"/>
    </row>
    <row r="48" spans="1:25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f>26.4+794.4</f>
        <v>820.8</v>
      </c>
      <c r="F48" s="13">
        <f>103.2+38690.4</f>
        <v>38793.599999999999</v>
      </c>
      <c r="G48" s="17">
        <f>16.8+6912</f>
        <v>6928.8</v>
      </c>
      <c r="H48" s="347">
        <v>297.60000000000002</v>
      </c>
      <c r="I48" s="13"/>
      <c r="J48" s="33"/>
      <c r="K48" s="33"/>
      <c r="L48" s="33"/>
      <c r="M48" s="33">
        <f>2.4+194.4</f>
        <v>196.8</v>
      </c>
      <c r="N48" s="33">
        <f>24+2755.2</f>
        <v>2779.2</v>
      </c>
      <c r="O48" s="357">
        <v>4.8</v>
      </c>
      <c r="P48" s="24">
        <f t="shared" si="11"/>
        <v>49821.600000000006</v>
      </c>
      <c r="Q48" s="5">
        <f t="shared" si="27"/>
        <v>45707.889908256882</v>
      </c>
      <c r="R48" s="5">
        <f t="shared" si="28"/>
        <v>4113.7100917431235</v>
      </c>
      <c r="S48" s="31">
        <f t="shared" si="29"/>
        <v>20759.000000000004</v>
      </c>
      <c r="T48" s="71"/>
      <c r="U48" s="61">
        <v>9.6</v>
      </c>
      <c r="V48" s="13">
        <f t="shared" si="30"/>
        <v>199286.40000000002</v>
      </c>
      <c r="X48" s="142"/>
    </row>
    <row r="49" spans="1:24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385</v>
      </c>
      <c r="F49" s="13">
        <v>17990</v>
      </c>
      <c r="G49" s="13">
        <v>1694</v>
      </c>
      <c r="H49" s="348">
        <v>511</v>
      </c>
      <c r="I49" s="13"/>
      <c r="J49" s="33"/>
      <c r="K49" s="33"/>
      <c r="L49" s="33"/>
      <c r="M49" s="33">
        <v>105</v>
      </c>
      <c r="N49" s="33">
        <v>3129</v>
      </c>
      <c r="O49" s="357"/>
      <c r="P49" s="24">
        <f t="shared" si="11"/>
        <v>23814</v>
      </c>
      <c r="Q49" s="5">
        <f t="shared" si="27"/>
        <v>21847.706422018346</v>
      </c>
      <c r="R49" s="5">
        <f t="shared" si="28"/>
        <v>1966.2935779816544</v>
      </c>
      <c r="S49" s="31">
        <f t="shared" si="29"/>
        <v>1134</v>
      </c>
      <c r="T49" s="71"/>
      <c r="U49" s="61"/>
      <c r="V49" s="13"/>
      <c r="X49" s="142"/>
    </row>
    <row r="50" spans="1:24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73.5</v>
      </c>
      <c r="F50" s="13">
        <v>1470</v>
      </c>
      <c r="G50" s="13">
        <v>332.5</v>
      </c>
      <c r="H50" s="348">
        <v>115.5</v>
      </c>
      <c r="I50" s="13"/>
      <c r="J50" s="33"/>
      <c r="K50" s="33"/>
      <c r="L50" s="33"/>
      <c r="M50" s="33">
        <v>21</v>
      </c>
      <c r="N50" s="33">
        <v>94.5</v>
      </c>
      <c r="O50" s="357"/>
      <c r="P50" s="24">
        <f t="shared" si="11"/>
        <v>2107</v>
      </c>
      <c r="Q50" s="5">
        <f t="shared" si="27"/>
        <v>1933.0275229357796</v>
      </c>
      <c r="R50" s="5">
        <f t="shared" si="28"/>
        <v>173.97247706422036</v>
      </c>
      <c r="S50" s="21">
        <f t="shared" si="29"/>
        <v>200.66666666666666</v>
      </c>
      <c r="T50" s="71"/>
      <c r="U50" s="61">
        <v>10.5</v>
      </c>
      <c r="V50" s="13">
        <f t="shared" ref="V50:V51" si="31">+S50*U50</f>
        <v>2107</v>
      </c>
      <c r="X50" s="142"/>
    </row>
    <row r="51" spans="1:24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107.8</v>
      </c>
      <c r="F51" s="13">
        <f>75.6+8076.6</f>
        <v>8152.2000000000007</v>
      </c>
      <c r="G51" s="13">
        <f>16.8+1013.6</f>
        <v>1030.4000000000001</v>
      </c>
      <c r="H51" s="348">
        <v>116.2</v>
      </c>
      <c r="I51" s="13"/>
      <c r="J51" s="33"/>
      <c r="K51" s="33"/>
      <c r="L51" s="33"/>
      <c r="M51" s="33">
        <v>58.8</v>
      </c>
      <c r="N51" s="33">
        <f>12.6+1348.2</f>
        <v>1360.8</v>
      </c>
      <c r="O51" s="357"/>
      <c r="P51" s="24">
        <f t="shared" si="11"/>
        <v>10826.199999999999</v>
      </c>
      <c r="Q51" s="5">
        <f t="shared" si="27"/>
        <v>9932.2935779816489</v>
      </c>
      <c r="R51" s="5">
        <f t="shared" si="28"/>
        <v>893.90642201834999</v>
      </c>
      <c r="S51" s="21">
        <f t="shared" si="29"/>
        <v>2577.6666666666665</v>
      </c>
      <c r="T51" s="71"/>
      <c r="U51" s="61">
        <v>16.8</v>
      </c>
      <c r="V51" s="13">
        <f t="shared" si="31"/>
        <v>43304.800000000003</v>
      </c>
      <c r="X51" s="142"/>
    </row>
    <row r="52" spans="1:24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1287.4000000000001</v>
      </c>
      <c r="F52" s="13">
        <v>51455</v>
      </c>
      <c r="G52" s="13">
        <v>8593.6</v>
      </c>
      <c r="H52" s="348">
        <v>1791.7</v>
      </c>
      <c r="I52" s="13"/>
      <c r="J52" s="33"/>
      <c r="K52" s="33"/>
      <c r="L52" s="33"/>
      <c r="M52" s="33">
        <v>475.6</v>
      </c>
      <c r="N52" s="33">
        <v>4518.2</v>
      </c>
      <c r="O52" s="357"/>
      <c r="P52" s="24">
        <f t="shared" si="11"/>
        <v>68121.5</v>
      </c>
      <c r="Q52" s="5">
        <f t="shared" si="27"/>
        <v>62496.788990825684</v>
      </c>
      <c r="R52" s="5">
        <f t="shared" si="28"/>
        <v>5624.7110091743161</v>
      </c>
      <c r="S52" s="21">
        <f t="shared" si="29"/>
        <v>1661.5</v>
      </c>
      <c r="T52" s="71"/>
      <c r="U52" s="61"/>
      <c r="V52" s="13"/>
      <c r="X52" s="142"/>
    </row>
    <row r="53" spans="1:24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61.5</v>
      </c>
      <c r="F53" s="13">
        <v>5116.8</v>
      </c>
      <c r="G53" s="13">
        <v>735.95</v>
      </c>
      <c r="H53" s="348">
        <v>184.5</v>
      </c>
      <c r="I53" s="13"/>
      <c r="J53" s="33"/>
      <c r="K53" s="33"/>
      <c r="L53" s="33"/>
      <c r="M53" s="33"/>
      <c r="N53" s="33">
        <v>254.2</v>
      </c>
      <c r="O53" s="357"/>
      <c r="P53" s="24">
        <f t="shared" si="11"/>
        <v>6352.95</v>
      </c>
      <c r="Q53" s="5">
        <f t="shared" si="27"/>
        <v>5828.3944954128438</v>
      </c>
      <c r="R53" s="5">
        <f t="shared" si="28"/>
        <v>524.55550458715607</v>
      </c>
      <c r="S53" s="21">
        <f t="shared" si="29"/>
        <v>309.89999999999998</v>
      </c>
      <c r="T53" s="71"/>
      <c r="U53" s="61">
        <v>20.5</v>
      </c>
      <c r="V53" s="13">
        <f t="shared" ref="V53:V54" si="32">+S53*U53</f>
        <v>6352.95</v>
      </c>
      <c r="X53" s="142"/>
    </row>
    <row r="54" spans="1:24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f>6.56+136.12</f>
        <v>142.68</v>
      </c>
      <c r="F54" s="14">
        <f>57.4+7612.06</f>
        <v>7669.46</v>
      </c>
      <c r="G54" s="14">
        <v>1170.95</v>
      </c>
      <c r="H54" s="349">
        <v>132.84</v>
      </c>
      <c r="I54" s="14"/>
      <c r="J54" s="76"/>
      <c r="K54" s="76"/>
      <c r="L54" s="76"/>
      <c r="M54" s="76">
        <v>58.22</v>
      </c>
      <c r="N54" s="76">
        <f>13.12+2008.18</f>
        <v>2021.3</v>
      </c>
      <c r="O54" s="224"/>
      <c r="P54" s="359">
        <f t="shared" si="11"/>
        <v>11195.449999999999</v>
      </c>
      <c r="Q54" s="6">
        <f t="shared" si="27"/>
        <v>10271.055045871557</v>
      </c>
      <c r="R54" s="6">
        <f t="shared" si="28"/>
        <v>924.3949541284419</v>
      </c>
      <c r="S54" s="22">
        <f t="shared" si="29"/>
        <v>1365.2987804878048</v>
      </c>
      <c r="T54" s="35"/>
      <c r="U54" s="61">
        <v>32.799999999999997</v>
      </c>
      <c r="V54" s="13">
        <f t="shared" si="32"/>
        <v>44781.799999999996</v>
      </c>
      <c r="X54" s="142"/>
    </row>
    <row r="55" spans="1:24" x14ac:dyDescent="0.25">
      <c r="F55" s="2"/>
      <c r="G55" s="2"/>
      <c r="H55" s="2"/>
      <c r="I55" s="2"/>
      <c r="J55" s="2"/>
      <c r="K55" s="2"/>
      <c r="L55" s="2"/>
      <c r="M55" s="2"/>
      <c r="P55" s="2"/>
      <c r="Q55" s="2"/>
      <c r="R55" s="2"/>
    </row>
    <row r="56" spans="1:24" x14ac:dyDescent="0.25">
      <c r="E56" s="2"/>
      <c r="F56" s="2"/>
      <c r="G56" s="2"/>
      <c r="H56" s="2"/>
      <c r="I56" s="2"/>
      <c r="J56" s="2"/>
      <c r="K56" s="2"/>
      <c r="L56" s="2"/>
      <c r="M56" s="2"/>
      <c r="P56" s="2"/>
      <c r="Q56" s="2"/>
      <c r="R56" s="2"/>
    </row>
    <row r="58" spans="1:24" x14ac:dyDescent="0.25">
      <c r="N58" s="137"/>
      <c r="O58" s="137"/>
    </row>
    <row r="74" spans="2:2" x14ac:dyDescent="0.25">
      <c r="B74" s="1"/>
    </row>
  </sheetData>
  <mergeCells count="18">
    <mergeCell ref="V4:V5"/>
    <mergeCell ref="G4:G5"/>
    <mergeCell ref="H4:H5"/>
    <mergeCell ref="I4:I5"/>
    <mergeCell ref="J4:J5"/>
    <mergeCell ref="K4:L4"/>
    <mergeCell ref="M4:M5"/>
    <mergeCell ref="P4:P5"/>
    <mergeCell ref="Q4:Q5"/>
    <mergeCell ref="R4:R5"/>
    <mergeCell ref="S4:S5"/>
    <mergeCell ref="N4:O4"/>
    <mergeCell ref="F4:F5"/>
    <mergeCell ref="A4:A5"/>
    <mergeCell ref="B4:B5"/>
    <mergeCell ref="C4:C5"/>
    <mergeCell ref="D4:D5"/>
    <mergeCell ref="E4:E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Y73"/>
  <sheetViews>
    <sheetView zoomScaleNormal="100" workbookViewId="0">
      <pane xSplit="4" ySplit="4" topLeftCell="L17" activePane="bottomRight" state="frozen"/>
      <selection pane="topRight" activeCell="E1" sqref="E1"/>
      <selection pane="bottomLeft" activeCell="A5" sqref="A5"/>
      <selection pane="bottomRight" activeCell="N30" sqref="N30"/>
    </sheetView>
  </sheetViews>
  <sheetFormatPr defaultColWidth="8.88671875" defaultRowHeight="13.2" outlineLevelCol="1" x14ac:dyDescent="0.25"/>
  <cols>
    <col min="1" max="1" width="10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 outlineLevel="1"/>
    <col min="6" max="6" width="13.33203125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5" width="13" style="1" customWidth="1" outlineLevel="1"/>
    <col min="16" max="16" width="12.33203125" style="1" bestFit="1" customWidth="1"/>
    <col min="17" max="18" width="12.33203125" style="1" customWidth="1"/>
    <col min="19" max="19" width="12.33203125" style="1" bestFit="1" customWidth="1"/>
    <col min="20" max="20" width="3.109375" style="1" customWidth="1"/>
    <col min="21" max="21" width="5.109375" style="1" customWidth="1"/>
    <col min="22" max="22" width="13.5546875" style="2" customWidth="1"/>
    <col min="23" max="23" width="11.33203125" style="1" bestFit="1" customWidth="1"/>
    <col min="24" max="24" width="8.88671875" style="141"/>
    <col min="25" max="16384" width="8.88671875" style="1"/>
  </cols>
  <sheetData>
    <row r="1" spans="1:23" ht="22.2" customHeight="1" x14ac:dyDescent="0.3">
      <c r="A1" s="40" t="s">
        <v>325</v>
      </c>
      <c r="K1" s="2"/>
      <c r="L1" s="2"/>
      <c r="M1" s="2"/>
      <c r="N1" s="2"/>
      <c r="O1" s="2"/>
    </row>
    <row r="2" spans="1:23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Q2" s="3"/>
      <c r="S2" s="3"/>
    </row>
    <row r="3" spans="1:23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6" t="s">
        <v>178</v>
      </c>
      <c r="O3" s="598"/>
      <c r="P3" s="590" t="s">
        <v>43</v>
      </c>
      <c r="Q3" s="590" t="s">
        <v>44</v>
      </c>
      <c r="R3" s="590" t="s">
        <v>41</v>
      </c>
      <c r="S3" s="590" t="s">
        <v>149</v>
      </c>
      <c r="U3" s="61"/>
      <c r="V3" s="584" t="s">
        <v>148</v>
      </c>
    </row>
    <row r="4" spans="1:23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345</v>
      </c>
      <c r="M4" s="575"/>
      <c r="N4" s="254" t="s">
        <v>203</v>
      </c>
      <c r="O4" s="254" t="s">
        <v>348</v>
      </c>
      <c r="P4" s="591"/>
      <c r="Q4" s="592"/>
      <c r="R4" s="592"/>
      <c r="S4" s="592"/>
      <c r="U4" s="87"/>
      <c r="V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49093.719999999994</v>
      </c>
      <c r="F5" s="82">
        <f t="shared" si="0"/>
        <v>1977099.7199999997</v>
      </c>
      <c r="G5" s="82">
        <f t="shared" si="0"/>
        <v>297224.01</v>
      </c>
      <c r="H5" s="82">
        <f t="shared" si="0"/>
        <v>47071.86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S5" si="1">+M6+M18+M44</f>
        <v>18939.179999999997</v>
      </c>
      <c r="N5" s="187">
        <f t="shared" si="1"/>
        <v>184284.91</v>
      </c>
      <c r="O5" s="77">
        <f t="shared" ref="O5" si="2">+O6+O18+O44</f>
        <v>0</v>
      </c>
      <c r="P5" s="42">
        <f>+SUM(E5:O5)</f>
        <v>2573713.4</v>
      </c>
      <c r="Q5" s="42">
        <f t="shared" si="1"/>
        <v>2361204.9541284395</v>
      </c>
      <c r="R5" s="42">
        <f t="shared" si="1"/>
        <v>212508.44587155979</v>
      </c>
      <c r="S5" s="42">
        <f t="shared" si="1"/>
        <v>48214.233330623305</v>
      </c>
      <c r="T5" s="71"/>
      <c r="U5" s="87"/>
      <c r="V5" s="135">
        <f>+V7+V18+V44</f>
        <v>2167594.0000000005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 t="shared" ref="M6:S6" si="4">+M7+M11</f>
        <v>0</v>
      </c>
      <c r="N6" s="187">
        <f t="shared" si="4"/>
        <v>0</v>
      </c>
      <c r="O6" s="77">
        <f t="shared" ref="O6" si="5">+O7+O11</f>
        <v>0</v>
      </c>
      <c r="P6" s="42">
        <f t="shared" ref="P6:P7" si="6">+SUM(E6:O6)</f>
        <v>0</v>
      </c>
      <c r="Q6" s="42">
        <f t="shared" si="4"/>
        <v>0</v>
      </c>
      <c r="R6" s="42">
        <f t="shared" si="4"/>
        <v>0</v>
      </c>
      <c r="S6" s="44">
        <f t="shared" si="4"/>
        <v>0</v>
      </c>
      <c r="U6" s="61"/>
      <c r="V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7">+SUM(E8:E10)</f>
        <v>0</v>
      </c>
      <c r="F7" s="79">
        <f t="shared" si="7"/>
        <v>0</v>
      </c>
      <c r="G7" s="79">
        <f t="shared" si="7"/>
        <v>0</v>
      </c>
      <c r="H7" s="79">
        <f t="shared" si="7"/>
        <v>0</v>
      </c>
      <c r="I7" s="79">
        <f t="shared" si="7"/>
        <v>0</v>
      </c>
      <c r="J7" s="79">
        <f t="shared" si="7"/>
        <v>0</v>
      </c>
      <c r="K7" s="79">
        <f t="shared" si="7"/>
        <v>0</v>
      </c>
      <c r="L7" s="79"/>
      <c r="M7" s="79">
        <f t="shared" ref="M7:S7" si="8">+SUM(M8:M10)</f>
        <v>0</v>
      </c>
      <c r="N7" s="219">
        <f t="shared" si="8"/>
        <v>0</v>
      </c>
      <c r="O7" s="109">
        <f t="shared" ref="O7" si="9">+SUM(O8:O10)</f>
        <v>0</v>
      </c>
      <c r="P7" s="43">
        <f t="shared" si="6"/>
        <v>0</v>
      </c>
      <c r="Q7" s="79">
        <f t="shared" si="8"/>
        <v>0</v>
      </c>
      <c r="R7" s="79">
        <f t="shared" si="8"/>
        <v>0</v>
      </c>
      <c r="S7" s="226">
        <f t="shared" si="8"/>
        <v>0</v>
      </c>
      <c r="T7" s="71"/>
      <c r="U7" s="134"/>
      <c r="V7" s="105">
        <f>+SUM(V8:V17)</f>
        <v>0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7"/>
      <c r="O8" s="355"/>
      <c r="P8" s="24">
        <f>+SUM(E8:O8)</f>
        <v>0</v>
      </c>
      <c r="Q8" s="5">
        <f t="shared" ref="Q8:Q10" si="10">+P8/1.09</f>
        <v>0</v>
      </c>
      <c r="R8" s="5">
        <f t="shared" ref="R8:R10" si="11">+P8-Q8</f>
        <v>0</v>
      </c>
      <c r="S8" s="21">
        <f>P8/D8</f>
        <v>0</v>
      </c>
      <c r="T8" s="71"/>
      <c r="U8" s="61"/>
      <c r="V8" s="13"/>
      <c r="W8" s="2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12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96"/>
      <c r="O9" s="350"/>
      <c r="P9" s="24">
        <f t="shared" ref="P9:P53" si="13">+SUM(E9:O9)</f>
        <v>0</v>
      </c>
      <c r="Q9" s="26">
        <f t="shared" si="10"/>
        <v>0</v>
      </c>
      <c r="R9" s="26">
        <f t="shared" si="11"/>
        <v>0</v>
      </c>
      <c r="S9" s="39">
        <f>P9/D9</f>
        <v>0</v>
      </c>
      <c r="T9" s="71"/>
      <c r="U9" s="61">
        <v>1.75</v>
      </c>
      <c r="V9" s="13">
        <f>+S9*U9</f>
        <v>0</v>
      </c>
    </row>
    <row r="10" spans="1:23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8"/>
      <c r="O10" s="360"/>
      <c r="P10" s="24">
        <f t="shared" si="13"/>
        <v>0</v>
      </c>
      <c r="Q10" s="6">
        <f t="shared" si="10"/>
        <v>0</v>
      </c>
      <c r="R10" s="6">
        <f t="shared" si="11"/>
        <v>0</v>
      </c>
      <c r="S10" s="22">
        <f>P10/D10</f>
        <v>0</v>
      </c>
      <c r="T10" s="71"/>
      <c r="U10" s="107">
        <v>2.8</v>
      </c>
      <c r="V10" s="13">
        <f>+S10*U10</f>
        <v>0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4">+SUM(E12:E17)</f>
        <v>0</v>
      </c>
      <c r="F11" s="84">
        <f t="shared" si="14"/>
        <v>0</v>
      </c>
      <c r="G11" s="84">
        <f t="shared" si="14"/>
        <v>0</v>
      </c>
      <c r="H11" s="84">
        <f t="shared" si="14"/>
        <v>0</v>
      </c>
      <c r="I11" s="84">
        <f t="shared" si="14"/>
        <v>0</v>
      </c>
      <c r="J11" s="74">
        <f t="shared" si="14"/>
        <v>0</v>
      </c>
      <c r="K11" s="101">
        <f t="shared" si="14"/>
        <v>0</v>
      </c>
      <c r="L11" s="101"/>
      <c r="M11" s="101">
        <f t="shared" ref="M11:S11" si="15">+SUM(M12:M17)</f>
        <v>0</v>
      </c>
      <c r="N11" s="16">
        <f t="shared" si="15"/>
        <v>0</v>
      </c>
      <c r="O11" s="74">
        <f t="shared" si="15"/>
        <v>0</v>
      </c>
      <c r="P11" s="43">
        <f t="shared" si="15"/>
        <v>0</v>
      </c>
      <c r="Q11" s="43">
        <f t="shared" si="15"/>
        <v>0</v>
      </c>
      <c r="R11" s="43">
        <f t="shared" si="15"/>
        <v>0</v>
      </c>
      <c r="S11" s="45">
        <f t="shared" si="15"/>
        <v>0</v>
      </c>
      <c r="T11" s="71"/>
      <c r="U11" s="61"/>
      <c r="V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3"/>
      <c r="O12" s="357"/>
      <c r="P12" s="24">
        <f t="shared" si="13"/>
        <v>0</v>
      </c>
      <c r="Q12" s="5">
        <f t="shared" ref="Q12:Q17" si="16">+P12/1.09</f>
        <v>0</v>
      </c>
      <c r="R12" s="5">
        <f t="shared" ref="R12:R17" si="17">+P12-Q12</f>
        <v>0</v>
      </c>
      <c r="S12" s="21">
        <f t="shared" ref="S12:S17" si="18">P12/D12</f>
        <v>0</v>
      </c>
      <c r="T12" s="2"/>
      <c r="U12" s="61"/>
      <c r="V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3"/>
      <c r="O13" s="357"/>
      <c r="P13" s="24">
        <f t="shared" si="13"/>
        <v>0</v>
      </c>
      <c r="Q13" s="5">
        <f t="shared" si="16"/>
        <v>0</v>
      </c>
      <c r="R13" s="5">
        <f t="shared" si="17"/>
        <v>0</v>
      </c>
      <c r="S13" s="21">
        <f t="shared" si="18"/>
        <v>0</v>
      </c>
      <c r="T13" s="71"/>
      <c r="U13" s="107">
        <v>1.1000000000000001</v>
      </c>
      <c r="V13" s="13">
        <f t="shared" ref="V13:V14" si="19">+S13*U13</f>
        <v>0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3"/>
      <c r="O14" s="357"/>
      <c r="P14" s="24">
        <f t="shared" si="13"/>
        <v>0</v>
      </c>
      <c r="Q14" s="5">
        <f t="shared" si="16"/>
        <v>0</v>
      </c>
      <c r="R14" s="5">
        <f t="shared" si="17"/>
        <v>0</v>
      </c>
      <c r="S14" s="21">
        <f t="shared" si="18"/>
        <v>0</v>
      </c>
      <c r="T14" s="71"/>
      <c r="U14" s="61">
        <v>1.76</v>
      </c>
      <c r="V14" s="13">
        <f t="shared" si="19"/>
        <v>0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3"/>
      <c r="O15" s="357"/>
      <c r="P15" s="24">
        <f t="shared" si="13"/>
        <v>0</v>
      </c>
      <c r="Q15" s="5">
        <f t="shared" si="16"/>
        <v>0</v>
      </c>
      <c r="R15" s="5">
        <f t="shared" si="17"/>
        <v>0</v>
      </c>
      <c r="S15" s="21">
        <f t="shared" si="18"/>
        <v>0</v>
      </c>
      <c r="T15" s="71"/>
      <c r="U15" s="61"/>
      <c r="V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3"/>
      <c r="O16" s="357"/>
      <c r="P16" s="24">
        <f t="shared" si="13"/>
        <v>0</v>
      </c>
      <c r="Q16" s="5">
        <f t="shared" si="16"/>
        <v>0</v>
      </c>
      <c r="R16" s="5">
        <f t="shared" si="17"/>
        <v>0</v>
      </c>
      <c r="S16" s="21">
        <f t="shared" si="18"/>
        <v>0</v>
      </c>
      <c r="T16" s="71"/>
      <c r="U16" s="107">
        <v>1.6</v>
      </c>
      <c r="V16" s="13">
        <f t="shared" ref="V16:V17" si="20">+S16*U16</f>
        <v>0</v>
      </c>
    </row>
    <row r="17" spans="1:25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4"/>
      <c r="O17" s="358"/>
      <c r="P17" s="24">
        <f t="shared" si="13"/>
        <v>0</v>
      </c>
      <c r="Q17" s="5">
        <f t="shared" si="16"/>
        <v>0</v>
      </c>
      <c r="R17" s="5">
        <f t="shared" si="17"/>
        <v>0</v>
      </c>
      <c r="S17" s="22">
        <f t="shared" si="18"/>
        <v>0</v>
      </c>
      <c r="T17" s="71"/>
      <c r="U17" s="61">
        <v>2.56</v>
      </c>
      <c r="V17" s="13">
        <f t="shared" si="20"/>
        <v>0</v>
      </c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48823.199999999997</v>
      </c>
      <c r="F18" s="118">
        <f t="shared" ref="F18:S18" si="21">+SUM(F19:F43)</f>
        <v>1966569.8799999997</v>
      </c>
      <c r="G18" s="118">
        <f t="shared" si="21"/>
        <v>295494.01</v>
      </c>
      <c r="H18" s="118">
        <f t="shared" si="21"/>
        <v>46668.1</v>
      </c>
      <c r="I18" s="118">
        <f t="shared" si="21"/>
        <v>0</v>
      </c>
      <c r="J18" s="118">
        <f t="shared" si="21"/>
        <v>0</v>
      </c>
      <c r="K18" s="118">
        <f t="shared" si="21"/>
        <v>0</v>
      </c>
      <c r="L18" s="118"/>
      <c r="M18" s="118">
        <f t="shared" si="21"/>
        <v>18874.399999999998</v>
      </c>
      <c r="N18" s="231">
        <f t="shared" si="21"/>
        <v>183189.71</v>
      </c>
      <c r="O18" s="118">
        <f t="shared" si="21"/>
        <v>0</v>
      </c>
      <c r="P18" s="42">
        <f>+SUM(P19:P43)</f>
        <v>2559619.2999999993</v>
      </c>
      <c r="Q18" s="118">
        <f t="shared" si="21"/>
        <v>2348274.5871559624</v>
      </c>
      <c r="R18" s="118">
        <f t="shared" si="21"/>
        <v>211344.71284403684</v>
      </c>
      <c r="S18" s="118">
        <f t="shared" si="21"/>
        <v>47551.265444444442</v>
      </c>
      <c r="T18" s="71"/>
      <c r="U18" s="61"/>
      <c r="V18" s="105">
        <f>+SUM(V19:V42)</f>
        <v>2155979.7500000005</v>
      </c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31496.67</v>
      </c>
      <c r="F19" s="92">
        <v>1141146.6599999999</v>
      </c>
      <c r="G19" s="92">
        <v>165520</v>
      </c>
      <c r="H19" s="92">
        <v>24806.67</v>
      </c>
      <c r="I19" s="23"/>
      <c r="J19" s="34"/>
      <c r="K19" s="34"/>
      <c r="L19" s="34"/>
      <c r="M19" s="34">
        <v>12230</v>
      </c>
      <c r="N19" s="23">
        <f>103313.33-86.67-80</f>
        <v>103146.66</v>
      </c>
      <c r="O19" s="356"/>
      <c r="P19" s="24">
        <f t="shared" si="13"/>
        <v>1478346.6599999997</v>
      </c>
      <c r="Q19" s="99">
        <f t="shared" ref="Q19:Q43" si="22">+P19/1.09</f>
        <v>1356281.3394495409</v>
      </c>
      <c r="R19" s="24">
        <f>+P19-Q19</f>
        <v>122065.32055045874</v>
      </c>
      <c r="S19" s="94">
        <f t="shared" ref="S19:S42" si="23">P19/D19</f>
        <v>14783.466599999996</v>
      </c>
      <c r="T19" s="41"/>
      <c r="U19" s="61"/>
      <c r="V19" s="106"/>
      <c r="W19"/>
      <c r="X19" s="142"/>
      <c r="Y19"/>
    </row>
    <row r="20" spans="1:25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4708.33</v>
      </c>
      <c r="F20" s="48">
        <v>335385</v>
      </c>
      <c r="G20" s="48">
        <v>49016.67</v>
      </c>
      <c r="H20" s="48">
        <v>9023.34</v>
      </c>
      <c r="I20" s="13"/>
      <c r="J20" s="33"/>
      <c r="K20" s="33"/>
      <c r="L20" s="33"/>
      <c r="M20" s="33">
        <v>3921.67</v>
      </c>
      <c r="N20" s="13">
        <v>6485</v>
      </c>
      <c r="O20" s="357"/>
      <c r="P20" s="24">
        <f t="shared" si="13"/>
        <v>408540.01</v>
      </c>
      <c r="Q20" s="5">
        <f t="shared" si="22"/>
        <v>374807.34862385318</v>
      </c>
      <c r="R20" s="5">
        <f t="shared" ref="R20:R43" si="24">+P20-Q20</f>
        <v>33732.661376146832</v>
      </c>
      <c r="S20" s="21">
        <f t="shared" si="23"/>
        <v>8170.8002000000006</v>
      </c>
      <c r="T20" s="41"/>
      <c r="U20" s="61">
        <v>50</v>
      </c>
      <c r="V20" s="13">
        <f t="shared" ref="V20:V21" si="25">+S20*U20</f>
        <v>408540.01</v>
      </c>
      <c r="X20" s="142"/>
    </row>
    <row r="21" spans="1:25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f>584.67+7233.33</f>
        <v>7818</v>
      </c>
      <c r="F21" s="95">
        <f>3914.67+309390</f>
        <v>313304.67</v>
      </c>
      <c r="G21" s="95">
        <f>666+53759.33</f>
        <v>54425.33</v>
      </c>
      <c r="H21" s="95">
        <v>4771.33</v>
      </c>
      <c r="I21" s="13"/>
      <c r="J21" s="33"/>
      <c r="K21" s="33"/>
      <c r="L21" s="33"/>
      <c r="M21" s="33">
        <f>130.67+1397.33</f>
        <v>1528</v>
      </c>
      <c r="N21" s="13">
        <f>348+33921.33+80</f>
        <v>34349.33</v>
      </c>
      <c r="O21" s="357"/>
      <c r="P21" s="24">
        <f t="shared" si="13"/>
        <v>416196.66000000003</v>
      </c>
      <c r="Q21" s="5">
        <f t="shared" si="22"/>
        <v>381831.79816513759</v>
      </c>
      <c r="R21" s="5">
        <f t="shared" si="24"/>
        <v>34364.861834862444</v>
      </c>
      <c r="S21" s="21">
        <f t="shared" si="23"/>
        <v>20809.833000000002</v>
      </c>
      <c r="T21" s="41"/>
      <c r="U21" s="61">
        <v>80</v>
      </c>
      <c r="V21" s="13">
        <f t="shared" si="25"/>
        <v>1664786.6400000001</v>
      </c>
      <c r="X21" s="142"/>
    </row>
    <row r="22" spans="1:25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4377</v>
      </c>
      <c r="F22" s="48">
        <v>149154</v>
      </c>
      <c r="G22" s="95">
        <v>23454</v>
      </c>
      <c r="H22" s="95">
        <v>5088</v>
      </c>
      <c r="I22" s="13"/>
      <c r="J22" s="33"/>
      <c r="K22" s="33"/>
      <c r="L22" s="33"/>
      <c r="M22" s="33">
        <v>1050</v>
      </c>
      <c r="N22" s="13">
        <f>26019-63</f>
        <v>25956</v>
      </c>
      <c r="O22" s="357"/>
      <c r="P22" s="24">
        <f t="shared" si="13"/>
        <v>209079</v>
      </c>
      <c r="Q22" s="5">
        <f t="shared" si="22"/>
        <v>191815.59633027521</v>
      </c>
      <c r="R22" s="5">
        <f t="shared" si="24"/>
        <v>17263.403669724794</v>
      </c>
      <c r="S22" s="21">
        <f t="shared" si="23"/>
        <v>2323.1</v>
      </c>
      <c r="T22" s="41"/>
      <c r="U22" s="61"/>
      <c r="V22" s="13"/>
      <c r="X22" s="142"/>
    </row>
    <row r="23" spans="1:25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136.5</v>
      </c>
      <c r="F23" s="95">
        <v>8112</v>
      </c>
      <c r="G23" s="95">
        <v>1218</v>
      </c>
      <c r="H23" s="95">
        <v>421.5</v>
      </c>
      <c r="I23" s="13"/>
      <c r="J23" s="33"/>
      <c r="K23" s="33"/>
      <c r="L23" s="33"/>
      <c r="M23" s="33">
        <v>70.5</v>
      </c>
      <c r="N23" s="13">
        <v>1707</v>
      </c>
      <c r="O23" s="357"/>
      <c r="P23" s="24">
        <f t="shared" si="13"/>
        <v>11665.5</v>
      </c>
      <c r="Q23" s="5">
        <f t="shared" si="22"/>
        <v>10702.293577981651</v>
      </c>
      <c r="R23" s="5">
        <f t="shared" si="24"/>
        <v>963.20642201834926</v>
      </c>
      <c r="S23" s="21">
        <f t="shared" si="23"/>
        <v>259.23333333333335</v>
      </c>
      <c r="T23" s="35"/>
      <c r="U23" s="61">
        <v>45</v>
      </c>
      <c r="V23" s="13">
        <f t="shared" ref="V23:V24" si="26">+S23*U23</f>
        <v>11665.5</v>
      </c>
      <c r="X23" s="142"/>
    </row>
    <row r="24" spans="1:25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f>16.2+163.2</f>
        <v>179.39999999999998</v>
      </c>
      <c r="F24" s="95">
        <f>12+3987</f>
        <v>3999</v>
      </c>
      <c r="G24" s="95">
        <f>6.6+773.4</f>
        <v>780</v>
      </c>
      <c r="H24" s="95">
        <v>69.599999999999994</v>
      </c>
      <c r="I24" s="13"/>
      <c r="J24" s="33"/>
      <c r="K24" s="33"/>
      <c r="L24" s="33"/>
      <c r="M24" s="33">
        <f>0.6+26.4</f>
        <v>27</v>
      </c>
      <c r="N24" s="13">
        <f>51+1332</f>
        <v>1383</v>
      </c>
      <c r="O24" s="357"/>
      <c r="P24" s="24">
        <f t="shared" si="13"/>
        <v>6438</v>
      </c>
      <c r="Q24" s="5">
        <f t="shared" si="22"/>
        <v>5906.4220183486232</v>
      </c>
      <c r="R24" s="5">
        <f t="shared" si="24"/>
        <v>531.57798165137683</v>
      </c>
      <c r="S24" s="21">
        <f t="shared" si="23"/>
        <v>357.66666666666669</v>
      </c>
      <c r="T24" s="35"/>
      <c r="U24" s="61">
        <v>72</v>
      </c>
      <c r="V24" s="13">
        <f t="shared" si="26"/>
        <v>25752</v>
      </c>
      <c r="X24" s="142"/>
    </row>
    <row r="25" spans="1:25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2576.67</v>
      </c>
      <c r="G25" s="95"/>
      <c r="H25" s="95"/>
      <c r="I25" s="13"/>
      <c r="J25" s="33"/>
      <c r="K25" s="33"/>
      <c r="L25" s="33"/>
      <c r="M25" s="33"/>
      <c r="N25" s="13">
        <v>3566.67</v>
      </c>
      <c r="O25" s="357"/>
      <c r="P25" s="24">
        <f t="shared" si="13"/>
        <v>6143.34</v>
      </c>
      <c r="Q25" s="5">
        <f t="shared" si="22"/>
        <v>5636.0917431192656</v>
      </c>
      <c r="R25" s="5">
        <f t="shared" si="24"/>
        <v>507.24825688073452</v>
      </c>
      <c r="S25" s="21">
        <f t="shared" si="23"/>
        <v>20.477800000000002</v>
      </c>
      <c r="T25" s="35"/>
      <c r="U25" s="61"/>
      <c r="V25" s="13"/>
      <c r="X25" s="142"/>
    </row>
    <row r="26" spans="1:25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2701.67</v>
      </c>
      <c r="G26" s="95">
        <v>220</v>
      </c>
      <c r="H26" s="95">
        <v>101.67</v>
      </c>
      <c r="I26" s="13"/>
      <c r="J26" s="33"/>
      <c r="K26" s="33"/>
      <c r="L26" s="33"/>
      <c r="M26" s="33"/>
      <c r="N26" s="13">
        <v>618.33000000000004</v>
      </c>
      <c r="O26" s="357"/>
      <c r="P26" s="24">
        <f t="shared" si="13"/>
        <v>3641.67</v>
      </c>
      <c r="Q26" s="5">
        <f t="shared" si="22"/>
        <v>3340.9816513761466</v>
      </c>
      <c r="R26" s="5">
        <f t="shared" si="24"/>
        <v>300.68834862385347</v>
      </c>
      <c r="S26" s="21">
        <f t="shared" si="23"/>
        <v>24.277799999999999</v>
      </c>
      <c r="T26" s="35"/>
      <c r="U26" s="61">
        <v>150</v>
      </c>
      <c r="V26" s="13">
        <f t="shared" ref="V26:V42" si="27">+S26*U26</f>
        <v>3641.67</v>
      </c>
      <c r="X26" s="142"/>
    </row>
    <row r="27" spans="1:25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40.67</v>
      </c>
      <c r="F27" s="95">
        <f>118+4114</f>
        <v>4232</v>
      </c>
      <c r="G27" s="95">
        <v>247.33</v>
      </c>
      <c r="H27" s="95">
        <v>210</v>
      </c>
      <c r="I27" s="13"/>
      <c r="J27" s="33"/>
      <c r="K27" s="33"/>
      <c r="L27" s="33"/>
      <c r="M27" s="33"/>
      <c r="N27" s="13">
        <f>50+3908</f>
        <v>3958</v>
      </c>
      <c r="O27" s="357"/>
      <c r="P27" s="24">
        <f t="shared" si="13"/>
        <v>8688</v>
      </c>
      <c r="Q27" s="5">
        <f t="shared" si="22"/>
        <v>7970.6422018348621</v>
      </c>
      <c r="R27" s="5">
        <f t="shared" si="24"/>
        <v>717.35779816513786</v>
      </c>
      <c r="S27" s="21">
        <f t="shared" si="23"/>
        <v>144.80000000000001</v>
      </c>
      <c r="T27" s="35"/>
      <c r="U27" s="61">
        <v>240</v>
      </c>
      <c r="V27" s="13">
        <f t="shared" si="27"/>
        <v>34752</v>
      </c>
      <c r="X27" s="142"/>
    </row>
    <row r="28" spans="1:25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>
        <v>405</v>
      </c>
      <c r="G28" s="95"/>
      <c r="H28" s="95">
        <v>216</v>
      </c>
      <c r="I28" s="13"/>
      <c r="J28" s="33"/>
      <c r="K28" s="33"/>
      <c r="L28" s="33"/>
      <c r="M28" s="33"/>
      <c r="N28" s="13">
        <v>207</v>
      </c>
      <c r="O28" s="357"/>
      <c r="P28" s="24">
        <f t="shared" si="13"/>
        <v>828</v>
      </c>
      <c r="Q28" s="5">
        <f t="shared" si="22"/>
        <v>759.63302752293578</v>
      </c>
      <c r="R28" s="5">
        <f t="shared" si="24"/>
        <v>68.366972477064223</v>
      </c>
      <c r="S28" s="21">
        <f t="shared" si="23"/>
        <v>3.0666666666666669</v>
      </c>
      <c r="T28" s="35"/>
      <c r="U28" s="61"/>
      <c r="V28" s="13"/>
      <c r="X28" s="142"/>
    </row>
    <row r="29" spans="1:25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/>
      <c r="G29" s="95"/>
      <c r="H29" s="95">
        <v>126</v>
      </c>
      <c r="I29" s="13"/>
      <c r="J29" s="33"/>
      <c r="K29" s="33"/>
      <c r="L29" s="33"/>
      <c r="M29" s="33"/>
      <c r="N29" s="13"/>
      <c r="O29" s="357"/>
      <c r="P29" s="24">
        <f t="shared" si="13"/>
        <v>126</v>
      </c>
      <c r="Q29" s="5">
        <f t="shared" si="22"/>
        <v>115.59633027522935</v>
      </c>
      <c r="R29" s="5">
        <f t="shared" si="24"/>
        <v>10.403669724770651</v>
      </c>
      <c r="S29" s="21">
        <f t="shared" si="23"/>
        <v>0.93333333333333335</v>
      </c>
      <c r="T29" s="35"/>
      <c r="U29" s="61">
        <v>135</v>
      </c>
      <c r="V29" s="13">
        <f t="shared" si="27"/>
        <v>126</v>
      </c>
      <c r="X29" s="142"/>
    </row>
    <row r="30" spans="1:25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0"/>
      <c r="F30" s="95"/>
      <c r="G30" s="95"/>
      <c r="H30" s="95"/>
      <c r="I30" s="13"/>
      <c r="J30" s="33"/>
      <c r="K30" s="33"/>
      <c r="L30" s="33"/>
      <c r="M30" s="33"/>
      <c r="N30" s="13">
        <f>216-36.6</f>
        <v>179.4</v>
      </c>
      <c r="O30" s="357"/>
      <c r="P30" s="24">
        <f t="shared" si="13"/>
        <v>179.4</v>
      </c>
      <c r="Q30" s="5">
        <f t="shared" si="22"/>
        <v>164.58715596330273</v>
      </c>
      <c r="R30" s="5">
        <f t="shared" si="24"/>
        <v>14.812844036697271</v>
      </c>
      <c r="S30" s="21">
        <f t="shared" si="23"/>
        <v>3.3222222222222224</v>
      </c>
      <c r="T30" s="35"/>
      <c r="U30" s="61">
        <v>216</v>
      </c>
      <c r="V30" s="13">
        <f t="shared" si="27"/>
        <v>717.6</v>
      </c>
      <c r="X30" s="142"/>
    </row>
    <row r="31" spans="1:25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/>
      <c r="G31" s="95"/>
      <c r="H31" s="95"/>
      <c r="I31" s="13"/>
      <c r="J31" s="33"/>
      <c r="K31" s="33"/>
      <c r="L31" s="33"/>
      <c r="M31" s="33"/>
      <c r="N31" s="13"/>
      <c r="O31" s="357"/>
      <c r="P31" s="24">
        <f t="shared" si="13"/>
        <v>0</v>
      </c>
      <c r="Q31" s="5">
        <f t="shared" si="22"/>
        <v>0</v>
      </c>
      <c r="R31" s="5">
        <f t="shared" si="24"/>
        <v>0</v>
      </c>
      <c r="S31" s="21">
        <f t="shared" si="23"/>
        <v>0</v>
      </c>
      <c r="T31" s="35"/>
      <c r="U31" s="61"/>
      <c r="V31" s="13"/>
      <c r="X31" s="142"/>
    </row>
    <row r="32" spans="1:25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/>
      <c r="G32" s="95"/>
      <c r="H32" s="95">
        <v>838.33</v>
      </c>
      <c r="I32" s="13"/>
      <c r="J32" s="33"/>
      <c r="K32" s="33"/>
      <c r="L32" s="33"/>
      <c r="M32" s="33"/>
      <c r="N32" s="13"/>
      <c r="O32" s="357"/>
      <c r="P32" s="24">
        <f t="shared" si="13"/>
        <v>838.33</v>
      </c>
      <c r="Q32" s="5">
        <f t="shared" si="22"/>
        <v>769.11009174311926</v>
      </c>
      <c r="R32" s="5">
        <f t="shared" si="24"/>
        <v>69.219908256880785</v>
      </c>
      <c r="S32" s="21">
        <f t="shared" si="23"/>
        <v>2.7944333333333335</v>
      </c>
      <c r="T32" s="35"/>
      <c r="U32" s="61">
        <v>300</v>
      </c>
      <c r="V32" s="13">
        <f t="shared" si="27"/>
        <v>838.33</v>
      </c>
      <c r="X32" s="142"/>
    </row>
    <row r="33" spans="1:25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318.67</v>
      </c>
      <c r="G33" s="95"/>
      <c r="H33" s="95"/>
      <c r="I33" s="13"/>
      <c r="J33" s="33"/>
      <c r="K33" s="33"/>
      <c r="L33" s="33"/>
      <c r="M33" s="33"/>
      <c r="N33" s="13">
        <v>532.66999999999996</v>
      </c>
      <c r="O33" s="357"/>
      <c r="P33" s="24">
        <f t="shared" si="13"/>
        <v>851.33999999999992</v>
      </c>
      <c r="Q33" s="5">
        <f t="shared" si="22"/>
        <v>781.04587155963293</v>
      </c>
      <c r="R33" s="5">
        <f t="shared" si="24"/>
        <v>70.29412844036699</v>
      </c>
      <c r="S33" s="21">
        <f t="shared" si="23"/>
        <v>7.0944999999999991</v>
      </c>
      <c r="T33" s="35"/>
      <c r="U33" s="61">
        <v>480</v>
      </c>
      <c r="V33" s="13">
        <f t="shared" si="27"/>
        <v>3405.3599999999997</v>
      </c>
      <c r="X33" s="142"/>
    </row>
    <row r="34" spans="1:25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13">
        <v>930</v>
      </c>
      <c r="O34" s="357"/>
      <c r="P34" s="24">
        <f t="shared" si="13"/>
        <v>930</v>
      </c>
      <c r="Q34" s="5">
        <f t="shared" si="22"/>
        <v>853.21100917431181</v>
      </c>
      <c r="R34" s="5">
        <f t="shared" si="24"/>
        <v>76.788990825688188</v>
      </c>
      <c r="S34" s="21">
        <f t="shared" si="23"/>
        <v>1.7222222222222223</v>
      </c>
      <c r="T34" s="35"/>
      <c r="U34" s="61"/>
      <c r="V34" s="13"/>
      <c r="X34" s="142"/>
    </row>
    <row r="35" spans="1:25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13"/>
      <c r="O35" s="357"/>
      <c r="P35" s="24">
        <f t="shared" si="13"/>
        <v>0</v>
      </c>
      <c r="Q35" s="5">
        <f t="shared" si="22"/>
        <v>0</v>
      </c>
      <c r="R35" s="5">
        <f t="shared" si="24"/>
        <v>0</v>
      </c>
      <c r="S35" s="21">
        <f t="shared" si="23"/>
        <v>0</v>
      </c>
      <c r="T35" s="35"/>
      <c r="U35" s="61">
        <v>270</v>
      </c>
      <c r="V35" s="13">
        <f t="shared" si="27"/>
        <v>0</v>
      </c>
      <c r="X35" s="142"/>
    </row>
    <row r="36" spans="1:25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13"/>
      <c r="O36" s="357"/>
      <c r="P36" s="24">
        <f t="shared" si="13"/>
        <v>0</v>
      </c>
      <c r="Q36" s="5">
        <f t="shared" si="22"/>
        <v>0</v>
      </c>
      <c r="R36" s="5">
        <f t="shared" si="24"/>
        <v>0</v>
      </c>
      <c r="S36" s="21">
        <f t="shared" si="23"/>
        <v>0</v>
      </c>
      <c r="T36" s="35"/>
      <c r="U36" s="61">
        <v>432</v>
      </c>
      <c r="V36" s="13">
        <f t="shared" si="27"/>
        <v>0</v>
      </c>
      <c r="X36" s="142"/>
    </row>
    <row r="37" spans="1:25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13"/>
      <c r="O37" s="357"/>
      <c r="P37" s="24">
        <f t="shared" si="13"/>
        <v>0</v>
      </c>
      <c r="Q37" s="5">
        <f t="shared" si="22"/>
        <v>0</v>
      </c>
      <c r="R37" s="5">
        <f t="shared" si="24"/>
        <v>0</v>
      </c>
      <c r="S37" s="21">
        <f t="shared" si="23"/>
        <v>0</v>
      </c>
      <c r="T37" s="35"/>
      <c r="U37" s="61"/>
      <c r="V37" s="13"/>
      <c r="X37" s="142"/>
    </row>
    <row r="38" spans="1:25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>
        <v>440</v>
      </c>
      <c r="G38" s="95"/>
      <c r="H38" s="95"/>
      <c r="I38" s="13"/>
      <c r="J38" s="33"/>
      <c r="K38" s="33"/>
      <c r="L38" s="33"/>
      <c r="M38" s="33"/>
      <c r="N38" s="13"/>
      <c r="O38" s="357"/>
      <c r="P38" s="24">
        <f t="shared" si="13"/>
        <v>440</v>
      </c>
      <c r="Q38" s="5">
        <f t="shared" si="22"/>
        <v>403.66972477064218</v>
      </c>
      <c r="R38" s="5">
        <f t="shared" si="24"/>
        <v>36.330275229357824</v>
      </c>
      <c r="S38" s="21">
        <f t="shared" si="23"/>
        <v>0.97777777777777775</v>
      </c>
      <c r="T38" s="35"/>
      <c r="U38" s="61">
        <v>450</v>
      </c>
      <c r="V38" s="13">
        <f t="shared" si="27"/>
        <v>440</v>
      </c>
      <c r="X38" s="142"/>
    </row>
    <row r="39" spans="1:25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/>
      <c r="G39" s="95"/>
      <c r="H39" s="95">
        <v>167.33</v>
      </c>
      <c r="I39" s="13"/>
      <c r="J39" s="33"/>
      <c r="K39" s="33"/>
      <c r="L39" s="33"/>
      <c r="M39" s="33"/>
      <c r="N39" s="13">
        <v>161.33000000000001</v>
      </c>
      <c r="O39" s="357"/>
      <c r="P39" s="24">
        <f t="shared" si="13"/>
        <v>328.66</v>
      </c>
      <c r="Q39" s="5">
        <f t="shared" si="22"/>
        <v>301.52293577981652</v>
      </c>
      <c r="R39" s="5">
        <f t="shared" si="24"/>
        <v>27.137064220183504</v>
      </c>
      <c r="S39" s="21">
        <f t="shared" si="23"/>
        <v>1.8258888888888891</v>
      </c>
      <c r="T39" s="35"/>
      <c r="U39" s="61">
        <v>720</v>
      </c>
      <c r="V39" s="13">
        <f t="shared" si="27"/>
        <v>1314.64</v>
      </c>
      <c r="X39" s="142"/>
    </row>
    <row r="40" spans="1:25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13"/>
      <c r="O40" s="357"/>
      <c r="P40" s="24">
        <f t="shared" si="13"/>
        <v>0</v>
      </c>
      <c r="Q40" s="5">
        <f t="shared" si="22"/>
        <v>0</v>
      </c>
      <c r="R40" s="5">
        <f t="shared" si="24"/>
        <v>0</v>
      </c>
      <c r="S40" s="21">
        <f t="shared" si="23"/>
        <v>0</v>
      </c>
      <c r="T40" s="71"/>
      <c r="U40" s="61"/>
      <c r="V40" s="13"/>
      <c r="X40" s="142"/>
    </row>
    <row r="41" spans="1:25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13"/>
      <c r="O41" s="357"/>
      <c r="P41" s="24">
        <f t="shared" si="13"/>
        <v>0</v>
      </c>
      <c r="Q41" s="5">
        <f t="shared" si="22"/>
        <v>0</v>
      </c>
      <c r="R41" s="5">
        <f t="shared" si="24"/>
        <v>0</v>
      </c>
      <c r="S41" s="21">
        <f t="shared" si="23"/>
        <v>0</v>
      </c>
      <c r="T41" s="71"/>
      <c r="U41" s="61">
        <v>405</v>
      </c>
      <c r="V41" s="13">
        <f t="shared" si="27"/>
        <v>0</v>
      </c>
      <c r="X41" s="142"/>
    </row>
    <row r="42" spans="1:25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5"/>
      <c r="O42" s="358"/>
      <c r="P42" s="24">
        <f t="shared" si="13"/>
        <v>0</v>
      </c>
      <c r="Q42" s="26">
        <f t="shared" si="22"/>
        <v>0</v>
      </c>
      <c r="R42" s="26">
        <f t="shared" si="24"/>
        <v>0</v>
      </c>
      <c r="S42" s="39">
        <f t="shared" si="23"/>
        <v>0</v>
      </c>
      <c r="T42" s="71"/>
      <c r="U42" s="61">
        <v>648</v>
      </c>
      <c r="V42" s="13">
        <f t="shared" si="27"/>
        <v>0</v>
      </c>
      <c r="X42" s="14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66.63</v>
      </c>
      <c r="F43" s="124">
        <v>4794.54</v>
      </c>
      <c r="G43" s="124">
        <v>612.67999999999995</v>
      </c>
      <c r="H43" s="124">
        <v>828.33</v>
      </c>
      <c r="I43" s="124"/>
      <c r="J43" s="124"/>
      <c r="K43" s="124"/>
      <c r="L43" s="124"/>
      <c r="M43" s="124">
        <v>47.23</v>
      </c>
      <c r="N43" s="148">
        <v>9.32</v>
      </c>
      <c r="O43" s="352"/>
      <c r="P43" s="24">
        <f t="shared" si="13"/>
        <v>6358.73</v>
      </c>
      <c r="Q43" s="124">
        <f t="shared" si="22"/>
        <v>5833.697247706421</v>
      </c>
      <c r="R43" s="6">
        <f t="shared" si="24"/>
        <v>525.0327522935786</v>
      </c>
      <c r="S43" s="22">
        <f>+P43/D43</f>
        <v>635.87299999999993</v>
      </c>
      <c r="T43" s="71"/>
      <c r="U43" s="61"/>
      <c r="V43" s="13"/>
      <c r="W43" s="2"/>
      <c r="X43" s="1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270.52</v>
      </c>
      <c r="F44" s="82">
        <f>+SUM(F45:F53)</f>
        <v>10529.84</v>
      </c>
      <c r="G44" s="82">
        <f>+SUM(G45:G53)</f>
        <v>1730</v>
      </c>
      <c r="H44" s="82">
        <f>+SUM(H45:H53)</f>
        <v>403.76</v>
      </c>
      <c r="I44" s="82">
        <f t="shared" ref="I44:S44" si="28">+SUM(I45:I53)</f>
        <v>0</v>
      </c>
      <c r="J44" s="82">
        <f t="shared" si="28"/>
        <v>0</v>
      </c>
      <c r="K44" s="100">
        <f t="shared" si="28"/>
        <v>0</v>
      </c>
      <c r="L44" s="100"/>
      <c r="M44" s="100">
        <f t="shared" si="28"/>
        <v>64.78</v>
      </c>
      <c r="N44" s="187">
        <f t="shared" si="28"/>
        <v>1095.1999999999998</v>
      </c>
      <c r="O44" s="100">
        <f t="shared" si="28"/>
        <v>0</v>
      </c>
      <c r="P44" s="42">
        <f>+SUM(P45:P53)</f>
        <v>14094.099999999999</v>
      </c>
      <c r="Q44" s="82">
        <f t="shared" si="28"/>
        <v>12930.366972477061</v>
      </c>
      <c r="R44" s="82">
        <f t="shared" si="28"/>
        <v>1163.7330275229369</v>
      </c>
      <c r="S44" s="19">
        <f t="shared" si="28"/>
        <v>662.96788617886182</v>
      </c>
      <c r="T44" s="71"/>
      <c r="U44" s="61"/>
      <c r="V44" s="105">
        <f>+SUM(V45:V68)</f>
        <v>11614.25</v>
      </c>
    </row>
    <row r="45" spans="1:25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308"/>
      <c r="O45" s="356"/>
      <c r="P45" s="24">
        <f t="shared" si="13"/>
        <v>0</v>
      </c>
      <c r="Q45" s="99">
        <f t="shared" ref="Q45:Q53" si="29">+P45/1.09</f>
        <v>0</v>
      </c>
      <c r="R45" s="64">
        <f t="shared" ref="R45:R53" si="30">+P45-Q45</f>
        <v>0</v>
      </c>
      <c r="S45" s="85">
        <f t="shared" ref="S45:S53" si="31">P45/D45</f>
        <v>0</v>
      </c>
      <c r="T45" s="71"/>
      <c r="U45" s="61"/>
      <c r="V45" s="13"/>
      <c r="W45"/>
      <c r="X45" s="142"/>
      <c r="Y45"/>
    </row>
    <row r="46" spans="1:25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13"/>
      <c r="O46" s="357"/>
      <c r="P46" s="24">
        <f t="shared" si="13"/>
        <v>0</v>
      </c>
      <c r="Q46" s="5">
        <f t="shared" si="29"/>
        <v>0</v>
      </c>
      <c r="R46" s="5">
        <f t="shared" si="30"/>
        <v>0</v>
      </c>
      <c r="S46" s="31">
        <f t="shared" si="31"/>
        <v>0</v>
      </c>
      <c r="T46" s="71"/>
      <c r="U46" s="61">
        <v>6</v>
      </c>
      <c r="V46" s="13">
        <f t="shared" ref="V46:V47" si="32">+S46*U46</f>
        <v>0</v>
      </c>
      <c r="X46" s="142"/>
    </row>
    <row r="47" spans="1:25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13"/>
      <c r="O47" s="357"/>
      <c r="P47" s="24">
        <f t="shared" si="13"/>
        <v>0</v>
      </c>
      <c r="Q47" s="5">
        <f t="shared" si="29"/>
        <v>0</v>
      </c>
      <c r="R47" s="5">
        <f t="shared" si="30"/>
        <v>0</v>
      </c>
      <c r="S47" s="31">
        <f t="shared" si="31"/>
        <v>0</v>
      </c>
      <c r="T47" s="71"/>
      <c r="U47" s="61">
        <v>9.6</v>
      </c>
      <c r="V47" s="13">
        <f t="shared" si="32"/>
        <v>0</v>
      </c>
      <c r="X47" s="142"/>
    </row>
    <row r="48" spans="1:25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14</v>
      </c>
      <c r="F48" s="13">
        <v>343</v>
      </c>
      <c r="G48" s="13">
        <v>28</v>
      </c>
      <c r="H48" s="13">
        <v>35</v>
      </c>
      <c r="I48" s="13"/>
      <c r="J48" s="33"/>
      <c r="K48" s="33"/>
      <c r="L48" s="33"/>
      <c r="M48" s="33"/>
      <c r="N48" s="13"/>
      <c r="O48" s="357"/>
      <c r="P48" s="24">
        <f t="shared" si="13"/>
        <v>420</v>
      </c>
      <c r="Q48" s="5">
        <f t="shared" si="29"/>
        <v>385.32110091743118</v>
      </c>
      <c r="R48" s="5">
        <f t="shared" si="30"/>
        <v>34.678899082568819</v>
      </c>
      <c r="S48" s="31">
        <f t="shared" si="31"/>
        <v>20</v>
      </c>
      <c r="T48" s="71"/>
      <c r="U48" s="61"/>
      <c r="V48" s="13"/>
      <c r="X48" s="142"/>
    </row>
    <row r="49" spans="1:24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63</v>
      </c>
      <c r="G49" s="13">
        <v>14</v>
      </c>
      <c r="H49" s="13"/>
      <c r="I49" s="13"/>
      <c r="J49" s="33"/>
      <c r="K49" s="33"/>
      <c r="L49" s="33"/>
      <c r="M49" s="33"/>
      <c r="N49" s="13"/>
      <c r="O49" s="357"/>
      <c r="P49" s="24">
        <f t="shared" si="13"/>
        <v>77</v>
      </c>
      <c r="Q49" s="5">
        <f t="shared" si="29"/>
        <v>70.642201834862377</v>
      </c>
      <c r="R49" s="5">
        <f t="shared" si="30"/>
        <v>6.3577981651376234</v>
      </c>
      <c r="S49" s="21">
        <f t="shared" si="31"/>
        <v>7.333333333333333</v>
      </c>
      <c r="T49" s="71"/>
      <c r="U49" s="61">
        <v>10.5</v>
      </c>
      <c r="V49" s="13">
        <f t="shared" ref="V49:V50" si="33">+S49*U49</f>
        <v>77</v>
      </c>
      <c r="X49" s="142"/>
    </row>
    <row r="50" spans="1:24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5.6</v>
      </c>
      <c r="F50" s="13">
        <f>4.2+138.6</f>
        <v>142.79999999999998</v>
      </c>
      <c r="G50" s="13">
        <v>23.8</v>
      </c>
      <c r="H50" s="13">
        <v>1.4</v>
      </c>
      <c r="I50" s="13"/>
      <c r="J50" s="33"/>
      <c r="K50" s="33"/>
      <c r="L50" s="33"/>
      <c r="M50" s="33"/>
      <c r="N50" s="13">
        <v>21</v>
      </c>
      <c r="O50" s="357"/>
      <c r="P50" s="24">
        <f t="shared" si="13"/>
        <v>194.6</v>
      </c>
      <c r="Q50" s="5">
        <f t="shared" si="29"/>
        <v>178.53211009174311</v>
      </c>
      <c r="R50" s="5">
        <f t="shared" si="30"/>
        <v>16.067889908256888</v>
      </c>
      <c r="S50" s="21">
        <f t="shared" si="31"/>
        <v>46.333333333333329</v>
      </c>
      <c r="T50" s="71"/>
      <c r="U50" s="61">
        <v>16.8</v>
      </c>
      <c r="V50" s="13">
        <f t="shared" si="33"/>
        <v>778.4</v>
      </c>
      <c r="X50" s="142"/>
    </row>
    <row r="51" spans="1:24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188.6</v>
      </c>
      <c r="F51" s="13">
        <v>7626</v>
      </c>
      <c r="G51" s="13">
        <v>1205.4000000000001</v>
      </c>
      <c r="H51" s="13">
        <v>299.3</v>
      </c>
      <c r="I51" s="13"/>
      <c r="J51" s="33"/>
      <c r="K51" s="33"/>
      <c r="L51" s="33"/>
      <c r="M51" s="33">
        <v>57.4</v>
      </c>
      <c r="N51" s="13">
        <v>565.79999999999995</v>
      </c>
      <c r="O51" s="357"/>
      <c r="P51" s="24">
        <f t="shared" si="13"/>
        <v>9942.4999999999982</v>
      </c>
      <c r="Q51" s="5">
        <f t="shared" si="29"/>
        <v>9121.5596330275202</v>
      </c>
      <c r="R51" s="5">
        <f t="shared" si="30"/>
        <v>820.94036697247793</v>
      </c>
      <c r="S51" s="21">
        <f t="shared" si="31"/>
        <v>242.49999999999994</v>
      </c>
      <c r="T51" s="71"/>
      <c r="U51" s="61"/>
      <c r="V51" s="13"/>
      <c r="X51" s="142"/>
    </row>
    <row r="52" spans="1:24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/>
      <c r="F52" s="13">
        <v>848.7</v>
      </c>
      <c r="G52" s="13">
        <v>145.55000000000001</v>
      </c>
      <c r="H52" s="13">
        <v>20.5</v>
      </c>
      <c r="I52" s="13"/>
      <c r="J52" s="33"/>
      <c r="K52" s="33"/>
      <c r="L52" s="33"/>
      <c r="M52" s="33"/>
      <c r="N52" s="13">
        <v>12.3</v>
      </c>
      <c r="O52" s="357"/>
      <c r="P52" s="24">
        <f t="shared" si="13"/>
        <v>1027.05</v>
      </c>
      <c r="Q52" s="5">
        <f t="shared" si="29"/>
        <v>942.24770642201827</v>
      </c>
      <c r="R52" s="5">
        <f t="shared" si="30"/>
        <v>84.802293577981686</v>
      </c>
      <c r="S52" s="21">
        <f t="shared" si="31"/>
        <v>50.099999999999994</v>
      </c>
      <c r="T52" s="71"/>
      <c r="U52" s="61">
        <v>20.5</v>
      </c>
      <c r="V52" s="13">
        <f t="shared" ref="V52:V53" si="34">+S52*U52</f>
        <v>1027.05</v>
      </c>
      <c r="X52" s="142"/>
    </row>
    <row r="53" spans="1:24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f>1.64+60.68</f>
        <v>62.32</v>
      </c>
      <c r="F53" s="14">
        <v>1506.34</v>
      </c>
      <c r="G53" s="14">
        <v>313.25</v>
      </c>
      <c r="H53" s="14">
        <v>47.56</v>
      </c>
      <c r="I53" s="14"/>
      <c r="J53" s="76"/>
      <c r="K53" s="76"/>
      <c r="L53" s="76"/>
      <c r="M53" s="76">
        <v>7.38</v>
      </c>
      <c r="N53" s="14">
        <f>3.28+492.82</f>
        <v>496.09999999999997</v>
      </c>
      <c r="O53" s="224"/>
      <c r="P53" s="359">
        <f t="shared" si="13"/>
        <v>2432.9499999999998</v>
      </c>
      <c r="Q53" s="6">
        <f t="shared" si="29"/>
        <v>2232.0642201834858</v>
      </c>
      <c r="R53" s="6">
        <f t="shared" si="30"/>
        <v>200.88577981651406</v>
      </c>
      <c r="S53" s="22">
        <f t="shared" si="31"/>
        <v>296.70121951219511</v>
      </c>
      <c r="T53" s="35"/>
      <c r="U53" s="61">
        <v>32.799999999999997</v>
      </c>
      <c r="V53" s="13">
        <f t="shared" si="34"/>
        <v>9731.7999999999993</v>
      </c>
      <c r="X53" s="142"/>
    </row>
    <row r="54" spans="1:24" x14ac:dyDescent="0.25">
      <c r="F54" s="2"/>
      <c r="G54" s="2"/>
      <c r="H54" s="2"/>
      <c r="I54" s="2"/>
      <c r="J54" s="2"/>
      <c r="K54" s="2"/>
      <c r="L54" s="2"/>
      <c r="M54" s="2"/>
      <c r="P54" s="2"/>
      <c r="Q54" s="2"/>
      <c r="R54" s="2"/>
    </row>
    <row r="55" spans="1:24" x14ac:dyDescent="0.25">
      <c r="E55" s="2"/>
      <c r="F55" s="2"/>
      <c r="G55" s="2"/>
      <c r="H55" s="2"/>
      <c r="I55" s="2"/>
      <c r="J55" s="2"/>
      <c r="K55" s="2"/>
      <c r="L55" s="2"/>
      <c r="M55" s="2"/>
      <c r="P55" s="2"/>
      <c r="Q55" s="2"/>
      <c r="R55" s="2"/>
    </row>
    <row r="57" spans="1:24" x14ac:dyDescent="0.25">
      <c r="N57" s="137"/>
      <c r="O57" s="137"/>
    </row>
    <row r="73" spans="2:2" x14ac:dyDescent="0.25">
      <c r="B73" s="1"/>
    </row>
  </sheetData>
  <mergeCells count="18">
    <mergeCell ref="V3:V4"/>
    <mergeCell ref="G3:G4"/>
    <mergeCell ref="H3:H4"/>
    <mergeCell ref="I3:I4"/>
    <mergeCell ref="J3:J4"/>
    <mergeCell ref="K3:L3"/>
    <mergeCell ref="M3:M4"/>
    <mergeCell ref="P3:P4"/>
    <mergeCell ref="Q3:Q4"/>
    <mergeCell ref="R3:R4"/>
    <mergeCell ref="S3:S4"/>
    <mergeCell ref="N3:O3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Y73"/>
  <sheetViews>
    <sheetView topLeftCell="L1" zoomScaleNormal="100" workbookViewId="0">
      <selection activeCell="M5" sqref="M5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 outlineLevel="1"/>
    <col min="6" max="6" width="13" style="1" customWidth="1" outlineLevel="1"/>
    <col min="7" max="7" width="11.33203125" style="1" customWidth="1" outlineLevel="1"/>
    <col min="8" max="8" width="14.33203125" style="1" customWidth="1" outlineLevel="1"/>
    <col min="9" max="9" width="15.33203125" style="1" customWidth="1" outlineLevel="1"/>
    <col min="10" max="10" width="15.109375" style="1" customWidth="1" outlineLevel="1"/>
    <col min="11" max="13" width="13" style="1" customWidth="1" outlineLevel="1"/>
    <col min="14" max="15" width="11.88671875" style="1" customWidth="1" outlineLevel="1"/>
    <col min="16" max="16" width="12.33203125" style="1" bestFit="1" customWidth="1"/>
    <col min="17" max="17" width="12.33203125" style="1" customWidth="1"/>
    <col min="18" max="18" width="13.109375" style="1" bestFit="1" customWidth="1"/>
    <col min="19" max="19" width="12.33203125" style="1" bestFit="1" customWidth="1"/>
    <col min="20" max="20" width="2.44140625" style="1" customWidth="1"/>
    <col min="21" max="21" width="6.44140625" style="1" customWidth="1" outlineLevel="1"/>
    <col min="22" max="22" width="14.33203125" style="2" customWidth="1" outlineLevel="1"/>
    <col min="23" max="23" width="4.33203125" style="1" customWidth="1" outlineLevel="1"/>
    <col min="24" max="25" width="12.33203125" style="1" bestFit="1" customWidth="1"/>
    <col min="26" max="16384" width="8.88671875" style="1"/>
  </cols>
  <sheetData>
    <row r="1" spans="1:25" ht="16.95" customHeight="1" x14ac:dyDescent="0.3">
      <c r="A1" s="40" t="s">
        <v>325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>
        <f>+(P5-K5-L5)/1.09+R_2014_05_saskaitos!P55</f>
        <v>10647302.005412841</v>
      </c>
      <c r="Q1" s="2"/>
      <c r="R1" s="2"/>
      <c r="S1" s="2"/>
      <c r="T1" s="2"/>
      <c r="U1" s="2"/>
      <c r="V1" s="2">
        <f>+V5/1.09</f>
        <v>6484282.8623853205</v>
      </c>
    </row>
    <row r="2" spans="1:25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5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6" t="s">
        <v>178</v>
      </c>
      <c r="O3" s="598"/>
      <c r="P3" s="590" t="s">
        <v>43</v>
      </c>
      <c r="Q3" s="590" t="s">
        <v>44</v>
      </c>
      <c r="R3" s="590" t="s">
        <v>41</v>
      </c>
      <c r="S3" s="590" t="s">
        <v>149</v>
      </c>
      <c r="U3" s="270"/>
      <c r="V3" s="584" t="s">
        <v>148</v>
      </c>
    </row>
    <row r="4" spans="1:25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345</v>
      </c>
      <c r="M4" s="575"/>
      <c r="N4" s="254" t="s">
        <v>203</v>
      </c>
      <c r="O4" s="254" t="s">
        <v>348</v>
      </c>
      <c r="P4" s="591"/>
      <c r="Q4" s="592"/>
      <c r="R4" s="592"/>
      <c r="S4" s="592"/>
      <c r="U4" s="87"/>
      <c r="V4" s="585"/>
    </row>
    <row r="5" spans="1:25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S5" si="0">+E6+E18+E44</f>
        <v>168419.27</v>
      </c>
      <c r="F5" s="82">
        <f t="shared" si="0"/>
        <v>6646677.1200000001</v>
      </c>
      <c r="G5" s="82">
        <f t="shared" si="0"/>
        <v>984162.33</v>
      </c>
      <c r="H5" s="82">
        <f t="shared" si="0"/>
        <v>142032.35000000003</v>
      </c>
      <c r="I5" s="187">
        <f t="shared" si="0"/>
        <v>719225.85</v>
      </c>
      <c r="J5" s="187">
        <f t="shared" si="0"/>
        <v>1120810.95</v>
      </c>
      <c r="K5" s="192">
        <f t="shared" si="0"/>
        <v>997961.84</v>
      </c>
      <c r="L5" s="192">
        <f t="shared" si="0"/>
        <v>2141.3399999997841</v>
      </c>
      <c r="M5" s="187">
        <f t="shared" si="0"/>
        <v>54661.120000000003</v>
      </c>
      <c r="N5" s="187">
        <f t="shared" si="0"/>
        <v>642811.70999999985</v>
      </c>
      <c r="O5" s="187">
        <f t="shared" ref="O5" si="1">+O6+O18+O44</f>
        <v>834.8</v>
      </c>
      <c r="P5" s="42">
        <f>+SUM(E5:O5)</f>
        <v>11479738.679999998</v>
      </c>
      <c r="Q5" s="42">
        <f t="shared" si="0"/>
        <v>10531870.348623853</v>
      </c>
      <c r="R5" s="42">
        <f t="shared" si="0"/>
        <v>947868.33137614711</v>
      </c>
      <c r="S5" s="42">
        <f t="shared" si="0"/>
        <v>2505444.6166823399</v>
      </c>
      <c r="T5" s="71"/>
      <c r="U5" s="87"/>
      <c r="V5" s="135">
        <f>+V6+V18+V44</f>
        <v>7067868.3199999994</v>
      </c>
      <c r="X5" s="2"/>
      <c r="Y5" s="2"/>
    </row>
    <row r="6" spans="1:25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S6" si="2">+E7+E11</f>
        <v>37980.340000000004</v>
      </c>
      <c r="F6" s="82">
        <f t="shared" si="2"/>
        <v>1675570.0800000003</v>
      </c>
      <c r="G6" s="82">
        <f t="shared" si="2"/>
        <v>245206.09999999998</v>
      </c>
      <c r="H6" s="82">
        <f t="shared" si="2"/>
        <v>33089.680000000008</v>
      </c>
      <c r="I6" s="187">
        <f t="shared" si="2"/>
        <v>719225.85</v>
      </c>
      <c r="J6" s="187">
        <f t="shared" si="2"/>
        <v>1120810.95</v>
      </c>
      <c r="K6" s="192">
        <f t="shared" si="2"/>
        <v>997961.84</v>
      </c>
      <c r="L6" s="192">
        <f t="shared" si="2"/>
        <v>2141.3399999997841</v>
      </c>
      <c r="M6" s="187">
        <f t="shared" si="2"/>
        <v>16273.54</v>
      </c>
      <c r="N6" s="187">
        <f t="shared" si="2"/>
        <v>158104.28</v>
      </c>
      <c r="O6" s="187">
        <f t="shared" ref="O6" si="3">+O7+O11</f>
        <v>156</v>
      </c>
      <c r="P6" s="42">
        <f t="shared" ref="P6:P7" si="4">+SUM(E6:O6)</f>
        <v>5006520</v>
      </c>
      <c r="Q6" s="42">
        <f t="shared" si="2"/>
        <v>4593137.6146788988</v>
      </c>
      <c r="R6" s="42">
        <f t="shared" si="2"/>
        <v>413382.38532110106</v>
      </c>
      <c r="S6" s="44">
        <f t="shared" si="2"/>
        <v>2354728</v>
      </c>
      <c r="U6" s="61"/>
      <c r="V6" s="105">
        <f>+SUM(V8:V17)</f>
        <v>1114825.6000000001</v>
      </c>
      <c r="X6" s="2"/>
      <c r="Y6" s="2"/>
    </row>
    <row r="7" spans="1:25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L7" si="5">+SUM(E8:E10)</f>
        <v>0</v>
      </c>
      <c r="F7" s="269">
        <f t="shared" si="5"/>
        <v>0</v>
      </c>
      <c r="G7" s="126">
        <f t="shared" si="5"/>
        <v>0</v>
      </c>
      <c r="H7" s="126">
        <f t="shared" si="5"/>
        <v>0</v>
      </c>
      <c r="I7" s="126">
        <f t="shared" si="5"/>
        <v>719225.85</v>
      </c>
      <c r="J7" s="126">
        <f t="shared" si="5"/>
        <v>1120810.95</v>
      </c>
      <c r="K7" s="126">
        <f t="shared" si="5"/>
        <v>0</v>
      </c>
      <c r="L7" s="126">
        <f t="shared" si="5"/>
        <v>0</v>
      </c>
      <c r="M7" s="269">
        <f t="shared" ref="M7:S7" si="6">+SUM(M8:M10)</f>
        <v>0</v>
      </c>
      <c r="N7" s="126">
        <f t="shared" si="6"/>
        <v>0</v>
      </c>
      <c r="O7" s="126">
        <f t="shared" ref="O7" si="7">+SUM(O8:O10)</f>
        <v>0</v>
      </c>
      <c r="P7" s="43">
        <f t="shared" si="4"/>
        <v>1840036.7999999998</v>
      </c>
      <c r="Q7" s="43">
        <f t="shared" si="6"/>
        <v>1688107.1559633026</v>
      </c>
      <c r="R7" s="43">
        <f t="shared" si="6"/>
        <v>151929.64403669734</v>
      </c>
      <c r="S7" s="45">
        <f t="shared" si="6"/>
        <v>673750</v>
      </c>
      <c r="T7" s="71"/>
      <c r="U7" s="134"/>
      <c r="V7" s="105"/>
      <c r="X7" s="2"/>
      <c r="Y7" s="2"/>
    </row>
    <row r="8" spans="1:25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+'R_2014_05_atkelta(viso)'!E8+R_2014_05_priskirta!E9</f>
        <v>0</v>
      </c>
      <c r="F8" s="127">
        <f>+'R_2014_05_atkelta(viso)'!F8+R_2014_05_priskirta!F9</f>
        <v>0</v>
      </c>
      <c r="G8" s="127">
        <f>+'R_2014_05_atkelta(viso)'!G8+R_2014_05_priskirta!G9</f>
        <v>0</v>
      </c>
      <c r="H8" s="127">
        <f>+'R_2014_05_atkelta(viso)'!H8+R_2014_05_priskirta!H9</f>
        <v>0</v>
      </c>
      <c r="I8" s="127">
        <f>+'R_2014_05_atkelta(viso)'!I8+R_2014_05_priskirta!I9</f>
        <v>524251</v>
      </c>
      <c r="J8" s="127">
        <f>+'R_2014_05_atkelta(viso)'!J8+R_2014_05_priskirta!J9</f>
        <v>831096</v>
      </c>
      <c r="K8" s="127">
        <f>+'R_2014_05_atkelta(viso)'!K8+R_2014_05_priskirta!K9</f>
        <v>0</v>
      </c>
      <c r="L8" s="127">
        <f>+'R_2014_05_atkelta(viso)'!L8+R_2014_05_priskirta!L9</f>
        <v>0</v>
      </c>
      <c r="M8" s="127">
        <f>+'R_2014_05_atkelta(viso)'!M8+R_2014_05_priskirta!M9</f>
        <v>0</v>
      </c>
      <c r="N8" s="361">
        <f>+'R_2014_05_atkelta(viso)'!N8+R_2014_05_priskirta!N9</f>
        <v>0</v>
      </c>
      <c r="O8" s="361">
        <f>+'R_2014_05_atkelta(viso)'!O8+R_2014_05_priskirta!O9</f>
        <v>0</v>
      </c>
      <c r="P8" s="24">
        <f>+SUM(E8:O8)</f>
        <v>1355347</v>
      </c>
      <c r="Q8" s="229">
        <f>+P8/1.09</f>
        <v>1243437.6146788991</v>
      </c>
      <c r="R8" s="73">
        <f t="shared" ref="R8:R10" si="8">+P8-Q8</f>
        <v>111909.38532110094</v>
      </c>
      <c r="S8" s="39">
        <f>P8/D8</f>
        <v>387242</v>
      </c>
      <c r="T8" s="71"/>
      <c r="U8" s="61"/>
      <c r="V8" s="13"/>
      <c r="W8" s="2"/>
      <c r="X8" s="2"/>
      <c r="Y8" s="2"/>
    </row>
    <row r="9" spans="1:25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9">+D8*0.5</f>
        <v>1.75</v>
      </c>
      <c r="E9" s="127">
        <f>+'R_2014_05_atkelta(viso)'!E9+R_2014_05_priskirta!E10</f>
        <v>0</v>
      </c>
      <c r="F9" s="127">
        <f>+'R_2014_05_atkelta(viso)'!F9+R_2014_05_priskirta!F10</f>
        <v>0</v>
      </c>
      <c r="G9" s="127">
        <f>+'R_2014_05_atkelta(viso)'!G9+R_2014_05_priskirta!G10</f>
        <v>0</v>
      </c>
      <c r="H9" s="127">
        <f>+'R_2014_05_atkelta(viso)'!H9+R_2014_05_priskirta!H10</f>
        <v>0</v>
      </c>
      <c r="I9" s="127">
        <f>+'R_2014_05_atkelta(viso)'!I9+R_2014_05_priskirta!I10</f>
        <v>191150.75</v>
      </c>
      <c r="J9" s="127">
        <f>+'R_2014_05_atkelta(viso)'!J9+R_2014_05_priskirta!J10</f>
        <v>282406.25</v>
      </c>
      <c r="K9" s="127">
        <f>+'R_2014_05_atkelta(viso)'!K9+R_2014_05_priskirta!K10</f>
        <v>0</v>
      </c>
      <c r="L9" s="127">
        <f>+'R_2014_05_atkelta(viso)'!L9+R_2014_05_priskirta!L10</f>
        <v>0</v>
      </c>
      <c r="M9" s="127">
        <f>+'R_2014_05_atkelta(viso)'!M9+R_2014_05_priskirta!M10</f>
        <v>0</v>
      </c>
      <c r="N9" s="96">
        <f>+'R_2014_05_atkelta(viso)'!N9+R_2014_05_priskirta!N10</f>
        <v>0</v>
      </c>
      <c r="O9" s="96">
        <f>+'R_2014_05_atkelta(viso)'!O9+R_2014_05_priskirta!O10</f>
        <v>0</v>
      </c>
      <c r="P9" s="24">
        <f t="shared" ref="P9:P53" si="10">+SUM(E9:O9)</f>
        <v>473557</v>
      </c>
      <c r="Q9" s="229">
        <f t="shared" ref="Q9:Q53" si="11">+P9/1.09</f>
        <v>434455.96330275224</v>
      </c>
      <c r="R9" s="207">
        <f t="shared" si="8"/>
        <v>39101.036697247764</v>
      </c>
      <c r="S9" s="39">
        <f>P9/D9</f>
        <v>270604</v>
      </c>
      <c r="T9" s="71"/>
      <c r="U9" s="61">
        <v>1.75</v>
      </c>
      <c r="V9" s="13">
        <f>+S9*U9</f>
        <v>473557</v>
      </c>
      <c r="X9" s="2"/>
      <c r="Y9" s="2"/>
    </row>
    <row r="10" spans="1:25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+'R_2014_05_atkelta(viso)'!E10+R_2014_05_priskirta!E11</f>
        <v>0</v>
      </c>
      <c r="F10" s="127">
        <f>+'R_2014_05_atkelta(viso)'!F10+R_2014_05_priskirta!F11</f>
        <v>0</v>
      </c>
      <c r="G10" s="127">
        <f>+'R_2014_05_atkelta(viso)'!G10+R_2014_05_priskirta!G11</f>
        <v>0</v>
      </c>
      <c r="H10" s="127">
        <f>+'R_2014_05_atkelta(viso)'!H10+R_2014_05_priskirta!H11</f>
        <v>0</v>
      </c>
      <c r="I10" s="127">
        <f>+'R_2014_05_atkelta(viso)'!I10+R_2014_05_priskirta!I11</f>
        <v>3824.1</v>
      </c>
      <c r="J10" s="127">
        <f>+'R_2014_05_atkelta(viso)'!J10+R_2014_05_priskirta!J11</f>
        <v>7308.7</v>
      </c>
      <c r="K10" s="127">
        <f>+'R_2014_05_atkelta(viso)'!K10+R_2014_05_priskirta!K11</f>
        <v>0</v>
      </c>
      <c r="L10" s="127">
        <f>+'R_2014_05_atkelta(viso)'!L10+R_2014_05_priskirta!L11</f>
        <v>0</v>
      </c>
      <c r="M10" s="127">
        <f>+'R_2014_05_atkelta(viso)'!M10+R_2014_05_priskirta!M11</f>
        <v>0</v>
      </c>
      <c r="N10" s="148">
        <f>+'R_2014_05_atkelta(viso)'!N10+R_2014_05_priskirta!N11</f>
        <v>0</v>
      </c>
      <c r="O10" s="148">
        <f>+'R_2014_05_atkelta(viso)'!O10+R_2014_05_priskirta!O11</f>
        <v>0</v>
      </c>
      <c r="P10" s="24">
        <f t="shared" si="10"/>
        <v>11132.8</v>
      </c>
      <c r="Q10" s="229">
        <f t="shared" si="11"/>
        <v>10213.577981651375</v>
      </c>
      <c r="R10" s="207">
        <f t="shared" si="8"/>
        <v>919.22201834862426</v>
      </c>
      <c r="S10" s="39">
        <f>P10/D10</f>
        <v>15904</v>
      </c>
      <c r="T10" s="71"/>
      <c r="U10" s="107">
        <v>2.8</v>
      </c>
      <c r="V10" s="13">
        <f>+S10*U10</f>
        <v>44531.199999999997</v>
      </c>
      <c r="W10" s="2"/>
      <c r="X10" s="2"/>
      <c r="Y10" s="2"/>
    </row>
    <row r="11" spans="1:25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12">+SUM(E12:E17)</f>
        <v>37980.340000000004</v>
      </c>
      <c r="F11" s="84">
        <f t="shared" si="12"/>
        <v>1675570.0800000003</v>
      </c>
      <c r="G11" s="84">
        <f t="shared" si="12"/>
        <v>245206.09999999998</v>
      </c>
      <c r="H11" s="84">
        <f t="shared" si="12"/>
        <v>33089.680000000008</v>
      </c>
      <c r="I11" s="84">
        <f t="shared" si="12"/>
        <v>0</v>
      </c>
      <c r="J11" s="74">
        <f t="shared" si="12"/>
        <v>0</v>
      </c>
      <c r="K11" s="101">
        <f t="shared" si="12"/>
        <v>997961.84</v>
      </c>
      <c r="L11" s="101">
        <f t="shared" si="12"/>
        <v>2141.3399999997841</v>
      </c>
      <c r="M11" s="101">
        <f t="shared" ref="M11:S11" si="13">+SUM(M12:M17)</f>
        <v>16273.54</v>
      </c>
      <c r="N11" s="101">
        <f t="shared" si="13"/>
        <v>158104.28</v>
      </c>
      <c r="O11" s="101">
        <f t="shared" ref="O11" si="14">+SUM(O12:O17)</f>
        <v>156</v>
      </c>
      <c r="P11" s="43">
        <f t="shared" ref="P11" si="15">+SUM(P12:P17)</f>
        <v>3166483.1999999997</v>
      </c>
      <c r="Q11" s="43">
        <f t="shared" si="13"/>
        <v>2905030.4587155962</v>
      </c>
      <c r="R11" s="72">
        <f t="shared" si="13"/>
        <v>261452.74128440369</v>
      </c>
      <c r="S11" s="45">
        <f t="shared" si="13"/>
        <v>1680977.9999999998</v>
      </c>
      <c r="T11" s="71"/>
      <c r="U11" s="61"/>
      <c r="V11" s="13"/>
      <c r="X11" s="2"/>
      <c r="Y11" s="2"/>
    </row>
    <row r="12" spans="1:25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+'R_2014_05_atkelta(viso)'!E12+R_2014_05_priskirta!E13</f>
        <v>29902.400000000001</v>
      </c>
      <c r="F12" s="127">
        <f>+'R_2014_05_atkelta(viso)'!F12+R_2014_05_priskirta!F13</f>
        <v>1272656</v>
      </c>
      <c r="G12" s="127">
        <f>+'R_2014_05_atkelta(viso)'!G12+R_2014_05_priskirta!G13</f>
        <v>180276.8</v>
      </c>
      <c r="H12" s="127">
        <f>+'R_2014_05_atkelta(viso)'!H12+R_2014_05_priskirta!H13</f>
        <v>25205.4</v>
      </c>
      <c r="I12" s="127">
        <f>+'R_2014_05_atkelta(viso)'!I12+R_2014_05_priskirta!I13</f>
        <v>0</v>
      </c>
      <c r="J12" s="127">
        <f>+'R_2014_05_atkelta(viso)'!J12+R_2014_05_priskirta!J13</f>
        <v>0</v>
      </c>
      <c r="K12" s="127">
        <f>+'R_2014_05_atkelta(viso)'!K12+R_2014_05_priskirta!K13</f>
        <v>773614.6</v>
      </c>
      <c r="L12" s="127">
        <f>+'R_2014_05_atkelta(viso)'!L12+R_2014_05_priskirta!L13</f>
        <v>1592.7999999998137</v>
      </c>
      <c r="M12" s="127">
        <f>+'R_2014_05_atkelta(viso)'!M12+R_2014_05_priskirta!M13</f>
        <v>11160.6</v>
      </c>
      <c r="N12" s="361">
        <f>+'R_2014_05_atkelta(viso)'!N12+R_2014_05_priskirta!N13</f>
        <v>138947.6</v>
      </c>
      <c r="O12" s="361">
        <f>+'R_2014_05_atkelta(viso)'!O12+R_2014_05_priskirta!O13</f>
        <v>138.6</v>
      </c>
      <c r="P12" s="24">
        <f t="shared" si="10"/>
        <v>2433494.7999999998</v>
      </c>
      <c r="Q12" s="229">
        <f t="shared" si="11"/>
        <v>2232564.0366972475</v>
      </c>
      <c r="R12" s="73">
        <f t="shared" ref="R12:R17" si="16">+P12-Q12</f>
        <v>200930.76330275228</v>
      </c>
      <c r="S12" s="21">
        <f t="shared" ref="S12:S17" si="17">P12/D12</f>
        <v>1106133.9999999998</v>
      </c>
      <c r="T12" s="2"/>
      <c r="U12" s="61"/>
      <c r="V12" s="13"/>
      <c r="X12" s="2"/>
      <c r="Y12" s="2"/>
    </row>
    <row r="13" spans="1:25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+'R_2014_05_atkelta(viso)'!E13+R_2014_05_priskirta!E14</f>
        <v>7208.3</v>
      </c>
      <c r="F13" s="127">
        <f>+'R_2014_05_atkelta(viso)'!F13+R_2014_05_priskirta!F14</f>
        <v>374435.6</v>
      </c>
      <c r="G13" s="127">
        <f>+'R_2014_05_atkelta(viso)'!G13+R_2014_05_priskirta!G14</f>
        <v>59592.5</v>
      </c>
      <c r="H13" s="127">
        <f>+'R_2014_05_atkelta(viso)'!H13+R_2014_05_priskirta!H14</f>
        <v>7627.4</v>
      </c>
      <c r="I13" s="127">
        <f>+'R_2014_05_atkelta(viso)'!I13+R_2014_05_priskirta!I14</f>
        <v>0</v>
      </c>
      <c r="J13" s="127">
        <f>+'R_2014_05_atkelta(viso)'!J13+R_2014_05_priskirta!J14</f>
        <v>0</v>
      </c>
      <c r="K13" s="127">
        <f>+'R_2014_05_atkelta(viso)'!K13+R_2014_05_priskirta!K14</f>
        <v>79211</v>
      </c>
      <c r="L13" s="127">
        <f>+'R_2014_05_atkelta(viso)'!L13+R_2014_05_priskirta!L14</f>
        <v>141.90000000000873</v>
      </c>
      <c r="M13" s="127">
        <f>+'R_2014_05_atkelta(viso)'!M13+R_2014_05_priskirta!M14</f>
        <v>4821.3</v>
      </c>
      <c r="N13" s="96">
        <f>+'R_2014_05_atkelta(viso)'!N13+R_2014_05_priskirta!N14</f>
        <v>10758</v>
      </c>
      <c r="O13" s="96">
        <f>+'R_2014_05_atkelta(viso)'!O13+R_2014_05_priskirta!O14</f>
        <v>11</v>
      </c>
      <c r="P13" s="24">
        <f t="shared" si="10"/>
        <v>543807.00000000012</v>
      </c>
      <c r="Q13" s="229">
        <f t="shared" si="11"/>
        <v>498905.50458715606</v>
      </c>
      <c r="R13" s="73">
        <f t="shared" si="16"/>
        <v>44901.495412844059</v>
      </c>
      <c r="S13" s="21">
        <f t="shared" si="17"/>
        <v>494370.00000000006</v>
      </c>
      <c r="T13" s="71"/>
      <c r="U13" s="107">
        <v>1.1000000000000001</v>
      </c>
      <c r="V13" s="13">
        <f t="shared" ref="V13:V14" si="18">+S13*U13</f>
        <v>543807.00000000012</v>
      </c>
      <c r="X13" s="2"/>
      <c r="Y13" s="2"/>
    </row>
    <row r="14" spans="1:25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+'R_2014_05_atkelta(viso)'!E14+R_2014_05_priskirta!E15</f>
        <v>94.6</v>
      </c>
      <c r="F14" s="127">
        <f>+'R_2014_05_atkelta(viso)'!F14+R_2014_05_priskirta!F15</f>
        <v>4247.76</v>
      </c>
      <c r="G14" s="127">
        <f>+'R_2014_05_atkelta(viso)'!G14+R_2014_05_priskirta!G15</f>
        <v>635.36</v>
      </c>
      <c r="H14" s="127">
        <f>+'R_2014_05_atkelta(viso)'!H14+R_2014_05_priskirta!H15</f>
        <v>106.48</v>
      </c>
      <c r="I14" s="127">
        <f>+'R_2014_05_atkelta(viso)'!I14+R_2014_05_priskirta!I15</f>
        <v>0</v>
      </c>
      <c r="J14" s="127">
        <f>+'R_2014_05_atkelta(viso)'!J14+R_2014_05_priskirta!J15</f>
        <v>0</v>
      </c>
      <c r="K14" s="127">
        <f>+'R_2014_05_atkelta(viso)'!K14+R_2014_05_priskirta!K15</f>
        <v>1437.04</v>
      </c>
      <c r="L14" s="127">
        <f>+'R_2014_05_atkelta(viso)'!L14+R_2014_05_priskirta!L15</f>
        <v>4.3999999999998636</v>
      </c>
      <c r="M14" s="127">
        <f>+'R_2014_05_atkelta(viso)'!M14+R_2014_05_priskirta!M15</f>
        <v>70.84</v>
      </c>
      <c r="N14" s="96">
        <f>+'R_2014_05_atkelta(viso)'!N14+R_2014_05_priskirta!N15</f>
        <v>181.72</v>
      </c>
      <c r="O14" s="96">
        <f>+'R_2014_05_atkelta(viso)'!O14+R_2014_05_priskirta!O15</f>
        <v>0</v>
      </c>
      <c r="P14" s="24">
        <f t="shared" si="10"/>
        <v>6778.2</v>
      </c>
      <c r="Q14" s="229">
        <f t="shared" si="11"/>
        <v>6218.5321100917427</v>
      </c>
      <c r="R14" s="73">
        <f t="shared" si="16"/>
        <v>559.66788990825717</v>
      </c>
      <c r="S14" s="21">
        <f t="shared" si="17"/>
        <v>15405</v>
      </c>
      <c r="T14" s="71"/>
      <c r="U14" s="61">
        <v>1.76</v>
      </c>
      <c r="V14" s="13">
        <f t="shared" si="18"/>
        <v>27112.799999999999</v>
      </c>
      <c r="X14" s="2"/>
      <c r="Y14" s="2"/>
    </row>
    <row r="15" spans="1:25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+'R_2014_05_atkelta(viso)'!E15+R_2014_05_priskirta!E16</f>
        <v>585.6</v>
      </c>
      <c r="F15" s="127">
        <f>+'R_2014_05_atkelta(viso)'!F15+R_2014_05_priskirta!F16</f>
        <v>19200</v>
      </c>
      <c r="G15" s="127">
        <f>+'R_2014_05_atkelta(viso)'!G15+R_2014_05_priskirta!G16</f>
        <v>3600</v>
      </c>
      <c r="H15" s="127">
        <f>+'R_2014_05_atkelta(viso)'!H15+R_2014_05_priskirta!H16</f>
        <v>73.599999999999994</v>
      </c>
      <c r="I15" s="127">
        <f>+'R_2014_05_atkelta(viso)'!I15+R_2014_05_priskirta!I16</f>
        <v>0</v>
      </c>
      <c r="J15" s="127">
        <f>+'R_2014_05_atkelta(viso)'!J15+R_2014_05_priskirta!J16</f>
        <v>0</v>
      </c>
      <c r="K15" s="127">
        <f>+'R_2014_05_atkelta(viso)'!K15+R_2014_05_priskirta!K16</f>
        <v>126585.60000000001</v>
      </c>
      <c r="L15" s="127">
        <f>+'R_2014_05_atkelta(viso)'!L15+R_2014_05_priskirta!L16</f>
        <v>358.39999999996508</v>
      </c>
      <c r="M15" s="127">
        <f>+'R_2014_05_atkelta(viso)'!M15+R_2014_05_priskirta!M16</f>
        <v>192</v>
      </c>
      <c r="N15" s="96">
        <f>+'R_2014_05_atkelta(viso)'!N15+R_2014_05_priskirta!N16</f>
        <v>7366.4</v>
      </c>
      <c r="O15" s="96">
        <f>+'R_2014_05_atkelta(viso)'!O15+R_2014_05_priskirta!O16</f>
        <v>6.4</v>
      </c>
      <c r="P15" s="24">
        <f t="shared" si="10"/>
        <v>157967.99999999994</v>
      </c>
      <c r="Q15" s="229">
        <f t="shared" si="11"/>
        <v>144924.77064220177</v>
      </c>
      <c r="R15" s="73">
        <f t="shared" si="16"/>
        <v>13043.229357798176</v>
      </c>
      <c r="S15" s="21">
        <f t="shared" si="17"/>
        <v>49364.999999999978</v>
      </c>
      <c r="T15" s="71"/>
      <c r="U15" s="61"/>
      <c r="V15" s="13"/>
      <c r="X15" s="2"/>
      <c r="Y15" s="2"/>
    </row>
    <row r="16" spans="1:2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+'R_2014_05_atkelta(viso)'!E16+R_2014_05_priskirta!E17</f>
        <v>188.8</v>
      </c>
      <c r="F16" s="127">
        <f>+'R_2014_05_atkelta(viso)'!F16+R_2014_05_priskirta!F17</f>
        <v>4945.6000000000004</v>
      </c>
      <c r="G16" s="127">
        <f>+'R_2014_05_atkelta(viso)'!G16+R_2014_05_priskirta!G17</f>
        <v>1081.5999999999999</v>
      </c>
      <c r="H16" s="127">
        <f>+'R_2014_05_atkelta(viso)'!H16+R_2014_05_priskirta!H17</f>
        <v>76.8</v>
      </c>
      <c r="I16" s="127">
        <f>+'R_2014_05_atkelta(viso)'!I16+R_2014_05_priskirta!I17</f>
        <v>0</v>
      </c>
      <c r="J16" s="127">
        <f>+'R_2014_05_atkelta(viso)'!J16+R_2014_05_priskirta!J17</f>
        <v>0</v>
      </c>
      <c r="K16" s="127">
        <f>+'R_2014_05_atkelta(viso)'!K16+R_2014_05_priskirta!K17</f>
        <v>16784</v>
      </c>
      <c r="L16" s="127">
        <f>+'R_2014_05_atkelta(viso)'!L16+R_2014_05_priskirta!L17</f>
        <v>43.19999999999709</v>
      </c>
      <c r="M16" s="127">
        <f>+'R_2014_05_atkelta(viso)'!M16+R_2014_05_priskirta!M17</f>
        <v>16</v>
      </c>
      <c r="N16" s="96">
        <f>+'R_2014_05_atkelta(viso)'!N16+R_2014_05_priskirta!N17</f>
        <v>838.4</v>
      </c>
      <c r="O16" s="96">
        <f>+'R_2014_05_atkelta(viso)'!O16+R_2014_05_priskirta!O17</f>
        <v>0</v>
      </c>
      <c r="P16" s="24">
        <f t="shared" si="10"/>
        <v>23974.399999999998</v>
      </c>
      <c r="Q16" s="229">
        <f t="shared" si="11"/>
        <v>21994.862385321096</v>
      </c>
      <c r="R16" s="73">
        <f t="shared" si="16"/>
        <v>1979.5376146789022</v>
      </c>
      <c r="S16" s="21">
        <f t="shared" si="17"/>
        <v>14983.999999999998</v>
      </c>
      <c r="T16" s="71"/>
      <c r="U16" s="13">
        <v>1.6</v>
      </c>
      <c r="V16" s="13">
        <f t="shared" ref="V16:V17" si="19">+S16*U16</f>
        <v>23974.399999999998</v>
      </c>
      <c r="X16" s="2"/>
      <c r="Y16" s="2"/>
    </row>
    <row r="17" spans="1:25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+'R_2014_05_atkelta(viso)'!E17+R_2014_05_priskirta!E18</f>
        <v>0.64</v>
      </c>
      <c r="F17" s="127">
        <f>+'R_2014_05_atkelta(viso)'!F17+R_2014_05_priskirta!F18</f>
        <v>85.12</v>
      </c>
      <c r="G17" s="127">
        <f>+'R_2014_05_atkelta(viso)'!G17+R_2014_05_priskirta!G18</f>
        <v>19.84</v>
      </c>
      <c r="H17" s="127">
        <f>+'R_2014_05_atkelta(viso)'!H17+R_2014_05_priskirta!H18</f>
        <v>0</v>
      </c>
      <c r="I17" s="127">
        <f>+'R_2014_05_atkelta(viso)'!I17+R_2014_05_priskirta!I18</f>
        <v>0</v>
      </c>
      <c r="J17" s="127">
        <f>+'R_2014_05_atkelta(viso)'!J17+R_2014_05_priskirta!J18</f>
        <v>0</v>
      </c>
      <c r="K17" s="127">
        <f>+'R_2014_05_atkelta(viso)'!K17+R_2014_05_priskirta!K18</f>
        <v>329.6</v>
      </c>
      <c r="L17" s="127">
        <f>+'R_2014_05_atkelta(viso)'!L17+R_2014_05_priskirta!L18</f>
        <v>0.63999999999998636</v>
      </c>
      <c r="M17" s="127">
        <f>+'R_2014_05_atkelta(viso)'!M17+R_2014_05_priskirta!M18</f>
        <v>12.8</v>
      </c>
      <c r="N17" s="148">
        <f>+'R_2014_05_atkelta(viso)'!N17+R_2014_05_priskirta!N18</f>
        <v>12.16</v>
      </c>
      <c r="O17" s="148">
        <f>+'R_2014_05_atkelta(viso)'!O17+R_2014_05_priskirta!O18</f>
        <v>0</v>
      </c>
      <c r="P17" s="24">
        <f t="shared" si="10"/>
        <v>460.80000000000007</v>
      </c>
      <c r="Q17" s="229">
        <f t="shared" si="11"/>
        <v>422.75229357798167</v>
      </c>
      <c r="R17" s="207">
        <f t="shared" si="16"/>
        <v>38.047706422018393</v>
      </c>
      <c r="S17" s="22">
        <f t="shared" si="17"/>
        <v>720.00000000000011</v>
      </c>
      <c r="T17" s="71"/>
      <c r="U17" s="61">
        <v>2.56</v>
      </c>
      <c r="V17" s="13">
        <f t="shared" si="19"/>
        <v>1843.2000000000003</v>
      </c>
      <c r="X17" s="2"/>
      <c r="Y17" s="2"/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126663.84</v>
      </c>
      <c r="F18" s="118">
        <f t="shared" ref="F18:S18" si="20">+SUM(F19:F43)</f>
        <v>4811807.57</v>
      </c>
      <c r="G18" s="118">
        <f t="shared" si="20"/>
        <v>714511.78</v>
      </c>
      <c r="H18" s="118">
        <f t="shared" si="20"/>
        <v>105135.47</v>
      </c>
      <c r="I18" s="118">
        <f t="shared" si="20"/>
        <v>0</v>
      </c>
      <c r="J18" s="118">
        <f t="shared" si="20"/>
        <v>0</v>
      </c>
      <c r="K18" s="118">
        <f t="shared" si="20"/>
        <v>0</v>
      </c>
      <c r="L18" s="118">
        <f t="shared" ref="L18" si="21">+SUM(L19:L43)</f>
        <v>0</v>
      </c>
      <c r="M18" s="118">
        <f t="shared" si="20"/>
        <v>37353.660000000003</v>
      </c>
      <c r="N18" s="118">
        <f t="shared" si="20"/>
        <v>467861.48999999993</v>
      </c>
      <c r="O18" s="118">
        <f t="shared" ref="O18" si="22">+SUM(O19:O43)</f>
        <v>674</v>
      </c>
      <c r="P18" s="42">
        <f>+SUM(P19:P43)</f>
        <v>6264007.8100000015</v>
      </c>
      <c r="Q18" s="118">
        <f t="shared" si="20"/>
        <v>5746796.1559633026</v>
      </c>
      <c r="R18" s="118">
        <f t="shared" si="20"/>
        <v>517211.65403669747</v>
      </c>
      <c r="S18" s="253">
        <f t="shared" si="20"/>
        <v>119950.58456851848</v>
      </c>
      <c r="T18" s="71"/>
      <c r="U18" s="61"/>
      <c r="V18" s="105">
        <f>+SUM(V19:V43)</f>
        <v>5646602.9399999985</v>
      </c>
      <c r="W18" s="2"/>
      <c r="X18" s="2"/>
      <c r="Y18" s="2"/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+'R_2014_05_atkelta(viso)'!E19+R_2014_05_priskirta!E20</f>
        <v>77716.66</v>
      </c>
      <c r="F19" s="127">
        <f>+'R_2014_05_atkelta(viso)'!F19+R_2014_05_priskirta!F20</f>
        <v>2735636.67</v>
      </c>
      <c r="G19" s="127">
        <f>+'R_2014_05_atkelta(viso)'!G19+R_2014_05_priskirta!G20</f>
        <v>389386.67000000004</v>
      </c>
      <c r="H19" s="127">
        <f>+'R_2014_05_atkelta(viso)'!H19+R_2014_05_priskirta!H20</f>
        <v>57413.33</v>
      </c>
      <c r="I19" s="127">
        <f>+'R_2014_05_atkelta(viso)'!I19+R_2014_05_priskirta!I20</f>
        <v>0</v>
      </c>
      <c r="J19" s="127">
        <f>+'R_2014_05_atkelta(viso)'!J19+R_2014_05_priskirta!J20</f>
        <v>0</v>
      </c>
      <c r="K19" s="127">
        <f>+'R_2014_05_atkelta(viso)'!K19+R_2014_05_priskirta!K20</f>
        <v>0</v>
      </c>
      <c r="L19" s="127">
        <f>+'R_2014_05_atkelta(viso)'!L19+R_2014_05_priskirta!L20</f>
        <v>0</v>
      </c>
      <c r="M19" s="127">
        <f>+'R_2014_05_atkelta(viso)'!M19+R_2014_05_priskirta!M20</f>
        <v>23620</v>
      </c>
      <c r="N19" s="127">
        <f>+'R_2014_05_atkelta(viso)'!N19+R_2014_05_priskirta!N20</f>
        <v>237540.01</v>
      </c>
      <c r="O19" s="127">
        <f>+'R_2014_05_atkelta(viso)'!O19+R_2014_05_priskirta!O20</f>
        <v>200</v>
      </c>
      <c r="P19" s="24">
        <f t="shared" si="10"/>
        <v>3521513.34</v>
      </c>
      <c r="Q19" s="229">
        <f t="shared" si="11"/>
        <v>3230746.1834862381</v>
      </c>
      <c r="R19" s="93">
        <f>+P19-Q19</f>
        <v>290767.15651376173</v>
      </c>
      <c r="S19" s="94">
        <f t="shared" ref="S19:S43" si="23">P19/D19</f>
        <v>35215.133399999999</v>
      </c>
      <c r="T19" s="41"/>
      <c r="U19" s="61"/>
      <c r="V19" s="106"/>
      <c r="W19" s="205"/>
      <c r="X19" s="2"/>
      <c r="Y19" s="2"/>
    </row>
    <row r="20" spans="1:25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+'R_2014_05_atkelta(viso)'!E20+R_2014_05_priskirta!E21</f>
        <v>12285</v>
      </c>
      <c r="F20" s="127">
        <f>+'R_2014_05_atkelta(viso)'!F20+R_2014_05_priskirta!F21</f>
        <v>770025</v>
      </c>
      <c r="G20" s="127">
        <f>+'R_2014_05_atkelta(viso)'!G20+R_2014_05_priskirta!G21</f>
        <v>108818.33</v>
      </c>
      <c r="H20" s="127">
        <f>+'R_2014_05_atkelta(viso)'!H20+R_2014_05_priskirta!H21</f>
        <v>19331.66</v>
      </c>
      <c r="I20" s="127">
        <f>+'R_2014_05_atkelta(viso)'!I20+R_2014_05_priskirta!I21</f>
        <v>0</v>
      </c>
      <c r="J20" s="127">
        <f>+'R_2014_05_atkelta(viso)'!J20+R_2014_05_priskirta!J21</f>
        <v>0</v>
      </c>
      <c r="K20" s="127">
        <f>+'R_2014_05_atkelta(viso)'!K20+R_2014_05_priskirta!K21</f>
        <v>0</v>
      </c>
      <c r="L20" s="127">
        <f>+'R_2014_05_atkelta(viso)'!L20+R_2014_05_priskirta!L21</f>
        <v>0</v>
      </c>
      <c r="M20" s="127">
        <f>+'R_2014_05_atkelta(viso)'!M20+R_2014_05_priskirta!M21</f>
        <v>7700</v>
      </c>
      <c r="N20" s="127">
        <f>+'R_2014_05_atkelta(viso)'!N20+R_2014_05_priskirta!N21</f>
        <v>13765</v>
      </c>
      <c r="O20" s="127">
        <f>+'R_2014_05_atkelta(viso)'!O20+R_2014_05_priskirta!O21</f>
        <v>0</v>
      </c>
      <c r="P20" s="24">
        <f t="shared" si="10"/>
        <v>931924.99</v>
      </c>
      <c r="Q20" s="229">
        <f t="shared" si="11"/>
        <v>854977.05504587153</v>
      </c>
      <c r="R20" s="73">
        <f t="shared" ref="R20:R43" si="24">+P20-Q20</f>
        <v>76947.934954128461</v>
      </c>
      <c r="S20" s="21">
        <f t="shared" si="23"/>
        <v>18638.499800000001</v>
      </c>
      <c r="T20" s="41"/>
      <c r="U20" s="61">
        <v>50</v>
      </c>
      <c r="V20" s="13">
        <f t="shared" ref="V20:V21" si="25">+S20*U20</f>
        <v>931924.99000000011</v>
      </c>
      <c r="W20" s="205"/>
      <c r="X20" s="2"/>
      <c r="Y20" s="2"/>
    </row>
    <row r="21" spans="1:25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+'R_2014_05_atkelta(viso)'!E21+R_2014_05_priskirta!E22</f>
        <v>21910</v>
      </c>
      <c r="F21" s="127">
        <f>+'R_2014_05_atkelta(viso)'!F21+R_2014_05_priskirta!F22</f>
        <v>838930</v>
      </c>
      <c r="G21" s="127">
        <f>+'R_2014_05_atkelta(viso)'!G21+R_2014_05_priskirta!G22</f>
        <v>144704.66999999998</v>
      </c>
      <c r="H21" s="127">
        <f>+'R_2014_05_atkelta(viso)'!H21+R_2014_05_priskirta!H22</f>
        <v>10734</v>
      </c>
      <c r="I21" s="127">
        <f>+'R_2014_05_atkelta(viso)'!I21+R_2014_05_priskirta!I22</f>
        <v>0</v>
      </c>
      <c r="J21" s="127">
        <f>+'R_2014_05_atkelta(viso)'!J21+R_2014_05_priskirta!J22</f>
        <v>0</v>
      </c>
      <c r="K21" s="127">
        <f>+'R_2014_05_atkelta(viso)'!K21+R_2014_05_priskirta!K22</f>
        <v>0</v>
      </c>
      <c r="L21" s="127">
        <f>+'R_2014_05_atkelta(viso)'!L21+R_2014_05_priskirta!L22</f>
        <v>0</v>
      </c>
      <c r="M21" s="127">
        <f>+'R_2014_05_atkelta(viso)'!M21+R_2014_05_priskirta!M22</f>
        <v>3634</v>
      </c>
      <c r="N21" s="127">
        <f>+'R_2014_05_atkelta(viso)'!N21+R_2014_05_priskirta!N22</f>
        <v>94668.67</v>
      </c>
      <c r="O21" s="127">
        <f>+'R_2014_05_atkelta(viso)'!O21+R_2014_05_priskirta!O22</f>
        <v>420</v>
      </c>
      <c r="P21" s="24">
        <f t="shared" si="10"/>
        <v>1115001.3399999999</v>
      </c>
      <c r="Q21" s="229">
        <f t="shared" si="11"/>
        <v>1022937.0091743118</v>
      </c>
      <c r="R21" s="73">
        <f t="shared" si="24"/>
        <v>92064.330825688085</v>
      </c>
      <c r="S21" s="21">
        <f t="shared" si="23"/>
        <v>55750.066999999995</v>
      </c>
      <c r="T21" s="41"/>
      <c r="U21" s="61">
        <v>80</v>
      </c>
      <c r="V21" s="13">
        <f t="shared" si="25"/>
        <v>4460005.3599999994</v>
      </c>
      <c r="W21" s="205"/>
      <c r="X21" s="2"/>
      <c r="Y21" s="2"/>
    </row>
    <row r="22" spans="1:25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+'R_2014_05_atkelta(viso)'!E22+R_2014_05_priskirta!E23</f>
        <v>12033</v>
      </c>
      <c r="F22" s="127">
        <f>+'R_2014_05_atkelta(viso)'!F22+R_2014_05_priskirta!F23</f>
        <v>394503</v>
      </c>
      <c r="G22" s="127">
        <f>+'R_2014_05_atkelta(viso)'!G22+R_2014_05_priskirta!G23</f>
        <v>61353</v>
      </c>
      <c r="H22" s="127">
        <f>+'R_2014_05_atkelta(viso)'!H22+R_2014_05_priskirta!H23</f>
        <v>11697</v>
      </c>
      <c r="I22" s="127">
        <f>+'R_2014_05_atkelta(viso)'!I22+R_2014_05_priskirta!I23</f>
        <v>0</v>
      </c>
      <c r="J22" s="127">
        <f>+'R_2014_05_atkelta(viso)'!J22+R_2014_05_priskirta!J23</f>
        <v>0</v>
      </c>
      <c r="K22" s="127">
        <f>+'R_2014_05_atkelta(viso)'!K22+R_2014_05_priskirta!K23</f>
        <v>0</v>
      </c>
      <c r="L22" s="127">
        <f>+'R_2014_05_atkelta(viso)'!L22+R_2014_05_priskirta!L23</f>
        <v>0</v>
      </c>
      <c r="M22" s="127">
        <f>+'R_2014_05_atkelta(viso)'!M22+R_2014_05_priskirta!M23</f>
        <v>2028</v>
      </c>
      <c r="N22" s="127">
        <f>+'R_2014_05_atkelta(viso)'!N22+R_2014_05_priskirta!N23</f>
        <v>83148</v>
      </c>
      <c r="O22" s="127">
        <f>+'R_2014_05_atkelta(viso)'!O22+R_2014_05_priskirta!O23</f>
        <v>0</v>
      </c>
      <c r="P22" s="24">
        <f t="shared" si="10"/>
        <v>564762</v>
      </c>
      <c r="Q22" s="229">
        <f t="shared" si="11"/>
        <v>518130.27522935777</v>
      </c>
      <c r="R22" s="73">
        <f t="shared" si="24"/>
        <v>46631.724770642235</v>
      </c>
      <c r="S22" s="21">
        <f t="shared" si="23"/>
        <v>6275.1333333333332</v>
      </c>
      <c r="T22" s="41"/>
      <c r="U22" s="61"/>
      <c r="V22" s="13"/>
      <c r="W22" s="205"/>
      <c r="X22" s="2"/>
      <c r="Y22" s="2"/>
    </row>
    <row r="23" spans="1:25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+'R_2014_05_atkelta(viso)'!E23+R_2014_05_priskirta!E24</f>
        <v>519</v>
      </c>
      <c r="F23" s="127">
        <f>+'R_2014_05_atkelta(viso)'!F23+R_2014_05_priskirta!F24</f>
        <v>21924</v>
      </c>
      <c r="G23" s="127">
        <f>+'R_2014_05_atkelta(viso)'!G23+R_2014_05_priskirta!G24</f>
        <v>3535.5</v>
      </c>
      <c r="H23" s="127">
        <f>+'R_2014_05_atkelta(viso)'!H23+R_2014_05_priskirta!H24</f>
        <v>961.5</v>
      </c>
      <c r="I23" s="127">
        <f>+'R_2014_05_atkelta(viso)'!I23+R_2014_05_priskirta!I24</f>
        <v>0</v>
      </c>
      <c r="J23" s="127">
        <f>+'R_2014_05_atkelta(viso)'!J23+R_2014_05_priskirta!J24</f>
        <v>0</v>
      </c>
      <c r="K23" s="127">
        <f>+'R_2014_05_atkelta(viso)'!K23+R_2014_05_priskirta!K24</f>
        <v>0</v>
      </c>
      <c r="L23" s="127">
        <f>+'R_2014_05_atkelta(viso)'!L23+R_2014_05_priskirta!L24</f>
        <v>0</v>
      </c>
      <c r="M23" s="127">
        <f>+'R_2014_05_atkelta(viso)'!M23+R_2014_05_priskirta!M24</f>
        <v>66</v>
      </c>
      <c r="N23" s="127">
        <f>+'R_2014_05_atkelta(viso)'!N23+R_2014_05_priskirta!N24</f>
        <v>3159</v>
      </c>
      <c r="O23" s="127">
        <f>+'R_2014_05_atkelta(viso)'!O23+R_2014_05_priskirta!O24</f>
        <v>0</v>
      </c>
      <c r="P23" s="24">
        <f t="shared" si="10"/>
        <v>30165</v>
      </c>
      <c r="Q23" s="229">
        <f t="shared" si="11"/>
        <v>27674.311926605504</v>
      </c>
      <c r="R23" s="73">
        <f t="shared" si="24"/>
        <v>2490.6880733944963</v>
      </c>
      <c r="S23" s="21">
        <f t="shared" si="23"/>
        <v>670.33333333333337</v>
      </c>
      <c r="T23" s="35"/>
      <c r="U23" s="61">
        <v>45</v>
      </c>
      <c r="V23" s="13">
        <f t="shared" ref="V23:V24" si="26">+S23*U23</f>
        <v>30165</v>
      </c>
      <c r="W23" s="205"/>
      <c r="X23" s="2"/>
      <c r="Y23" s="2"/>
    </row>
    <row r="24" spans="1:25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+'R_2014_05_atkelta(viso)'!E24+R_2014_05_priskirta!E25</f>
        <v>916.80000000000007</v>
      </c>
      <c r="F24" s="127">
        <f>+'R_2014_05_atkelta(viso)'!F24+R_2014_05_priskirta!F25</f>
        <v>15099</v>
      </c>
      <c r="G24" s="127">
        <f>+'R_2014_05_atkelta(viso)'!G24+R_2014_05_priskirta!G25</f>
        <v>2538.6</v>
      </c>
      <c r="H24" s="127">
        <f>+'R_2014_05_atkelta(viso)'!H24+R_2014_05_priskirta!H25</f>
        <v>390.6</v>
      </c>
      <c r="I24" s="127">
        <f>+'R_2014_05_atkelta(viso)'!I24+R_2014_05_priskirta!I25</f>
        <v>0</v>
      </c>
      <c r="J24" s="127">
        <f>+'R_2014_05_atkelta(viso)'!J24+R_2014_05_priskirta!J25</f>
        <v>0</v>
      </c>
      <c r="K24" s="127">
        <f>+'R_2014_05_atkelta(viso)'!K24+R_2014_05_priskirta!K25</f>
        <v>0</v>
      </c>
      <c r="L24" s="127">
        <f>+'R_2014_05_atkelta(viso)'!L24+R_2014_05_priskirta!L25</f>
        <v>0</v>
      </c>
      <c r="M24" s="127">
        <f>+'R_2014_05_atkelta(viso)'!M24+R_2014_05_priskirta!M25</f>
        <v>176.4</v>
      </c>
      <c r="N24" s="127">
        <f>+'R_2014_05_atkelta(viso)'!N24+R_2014_05_priskirta!N25</f>
        <v>5482.8</v>
      </c>
      <c r="O24" s="127">
        <f>+'R_2014_05_atkelta(viso)'!O24+R_2014_05_priskirta!O25</f>
        <v>54</v>
      </c>
      <c r="P24" s="24">
        <f t="shared" si="10"/>
        <v>24658.199999999997</v>
      </c>
      <c r="Q24" s="229">
        <f t="shared" si="11"/>
        <v>22622.201834862382</v>
      </c>
      <c r="R24" s="73">
        <f t="shared" si="24"/>
        <v>2035.9981651376147</v>
      </c>
      <c r="S24" s="21">
        <f t="shared" si="23"/>
        <v>1369.8999999999999</v>
      </c>
      <c r="T24" s="35"/>
      <c r="U24" s="61">
        <v>72</v>
      </c>
      <c r="V24" s="13">
        <f t="shared" si="26"/>
        <v>98632.799999999988</v>
      </c>
      <c r="W24" s="205"/>
      <c r="X24" s="2"/>
      <c r="Y24" s="2"/>
    </row>
    <row r="25" spans="1:25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+'R_2014_05_atkelta(viso)'!E25+R_2014_05_priskirta!E26</f>
        <v>43.33</v>
      </c>
      <c r="F25" s="127">
        <f>+'R_2014_05_atkelta(viso)'!F25+R_2014_05_priskirta!F26</f>
        <v>4066.66</v>
      </c>
      <c r="G25" s="127">
        <f>+'R_2014_05_atkelta(viso)'!G25+R_2014_05_priskirta!G26</f>
        <v>403.33</v>
      </c>
      <c r="H25" s="127">
        <f>+'R_2014_05_atkelta(viso)'!H25+R_2014_05_priskirta!H26</f>
        <v>373.34</v>
      </c>
      <c r="I25" s="127">
        <f>+'R_2014_05_atkelta(viso)'!I25+R_2014_05_priskirta!I26</f>
        <v>0</v>
      </c>
      <c r="J25" s="127">
        <f>+'R_2014_05_atkelta(viso)'!J25+R_2014_05_priskirta!J26</f>
        <v>0</v>
      </c>
      <c r="K25" s="127">
        <f>+'R_2014_05_atkelta(viso)'!K25+R_2014_05_priskirta!K26</f>
        <v>0</v>
      </c>
      <c r="L25" s="127">
        <f>+'R_2014_05_atkelta(viso)'!L25+R_2014_05_priskirta!L26</f>
        <v>0</v>
      </c>
      <c r="M25" s="127">
        <f>+'R_2014_05_atkelta(viso)'!M25+R_2014_05_priskirta!M26</f>
        <v>0</v>
      </c>
      <c r="N25" s="127">
        <f>+'R_2014_05_atkelta(viso)'!N25+R_2014_05_priskirta!N26</f>
        <v>5143.33</v>
      </c>
      <c r="O25" s="127">
        <f>+'R_2014_05_atkelta(viso)'!O25+R_2014_05_priskirta!O26</f>
        <v>0</v>
      </c>
      <c r="P25" s="24">
        <f t="shared" si="10"/>
        <v>10029.99</v>
      </c>
      <c r="Q25" s="229">
        <f t="shared" si="11"/>
        <v>9201.8256880733934</v>
      </c>
      <c r="R25" s="73">
        <f t="shared" si="24"/>
        <v>828.16431192660639</v>
      </c>
      <c r="S25" s="21">
        <f t="shared" si="23"/>
        <v>33.433300000000003</v>
      </c>
      <c r="T25" s="35"/>
      <c r="U25" s="61"/>
      <c r="V25" s="13"/>
      <c r="X25" s="2"/>
      <c r="Y25" s="2"/>
    </row>
    <row r="26" spans="1:25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+'R_2014_05_atkelta(viso)'!E26+R_2014_05_priskirta!E27</f>
        <v>0</v>
      </c>
      <c r="F26" s="127">
        <f>+'R_2014_05_atkelta(viso)'!F26+R_2014_05_priskirta!F27</f>
        <v>4101.66</v>
      </c>
      <c r="G26" s="127">
        <f>+'R_2014_05_atkelta(viso)'!G26+R_2014_05_priskirta!G27</f>
        <v>521.67000000000007</v>
      </c>
      <c r="H26" s="127">
        <f>+'R_2014_05_atkelta(viso)'!H26+R_2014_05_priskirta!H27</f>
        <v>393.33</v>
      </c>
      <c r="I26" s="127">
        <f>+'R_2014_05_atkelta(viso)'!I26+R_2014_05_priskirta!I27</f>
        <v>0</v>
      </c>
      <c r="J26" s="127">
        <f>+'R_2014_05_atkelta(viso)'!J26+R_2014_05_priskirta!J27</f>
        <v>0</v>
      </c>
      <c r="K26" s="127">
        <f>+'R_2014_05_atkelta(viso)'!K26+R_2014_05_priskirta!K27</f>
        <v>0</v>
      </c>
      <c r="L26" s="127">
        <f>+'R_2014_05_atkelta(viso)'!L26+R_2014_05_priskirta!L27</f>
        <v>0</v>
      </c>
      <c r="M26" s="127">
        <f>+'R_2014_05_atkelta(viso)'!M26+R_2014_05_priskirta!M27</f>
        <v>0</v>
      </c>
      <c r="N26" s="127">
        <f>+'R_2014_05_atkelta(viso)'!N26+R_2014_05_priskirta!N27</f>
        <v>1231.67</v>
      </c>
      <c r="O26" s="127">
        <f>+'R_2014_05_atkelta(viso)'!O26+R_2014_05_priskirta!O27</f>
        <v>0</v>
      </c>
      <c r="P26" s="24">
        <f t="shared" si="10"/>
        <v>6248.33</v>
      </c>
      <c r="Q26" s="229">
        <f t="shared" si="11"/>
        <v>5732.4128440366967</v>
      </c>
      <c r="R26" s="73">
        <f t="shared" si="24"/>
        <v>515.91715596330323</v>
      </c>
      <c r="S26" s="21">
        <f t="shared" si="23"/>
        <v>41.655533333333331</v>
      </c>
      <c r="T26" s="35"/>
      <c r="U26" s="61">
        <v>150</v>
      </c>
      <c r="V26" s="13">
        <f t="shared" ref="V26:V42" si="27">+S26*U26</f>
        <v>6248.33</v>
      </c>
      <c r="X26" s="2"/>
      <c r="Y26" s="2"/>
    </row>
    <row r="27" spans="1:2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+'R_2014_05_atkelta(viso)'!E27+R_2014_05_priskirta!E28</f>
        <v>334.66999999999996</v>
      </c>
      <c r="F27" s="127">
        <f>+'R_2014_05_atkelta(viso)'!F27+R_2014_05_priskirta!F28</f>
        <v>10700</v>
      </c>
      <c r="G27" s="127">
        <f>+'R_2014_05_atkelta(viso)'!G27+R_2014_05_priskirta!G28</f>
        <v>1400.67</v>
      </c>
      <c r="H27" s="127">
        <f>+'R_2014_05_atkelta(viso)'!H27+R_2014_05_priskirta!H28</f>
        <v>786.67000000000007</v>
      </c>
      <c r="I27" s="127">
        <f>+'R_2014_05_atkelta(viso)'!I27+R_2014_05_priskirta!I28</f>
        <v>0</v>
      </c>
      <c r="J27" s="127">
        <f>+'R_2014_05_atkelta(viso)'!J27+R_2014_05_priskirta!J28</f>
        <v>0</v>
      </c>
      <c r="K27" s="127">
        <f>+'R_2014_05_atkelta(viso)'!K27+R_2014_05_priskirta!K28</f>
        <v>0</v>
      </c>
      <c r="L27" s="127">
        <f>+'R_2014_05_atkelta(viso)'!L27+R_2014_05_priskirta!L28</f>
        <v>0</v>
      </c>
      <c r="M27" s="127">
        <f>+'R_2014_05_atkelta(viso)'!M27+R_2014_05_priskirta!M28</f>
        <v>75.33</v>
      </c>
      <c r="N27" s="127">
        <f>+'R_2014_05_atkelta(viso)'!N27+R_2014_05_priskirta!N28</f>
        <v>8330</v>
      </c>
      <c r="O27" s="127">
        <f>+'R_2014_05_atkelta(viso)'!O27+R_2014_05_priskirta!O28</f>
        <v>0</v>
      </c>
      <c r="P27" s="24">
        <f t="shared" si="10"/>
        <v>21627.34</v>
      </c>
      <c r="Q27" s="229">
        <f t="shared" si="11"/>
        <v>19841.596330275228</v>
      </c>
      <c r="R27" s="73">
        <f t="shared" si="24"/>
        <v>1785.7436697247722</v>
      </c>
      <c r="S27" s="21">
        <f t="shared" si="23"/>
        <v>360.45566666666667</v>
      </c>
      <c r="T27" s="35"/>
      <c r="U27" s="61">
        <v>240</v>
      </c>
      <c r="V27" s="13">
        <f t="shared" si="27"/>
        <v>86509.36</v>
      </c>
      <c r="X27" s="2"/>
      <c r="Y27" s="2"/>
    </row>
    <row r="28" spans="1:25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+'R_2014_05_atkelta(viso)'!E28+R_2014_05_priskirta!E29</f>
        <v>0</v>
      </c>
      <c r="F28" s="127">
        <f>+'R_2014_05_atkelta(viso)'!F28+R_2014_05_priskirta!F29</f>
        <v>813</v>
      </c>
      <c r="G28" s="127">
        <f>+'R_2014_05_atkelta(viso)'!G28+R_2014_05_priskirta!G29</f>
        <v>75</v>
      </c>
      <c r="H28" s="127">
        <f>+'R_2014_05_atkelta(viso)'!H28+R_2014_05_priskirta!H29</f>
        <v>345</v>
      </c>
      <c r="I28" s="127">
        <f>+'R_2014_05_atkelta(viso)'!I28+R_2014_05_priskirta!I29</f>
        <v>0</v>
      </c>
      <c r="J28" s="127">
        <f>+'R_2014_05_atkelta(viso)'!J28+R_2014_05_priskirta!J29</f>
        <v>0</v>
      </c>
      <c r="K28" s="127">
        <f>+'R_2014_05_atkelta(viso)'!K28+R_2014_05_priskirta!K29</f>
        <v>0</v>
      </c>
      <c r="L28" s="127">
        <f>+'R_2014_05_atkelta(viso)'!L28+R_2014_05_priskirta!L29</f>
        <v>0</v>
      </c>
      <c r="M28" s="127">
        <f>+'R_2014_05_atkelta(viso)'!M28+R_2014_05_priskirta!M29</f>
        <v>0</v>
      </c>
      <c r="N28" s="127">
        <f>+'R_2014_05_atkelta(viso)'!N28+R_2014_05_priskirta!N29</f>
        <v>9504</v>
      </c>
      <c r="O28" s="127">
        <f>+'R_2014_05_atkelta(viso)'!O28+R_2014_05_priskirta!O29</f>
        <v>0</v>
      </c>
      <c r="P28" s="24">
        <f t="shared" si="10"/>
        <v>10737</v>
      </c>
      <c r="Q28" s="229">
        <f t="shared" si="11"/>
        <v>9850.4587155963291</v>
      </c>
      <c r="R28" s="73">
        <f t="shared" si="24"/>
        <v>886.54128440367094</v>
      </c>
      <c r="S28" s="21">
        <f t="shared" si="23"/>
        <v>39.766666666666666</v>
      </c>
      <c r="T28" s="35"/>
      <c r="U28" s="61"/>
      <c r="V28" s="13"/>
      <c r="X28" s="2"/>
      <c r="Y28" s="2"/>
    </row>
    <row r="29" spans="1:25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+'R_2014_05_atkelta(viso)'!E29+R_2014_05_priskirta!E30</f>
        <v>0</v>
      </c>
      <c r="F29" s="127">
        <f>+'R_2014_05_atkelta(viso)'!F29+R_2014_05_priskirta!F30</f>
        <v>186</v>
      </c>
      <c r="G29" s="127">
        <f>+'R_2014_05_atkelta(viso)'!G29+R_2014_05_priskirta!G30</f>
        <v>0</v>
      </c>
      <c r="H29" s="127">
        <f>+'R_2014_05_atkelta(viso)'!H29+R_2014_05_priskirta!H30</f>
        <v>97.5</v>
      </c>
      <c r="I29" s="127">
        <f>+'R_2014_05_atkelta(viso)'!I29+R_2014_05_priskirta!I30</f>
        <v>0</v>
      </c>
      <c r="J29" s="127">
        <f>+'R_2014_05_atkelta(viso)'!J29+R_2014_05_priskirta!J30</f>
        <v>0</v>
      </c>
      <c r="K29" s="127">
        <f>+'R_2014_05_atkelta(viso)'!K29+R_2014_05_priskirta!K30</f>
        <v>0</v>
      </c>
      <c r="L29" s="127">
        <f>+'R_2014_05_atkelta(viso)'!L29+R_2014_05_priskirta!L30</f>
        <v>0</v>
      </c>
      <c r="M29" s="127">
        <f>+'R_2014_05_atkelta(viso)'!M29+R_2014_05_priskirta!M30</f>
        <v>0</v>
      </c>
      <c r="N29" s="127">
        <f>+'R_2014_05_atkelta(viso)'!N29+R_2014_05_priskirta!N30</f>
        <v>75</v>
      </c>
      <c r="O29" s="127">
        <f>+'R_2014_05_atkelta(viso)'!O29+R_2014_05_priskirta!O30</f>
        <v>0</v>
      </c>
      <c r="P29" s="24">
        <f t="shared" si="10"/>
        <v>358.5</v>
      </c>
      <c r="Q29" s="229">
        <f t="shared" si="11"/>
        <v>328.89908256880733</v>
      </c>
      <c r="R29" s="73">
        <f t="shared" si="24"/>
        <v>29.60091743119267</v>
      </c>
      <c r="S29" s="21">
        <f t="shared" si="23"/>
        <v>2.6555555555555554</v>
      </c>
      <c r="T29" s="35"/>
      <c r="U29" s="61">
        <v>135</v>
      </c>
      <c r="V29" s="13">
        <f t="shared" si="27"/>
        <v>358.5</v>
      </c>
      <c r="X29" s="2"/>
      <c r="Y29" s="2"/>
    </row>
    <row r="30" spans="1:25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+'R_2014_05_atkelta(viso)'!E30+R_2014_05_priskirta!E31</f>
        <v>83.4</v>
      </c>
      <c r="F30" s="127">
        <f>+'R_2014_05_atkelta(viso)'!F30+R_2014_05_priskirta!F31</f>
        <v>181.8</v>
      </c>
      <c r="G30" s="127">
        <f>+'R_2014_05_atkelta(viso)'!G30+R_2014_05_priskirta!G31</f>
        <v>0</v>
      </c>
      <c r="H30" s="127">
        <f>+'R_2014_05_atkelta(viso)'!H30+R_2014_05_priskirta!H31</f>
        <v>48.6</v>
      </c>
      <c r="I30" s="127">
        <f>+'R_2014_05_atkelta(viso)'!I30+R_2014_05_priskirta!I31</f>
        <v>0</v>
      </c>
      <c r="J30" s="127">
        <f>+'R_2014_05_atkelta(viso)'!J30+R_2014_05_priskirta!J31</f>
        <v>0</v>
      </c>
      <c r="K30" s="127">
        <f>+'R_2014_05_atkelta(viso)'!K30+R_2014_05_priskirta!K31</f>
        <v>0</v>
      </c>
      <c r="L30" s="127">
        <f>+'R_2014_05_atkelta(viso)'!L30+R_2014_05_priskirta!L31</f>
        <v>0</v>
      </c>
      <c r="M30" s="127">
        <f>+'R_2014_05_atkelta(viso)'!M30+R_2014_05_priskirta!M31</f>
        <v>18.600000000000001</v>
      </c>
      <c r="N30" s="127">
        <f>+'R_2014_05_atkelta(viso)'!N30+R_2014_05_priskirta!N31</f>
        <v>567</v>
      </c>
      <c r="O30" s="127">
        <f>+'R_2014_05_atkelta(viso)'!O30+R_2014_05_priskirta!O31</f>
        <v>0</v>
      </c>
      <c r="P30" s="24">
        <f t="shared" si="10"/>
        <v>899.40000000000009</v>
      </c>
      <c r="Q30" s="229">
        <f t="shared" si="11"/>
        <v>825.13761467889913</v>
      </c>
      <c r="R30" s="73">
        <f t="shared" si="24"/>
        <v>74.262385321100965</v>
      </c>
      <c r="S30" s="21">
        <f t="shared" si="23"/>
        <v>16.655555555555559</v>
      </c>
      <c r="T30" s="35"/>
      <c r="U30" s="61">
        <v>216</v>
      </c>
      <c r="V30" s="13">
        <f t="shared" si="27"/>
        <v>3597.6000000000008</v>
      </c>
      <c r="X30" s="2"/>
      <c r="Y30" s="2"/>
    </row>
    <row r="31" spans="1:2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+'R_2014_05_atkelta(viso)'!E31+R_2014_05_priskirta!E32</f>
        <v>103.33</v>
      </c>
      <c r="F31" s="127">
        <f>+'R_2014_05_atkelta(viso)'!F31+R_2014_05_priskirta!F32</f>
        <v>276.67</v>
      </c>
      <c r="G31" s="127">
        <f>+'R_2014_05_atkelta(viso)'!G31+R_2014_05_priskirta!G32</f>
        <v>0</v>
      </c>
      <c r="H31" s="127">
        <f>+'R_2014_05_atkelta(viso)'!H31+R_2014_05_priskirta!H32</f>
        <v>100</v>
      </c>
      <c r="I31" s="127">
        <f>+'R_2014_05_atkelta(viso)'!I31+R_2014_05_priskirta!I32</f>
        <v>0</v>
      </c>
      <c r="J31" s="127">
        <f>+'R_2014_05_atkelta(viso)'!J31+R_2014_05_priskirta!J32</f>
        <v>0</v>
      </c>
      <c r="K31" s="127">
        <f>+'R_2014_05_atkelta(viso)'!K31+R_2014_05_priskirta!K32</f>
        <v>0</v>
      </c>
      <c r="L31" s="127">
        <f>+'R_2014_05_atkelta(viso)'!L31+R_2014_05_priskirta!L32</f>
        <v>0</v>
      </c>
      <c r="M31" s="127">
        <f>+'R_2014_05_atkelta(viso)'!M31+R_2014_05_priskirta!M32</f>
        <v>0</v>
      </c>
      <c r="N31" s="127">
        <f>+'R_2014_05_atkelta(viso)'!N31+R_2014_05_priskirta!N32</f>
        <v>0</v>
      </c>
      <c r="O31" s="127">
        <f>+'R_2014_05_atkelta(viso)'!O31+R_2014_05_priskirta!O32</f>
        <v>0</v>
      </c>
      <c r="P31" s="24">
        <f t="shared" si="10"/>
        <v>480</v>
      </c>
      <c r="Q31" s="229">
        <f t="shared" si="11"/>
        <v>440.36697247706417</v>
      </c>
      <c r="R31" s="73">
        <f t="shared" si="24"/>
        <v>39.633027522935834</v>
      </c>
      <c r="S31" s="21">
        <f t="shared" si="23"/>
        <v>0.8</v>
      </c>
      <c r="T31" s="35"/>
      <c r="U31" s="61"/>
      <c r="V31" s="13"/>
      <c r="X31" s="2"/>
      <c r="Y31" s="2"/>
    </row>
    <row r="32" spans="1:2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+'R_2014_05_atkelta(viso)'!E32+R_2014_05_priskirta!E33</f>
        <v>0</v>
      </c>
      <c r="F32" s="127">
        <f>+'R_2014_05_atkelta(viso)'!F32+R_2014_05_priskirta!F33</f>
        <v>566.66999999999996</v>
      </c>
      <c r="G32" s="127">
        <f>+'R_2014_05_atkelta(viso)'!G32+R_2014_05_priskirta!G33</f>
        <v>51.67</v>
      </c>
      <c r="H32" s="127">
        <f>+'R_2014_05_atkelta(viso)'!H32+R_2014_05_priskirta!H33</f>
        <v>233.34000000000003</v>
      </c>
      <c r="I32" s="127">
        <f>+'R_2014_05_atkelta(viso)'!I32+R_2014_05_priskirta!I33</f>
        <v>0</v>
      </c>
      <c r="J32" s="127">
        <f>+'R_2014_05_atkelta(viso)'!J32+R_2014_05_priskirta!J33</f>
        <v>0</v>
      </c>
      <c r="K32" s="127">
        <f>+'R_2014_05_atkelta(viso)'!K32+R_2014_05_priskirta!K33</f>
        <v>0</v>
      </c>
      <c r="L32" s="127">
        <f>+'R_2014_05_atkelta(viso)'!L32+R_2014_05_priskirta!L33</f>
        <v>0</v>
      </c>
      <c r="M32" s="127">
        <f>+'R_2014_05_atkelta(viso)'!M32+R_2014_05_priskirta!M33</f>
        <v>0</v>
      </c>
      <c r="N32" s="127">
        <f>+'R_2014_05_atkelta(viso)'!N32+R_2014_05_priskirta!N33</f>
        <v>155</v>
      </c>
      <c r="O32" s="127">
        <f>+'R_2014_05_atkelta(viso)'!O32+R_2014_05_priskirta!O33</f>
        <v>0</v>
      </c>
      <c r="P32" s="24">
        <f t="shared" si="10"/>
        <v>1006.68</v>
      </c>
      <c r="Q32" s="229">
        <f t="shared" si="11"/>
        <v>923.55963302752286</v>
      </c>
      <c r="R32" s="73">
        <f t="shared" si="24"/>
        <v>83.120366972477086</v>
      </c>
      <c r="S32" s="21">
        <f t="shared" si="23"/>
        <v>3.3555999999999999</v>
      </c>
      <c r="T32" s="35"/>
      <c r="U32" s="61">
        <v>300</v>
      </c>
      <c r="V32" s="13">
        <f t="shared" si="27"/>
        <v>1006.68</v>
      </c>
      <c r="X32" s="2"/>
      <c r="Y32" s="2"/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+'R_2014_05_atkelta(viso)'!E33+R_2014_05_priskirta!E34</f>
        <v>62</v>
      </c>
      <c r="F33" s="127">
        <f>+'R_2014_05_atkelta(viso)'!F33+R_2014_05_priskirta!F34</f>
        <v>1213.33</v>
      </c>
      <c r="G33" s="127">
        <f>+'R_2014_05_atkelta(viso)'!G33+R_2014_05_priskirta!G34</f>
        <v>128</v>
      </c>
      <c r="H33" s="127">
        <f>+'R_2014_05_atkelta(viso)'!H33+R_2014_05_priskirta!H34</f>
        <v>41.33</v>
      </c>
      <c r="I33" s="127">
        <f>+'R_2014_05_atkelta(viso)'!I33+R_2014_05_priskirta!I34</f>
        <v>0</v>
      </c>
      <c r="J33" s="127">
        <f>+'R_2014_05_atkelta(viso)'!J33+R_2014_05_priskirta!J34</f>
        <v>0</v>
      </c>
      <c r="K33" s="127">
        <f>+'R_2014_05_atkelta(viso)'!K33+R_2014_05_priskirta!K34</f>
        <v>0</v>
      </c>
      <c r="L33" s="127">
        <f>+'R_2014_05_atkelta(viso)'!L33+R_2014_05_priskirta!L34</f>
        <v>0</v>
      </c>
      <c r="M33" s="127">
        <f>+'R_2014_05_atkelta(viso)'!M33+R_2014_05_priskirta!M34</f>
        <v>20.67</v>
      </c>
      <c r="N33" s="127">
        <f>+'R_2014_05_atkelta(viso)'!N33+R_2014_05_priskirta!N34</f>
        <v>1244.6599999999999</v>
      </c>
      <c r="O33" s="127">
        <f>+'R_2014_05_atkelta(viso)'!O33+R_2014_05_priskirta!O34</f>
        <v>0</v>
      </c>
      <c r="P33" s="24">
        <f t="shared" si="10"/>
        <v>2709.99</v>
      </c>
      <c r="Q33" s="229">
        <f t="shared" si="11"/>
        <v>2486.2293577981645</v>
      </c>
      <c r="R33" s="73">
        <f t="shared" si="24"/>
        <v>223.76064220183525</v>
      </c>
      <c r="S33" s="21">
        <f t="shared" si="23"/>
        <v>22.58325</v>
      </c>
      <c r="T33" s="35"/>
      <c r="U33" s="61">
        <v>480</v>
      </c>
      <c r="V33" s="13">
        <f t="shared" si="27"/>
        <v>10839.96</v>
      </c>
      <c r="X33" s="2"/>
      <c r="Y33" s="2"/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+'R_2014_05_atkelta(viso)'!E34+R_2014_05_priskirta!E35</f>
        <v>0</v>
      </c>
      <c r="F34" s="127">
        <f>+'R_2014_05_atkelta(viso)'!F34+R_2014_05_priskirta!F35</f>
        <v>0</v>
      </c>
      <c r="G34" s="127">
        <f>+'R_2014_05_atkelta(viso)'!G34+R_2014_05_priskirta!G35</f>
        <v>0</v>
      </c>
      <c r="H34" s="127">
        <f>+'R_2014_05_atkelta(viso)'!H34+R_2014_05_priskirta!H35</f>
        <v>0</v>
      </c>
      <c r="I34" s="127">
        <f>+'R_2014_05_atkelta(viso)'!I34+R_2014_05_priskirta!I35</f>
        <v>0</v>
      </c>
      <c r="J34" s="127">
        <f>+'R_2014_05_atkelta(viso)'!J34+R_2014_05_priskirta!J35</f>
        <v>0</v>
      </c>
      <c r="K34" s="127">
        <f>+'R_2014_05_atkelta(viso)'!K34+R_2014_05_priskirta!K35</f>
        <v>0</v>
      </c>
      <c r="L34" s="127">
        <f>+'R_2014_05_atkelta(viso)'!L34+R_2014_05_priskirta!L35</f>
        <v>0</v>
      </c>
      <c r="M34" s="127">
        <f>+'R_2014_05_atkelta(viso)'!M34+R_2014_05_priskirta!M35</f>
        <v>0</v>
      </c>
      <c r="N34" s="127">
        <f>+'R_2014_05_atkelta(viso)'!N34+R_2014_05_priskirta!N35</f>
        <v>1545</v>
      </c>
      <c r="O34" s="127">
        <f>+'R_2014_05_atkelta(viso)'!O34+R_2014_05_priskirta!O35</f>
        <v>0</v>
      </c>
      <c r="P34" s="24">
        <f t="shared" si="10"/>
        <v>1545</v>
      </c>
      <c r="Q34" s="229">
        <f t="shared" si="11"/>
        <v>1417.4311926605503</v>
      </c>
      <c r="R34" s="73">
        <f t="shared" si="24"/>
        <v>127.56880733944968</v>
      </c>
      <c r="S34" s="21">
        <f t="shared" si="23"/>
        <v>2.8611111111111112</v>
      </c>
      <c r="T34" s="35"/>
      <c r="U34" s="61"/>
      <c r="V34" s="13"/>
      <c r="X34" s="2"/>
      <c r="Y34" s="2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+'R_2014_05_atkelta(viso)'!E35+R_2014_05_priskirta!E36</f>
        <v>0</v>
      </c>
      <c r="F35" s="127">
        <f>+'R_2014_05_atkelta(viso)'!F35+R_2014_05_priskirta!F36</f>
        <v>0</v>
      </c>
      <c r="G35" s="127">
        <f>+'R_2014_05_atkelta(viso)'!G35+R_2014_05_priskirta!G36</f>
        <v>0</v>
      </c>
      <c r="H35" s="127">
        <f>+'R_2014_05_atkelta(viso)'!H35+R_2014_05_priskirta!H36</f>
        <v>0</v>
      </c>
      <c r="I35" s="127">
        <f>+'R_2014_05_atkelta(viso)'!I35+R_2014_05_priskirta!I36</f>
        <v>0</v>
      </c>
      <c r="J35" s="127">
        <f>+'R_2014_05_atkelta(viso)'!J35+R_2014_05_priskirta!J36</f>
        <v>0</v>
      </c>
      <c r="K35" s="127">
        <f>+'R_2014_05_atkelta(viso)'!K35+R_2014_05_priskirta!K36</f>
        <v>0</v>
      </c>
      <c r="L35" s="127">
        <f>+'R_2014_05_atkelta(viso)'!L35+R_2014_05_priskirta!L36</f>
        <v>0</v>
      </c>
      <c r="M35" s="127">
        <f>+'R_2014_05_atkelta(viso)'!M35+R_2014_05_priskirta!M36</f>
        <v>0</v>
      </c>
      <c r="N35" s="127">
        <f>+'R_2014_05_atkelta(viso)'!N35+R_2014_05_priskirta!N36</f>
        <v>0</v>
      </c>
      <c r="O35" s="127">
        <f>+'R_2014_05_atkelta(viso)'!O35+R_2014_05_priskirta!O36</f>
        <v>0</v>
      </c>
      <c r="P35" s="24">
        <f t="shared" si="10"/>
        <v>0</v>
      </c>
      <c r="Q35" s="229">
        <f t="shared" si="11"/>
        <v>0</v>
      </c>
      <c r="R35" s="73">
        <f t="shared" si="24"/>
        <v>0</v>
      </c>
      <c r="S35" s="21">
        <f t="shared" si="23"/>
        <v>0</v>
      </c>
      <c r="T35" s="35"/>
      <c r="U35" s="61">
        <v>270</v>
      </c>
      <c r="V35" s="13">
        <f t="shared" si="27"/>
        <v>0</v>
      </c>
      <c r="X35" s="2"/>
      <c r="Y35" s="2"/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+'R_2014_05_atkelta(viso)'!E36+R_2014_05_priskirta!E37</f>
        <v>37.200000000000003</v>
      </c>
      <c r="F36" s="127">
        <f>+'R_2014_05_atkelta(viso)'!F36+R_2014_05_priskirta!F37</f>
        <v>73.8</v>
      </c>
      <c r="G36" s="127">
        <f>+'R_2014_05_atkelta(viso)'!G36+R_2014_05_priskirta!G37</f>
        <v>0</v>
      </c>
      <c r="H36" s="127">
        <f>+'R_2014_05_atkelta(viso)'!H36+R_2014_05_priskirta!H37</f>
        <v>0</v>
      </c>
      <c r="I36" s="127">
        <f>+'R_2014_05_atkelta(viso)'!I36+R_2014_05_priskirta!I37</f>
        <v>0</v>
      </c>
      <c r="J36" s="127">
        <f>+'R_2014_05_atkelta(viso)'!J36+R_2014_05_priskirta!J37</f>
        <v>0</v>
      </c>
      <c r="K36" s="127">
        <f>+'R_2014_05_atkelta(viso)'!K36+R_2014_05_priskirta!K37</f>
        <v>0</v>
      </c>
      <c r="L36" s="127">
        <f>+'R_2014_05_atkelta(viso)'!L36+R_2014_05_priskirta!L37</f>
        <v>0</v>
      </c>
      <c r="M36" s="127">
        <f>+'R_2014_05_atkelta(viso)'!M36+R_2014_05_priskirta!M37</f>
        <v>0</v>
      </c>
      <c r="N36" s="127">
        <f>+'R_2014_05_atkelta(viso)'!N36+R_2014_05_priskirta!N37</f>
        <v>131.4</v>
      </c>
      <c r="O36" s="127">
        <f>+'R_2014_05_atkelta(viso)'!O36+R_2014_05_priskirta!O37</f>
        <v>0</v>
      </c>
      <c r="P36" s="24">
        <f t="shared" si="10"/>
        <v>242.4</v>
      </c>
      <c r="Q36" s="229">
        <f t="shared" si="11"/>
        <v>222.38532110091742</v>
      </c>
      <c r="R36" s="73">
        <f t="shared" si="24"/>
        <v>20.014678899082583</v>
      </c>
      <c r="S36" s="21">
        <f t="shared" si="23"/>
        <v>2.2444444444444445</v>
      </c>
      <c r="T36" s="35"/>
      <c r="U36" s="61">
        <v>432</v>
      </c>
      <c r="V36" s="13">
        <f t="shared" si="27"/>
        <v>969.6</v>
      </c>
      <c r="X36" s="2"/>
      <c r="Y36" s="2"/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+'R_2014_05_atkelta(viso)'!E37+R_2014_05_priskirta!E38</f>
        <v>310</v>
      </c>
      <c r="F37" s="127">
        <f>+'R_2014_05_atkelta(viso)'!F37+R_2014_05_priskirta!F38</f>
        <v>93.33</v>
      </c>
      <c r="G37" s="127">
        <f>+'R_2014_05_atkelta(viso)'!G37+R_2014_05_priskirta!G38</f>
        <v>0</v>
      </c>
      <c r="H37" s="127">
        <f>+'R_2014_05_atkelta(viso)'!H37+R_2014_05_priskirta!H38</f>
        <v>0</v>
      </c>
      <c r="I37" s="127">
        <f>+'R_2014_05_atkelta(viso)'!I37+R_2014_05_priskirta!I38</f>
        <v>0</v>
      </c>
      <c r="J37" s="127">
        <f>+'R_2014_05_atkelta(viso)'!J37+R_2014_05_priskirta!J38</f>
        <v>0</v>
      </c>
      <c r="K37" s="127">
        <f>+'R_2014_05_atkelta(viso)'!K37+R_2014_05_priskirta!K38</f>
        <v>0</v>
      </c>
      <c r="L37" s="127">
        <f>+'R_2014_05_atkelta(viso)'!L37+R_2014_05_priskirta!L38</f>
        <v>0</v>
      </c>
      <c r="M37" s="127">
        <f>+'R_2014_05_atkelta(viso)'!M37+R_2014_05_priskirta!M38</f>
        <v>0</v>
      </c>
      <c r="N37" s="127">
        <f>+'R_2014_05_atkelta(viso)'!N37+R_2014_05_priskirta!N38</f>
        <v>176.67</v>
      </c>
      <c r="O37" s="127">
        <f>+'R_2014_05_atkelta(viso)'!O37+R_2014_05_priskirta!O38</f>
        <v>0</v>
      </c>
      <c r="P37" s="24">
        <f t="shared" si="10"/>
        <v>580</v>
      </c>
      <c r="Q37" s="229">
        <f t="shared" si="11"/>
        <v>532.11009174311926</v>
      </c>
      <c r="R37" s="73">
        <f t="shared" si="24"/>
        <v>47.889908256880744</v>
      </c>
      <c r="S37" s="21">
        <f t="shared" si="23"/>
        <v>0.64444444444444449</v>
      </c>
      <c r="T37" s="35"/>
      <c r="U37" s="61"/>
      <c r="V37" s="13"/>
      <c r="X37" s="2"/>
      <c r="Y37" s="2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+'R_2014_05_atkelta(viso)'!E38+R_2014_05_priskirta!E39</f>
        <v>51.67</v>
      </c>
      <c r="F38" s="127">
        <f>+'R_2014_05_atkelta(viso)'!F38+R_2014_05_priskirta!F39</f>
        <v>38.33</v>
      </c>
      <c r="G38" s="127">
        <f>+'R_2014_05_atkelta(viso)'!G38+R_2014_05_priskirta!G39</f>
        <v>0</v>
      </c>
      <c r="H38" s="127">
        <f>+'R_2014_05_atkelta(viso)'!H38+R_2014_05_priskirta!H39</f>
        <v>0</v>
      </c>
      <c r="I38" s="127">
        <f>+'R_2014_05_atkelta(viso)'!I38+R_2014_05_priskirta!I39</f>
        <v>0</v>
      </c>
      <c r="J38" s="127">
        <f>+'R_2014_05_atkelta(viso)'!J38+R_2014_05_priskirta!J39</f>
        <v>0</v>
      </c>
      <c r="K38" s="127">
        <f>+'R_2014_05_atkelta(viso)'!K38+R_2014_05_priskirta!K39</f>
        <v>0</v>
      </c>
      <c r="L38" s="127">
        <f>+'R_2014_05_atkelta(viso)'!L38+R_2014_05_priskirta!L39</f>
        <v>0</v>
      </c>
      <c r="M38" s="127">
        <f>+'R_2014_05_atkelta(viso)'!M38+R_2014_05_priskirta!M39</f>
        <v>0</v>
      </c>
      <c r="N38" s="127">
        <f>+'R_2014_05_atkelta(viso)'!N38+R_2014_05_priskirta!N39</f>
        <v>0</v>
      </c>
      <c r="O38" s="127">
        <f>+'R_2014_05_atkelta(viso)'!O38+R_2014_05_priskirta!O39</f>
        <v>0</v>
      </c>
      <c r="P38" s="24">
        <f t="shared" si="10"/>
        <v>90</v>
      </c>
      <c r="Q38" s="229">
        <f t="shared" si="11"/>
        <v>82.568807339449535</v>
      </c>
      <c r="R38" s="73">
        <f t="shared" si="24"/>
        <v>7.4311926605504652</v>
      </c>
      <c r="S38" s="21">
        <f t="shared" si="23"/>
        <v>0.2</v>
      </c>
      <c r="T38" s="35"/>
      <c r="U38" s="61">
        <v>450</v>
      </c>
      <c r="V38" s="13">
        <f t="shared" si="27"/>
        <v>90</v>
      </c>
      <c r="X38" s="2"/>
      <c r="Y38" s="2"/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+'R_2014_05_atkelta(viso)'!E39+R_2014_05_priskirta!E40</f>
        <v>98.67</v>
      </c>
      <c r="F39" s="127">
        <f>+'R_2014_05_atkelta(viso)'!F39+R_2014_05_priskirta!F40</f>
        <v>2004.67</v>
      </c>
      <c r="G39" s="127">
        <f>+'R_2014_05_atkelta(viso)'!G39+R_2014_05_priskirta!G40</f>
        <v>130</v>
      </c>
      <c r="H39" s="127">
        <f>+'R_2014_05_atkelta(viso)'!H39+R_2014_05_priskirta!H40</f>
        <v>196.68000000000004</v>
      </c>
      <c r="I39" s="127">
        <f>+'R_2014_05_atkelta(viso)'!I39+R_2014_05_priskirta!I40</f>
        <v>0</v>
      </c>
      <c r="J39" s="127">
        <f>+'R_2014_05_atkelta(viso)'!J39+R_2014_05_priskirta!J40</f>
        <v>0</v>
      </c>
      <c r="K39" s="127">
        <f>+'R_2014_05_atkelta(viso)'!K39+R_2014_05_priskirta!K40</f>
        <v>0</v>
      </c>
      <c r="L39" s="127">
        <f>+'R_2014_05_atkelta(viso)'!L39+R_2014_05_priskirta!L40</f>
        <v>0</v>
      </c>
      <c r="M39" s="127">
        <f>+'R_2014_05_atkelta(viso)'!M39+R_2014_05_priskirta!M40</f>
        <v>0</v>
      </c>
      <c r="N39" s="127">
        <f>+'R_2014_05_atkelta(viso)'!N39+R_2014_05_priskirta!N40</f>
        <v>1180.67</v>
      </c>
      <c r="O39" s="127">
        <f>+'R_2014_05_atkelta(viso)'!O39+R_2014_05_priskirta!O40</f>
        <v>0</v>
      </c>
      <c r="P39" s="24">
        <f t="shared" si="10"/>
        <v>3610.69</v>
      </c>
      <c r="Q39" s="229">
        <f t="shared" si="11"/>
        <v>3312.5596330275225</v>
      </c>
      <c r="R39" s="73">
        <f t="shared" si="24"/>
        <v>298.13036697247753</v>
      </c>
      <c r="S39" s="21">
        <f t="shared" si="23"/>
        <v>20.05938888888889</v>
      </c>
      <c r="T39" s="35"/>
      <c r="U39" s="61">
        <v>720</v>
      </c>
      <c r="V39" s="13">
        <f t="shared" si="27"/>
        <v>14442.76</v>
      </c>
      <c r="X39" s="2"/>
      <c r="Y39" s="2"/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+'R_2014_05_atkelta(viso)'!E40+R_2014_05_priskirta!E41</f>
        <v>0</v>
      </c>
      <c r="F40" s="127">
        <f>+'R_2014_05_atkelta(viso)'!F40+R_2014_05_priskirta!F41</f>
        <v>0</v>
      </c>
      <c r="G40" s="127">
        <f>+'R_2014_05_atkelta(viso)'!G40+R_2014_05_priskirta!G41</f>
        <v>0</v>
      </c>
      <c r="H40" s="127">
        <f>+'R_2014_05_atkelta(viso)'!H40+R_2014_05_priskirta!H41</f>
        <v>0</v>
      </c>
      <c r="I40" s="127">
        <f>+'R_2014_05_atkelta(viso)'!I40+R_2014_05_priskirta!I41</f>
        <v>0</v>
      </c>
      <c r="J40" s="127">
        <f>+'R_2014_05_atkelta(viso)'!J40+R_2014_05_priskirta!J41</f>
        <v>0</v>
      </c>
      <c r="K40" s="127">
        <f>+'R_2014_05_atkelta(viso)'!K40+R_2014_05_priskirta!K41</f>
        <v>0</v>
      </c>
      <c r="L40" s="127">
        <f>+'R_2014_05_atkelta(viso)'!L40+R_2014_05_priskirta!L41</f>
        <v>0</v>
      </c>
      <c r="M40" s="127">
        <f>+'R_2014_05_atkelta(viso)'!M40+R_2014_05_priskirta!M41</f>
        <v>0</v>
      </c>
      <c r="N40" s="127">
        <f>+'R_2014_05_atkelta(viso)'!N40+R_2014_05_priskirta!N41</f>
        <v>558</v>
      </c>
      <c r="O40" s="127">
        <f>+'R_2014_05_atkelta(viso)'!O40+R_2014_05_priskirta!O41</f>
        <v>0</v>
      </c>
      <c r="P40" s="24">
        <f t="shared" si="10"/>
        <v>558</v>
      </c>
      <c r="Q40" s="229">
        <f t="shared" si="11"/>
        <v>511.92660550458714</v>
      </c>
      <c r="R40" s="73">
        <f t="shared" si="24"/>
        <v>46.073394495412856</v>
      </c>
      <c r="S40" s="21">
        <f t="shared" si="23"/>
        <v>0.68888888888888888</v>
      </c>
      <c r="T40" s="71"/>
      <c r="U40" s="61"/>
      <c r="V40" s="13"/>
      <c r="X40" s="2"/>
      <c r="Y40" s="2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+'R_2014_05_atkelta(viso)'!E41+R_2014_05_priskirta!E42</f>
        <v>0</v>
      </c>
      <c r="F41" s="127">
        <f>+'R_2014_05_atkelta(viso)'!F41+R_2014_05_priskirta!F42</f>
        <v>0</v>
      </c>
      <c r="G41" s="127">
        <f>+'R_2014_05_atkelta(viso)'!G41+R_2014_05_priskirta!G42</f>
        <v>0</v>
      </c>
      <c r="H41" s="127">
        <f>+'R_2014_05_atkelta(viso)'!H41+R_2014_05_priskirta!H42</f>
        <v>0</v>
      </c>
      <c r="I41" s="127">
        <f>+'R_2014_05_atkelta(viso)'!I41+R_2014_05_priskirta!I42</f>
        <v>0</v>
      </c>
      <c r="J41" s="127">
        <f>+'R_2014_05_atkelta(viso)'!J41+R_2014_05_priskirta!J42</f>
        <v>0</v>
      </c>
      <c r="K41" s="127">
        <f>+'R_2014_05_atkelta(viso)'!K41+R_2014_05_priskirta!K42</f>
        <v>0</v>
      </c>
      <c r="L41" s="127">
        <f>+'R_2014_05_atkelta(viso)'!L41+R_2014_05_priskirta!L42</f>
        <v>0</v>
      </c>
      <c r="M41" s="127">
        <f>+'R_2014_05_atkelta(viso)'!M41+R_2014_05_priskirta!M42</f>
        <v>0</v>
      </c>
      <c r="N41" s="127">
        <f>+'R_2014_05_atkelta(viso)'!N41+R_2014_05_priskirta!N42</f>
        <v>0</v>
      </c>
      <c r="O41" s="127">
        <f>+'R_2014_05_atkelta(viso)'!O41+R_2014_05_priskirta!O42</f>
        <v>0</v>
      </c>
      <c r="P41" s="24">
        <f t="shared" si="10"/>
        <v>0</v>
      </c>
      <c r="Q41" s="229">
        <f t="shared" si="11"/>
        <v>0</v>
      </c>
      <c r="R41" s="73">
        <f t="shared" si="24"/>
        <v>0</v>
      </c>
      <c r="S41" s="21">
        <f t="shared" si="23"/>
        <v>0</v>
      </c>
      <c r="T41" s="71"/>
      <c r="U41" s="61">
        <v>405</v>
      </c>
      <c r="V41" s="13">
        <f t="shared" si="27"/>
        <v>0</v>
      </c>
      <c r="X41" s="2"/>
      <c r="Y41" s="2"/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+'R_2014_05_atkelta(viso)'!E42+R_2014_05_priskirta!E43</f>
        <v>15.6</v>
      </c>
      <c r="F42" s="127">
        <f>+'R_2014_05_atkelta(viso)'!F42+R_2014_05_priskirta!F43</f>
        <v>193.2</v>
      </c>
      <c r="G42" s="127">
        <f>+'R_2014_05_atkelta(viso)'!G42+R_2014_05_priskirta!G43</f>
        <v>15.6</v>
      </c>
      <c r="H42" s="127">
        <f>+'R_2014_05_atkelta(viso)'!H42+R_2014_05_priskirta!H43</f>
        <v>0</v>
      </c>
      <c r="I42" s="127">
        <f>+'R_2014_05_atkelta(viso)'!I42+R_2014_05_priskirta!I43</f>
        <v>0</v>
      </c>
      <c r="J42" s="127">
        <f>+'R_2014_05_atkelta(viso)'!J42+R_2014_05_priskirta!J43</f>
        <v>0</v>
      </c>
      <c r="K42" s="127">
        <f>+'R_2014_05_atkelta(viso)'!K42+R_2014_05_priskirta!K43</f>
        <v>0</v>
      </c>
      <c r="L42" s="127">
        <f>+'R_2014_05_atkelta(viso)'!L42+R_2014_05_priskirta!L43</f>
        <v>0</v>
      </c>
      <c r="M42" s="127">
        <f>+'R_2014_05_atkelta(viso)'!M42+R_2014_05_priskirta!M43</f>
        <v>0</v>
      </c>
      <c r="N42" s="127">
        <f>+'R_2014_05_atkelta(viso)'!N42+R_2014_05_priskirta!N43</f>
        <v>228.6</v>
      </c>
      <c r="O42" s="127">
        <f>+'R_2014_05_atkelta(viso)'!O42+R_2014_05_priskirta!O43</f>
        <v>0</v>
      </c>
      <c r="P42" s="24">
        <f t="shared" si="10"/>
        <v>453</v>
      </c>
      <c r="Q42" s="229">
        <f t="shared" si="11"/>
        <v>415.59633027522932</v>
      </c>
      <c r="R42" s="207">
        <f t="shared" si="24"/>
        <v>37.40366972477068</v>
      </c>
      <c r="S42" s="39">
        <f t="shared" si="23"/>
        <v>2.7962962962962963</v>
      </c>
      <c r="T42" s="71"/>
      <c r="U42" s="61">
        <v>648</v>
      </c>
      <c r="V42" s="13">
        <f t="shared" si="27"/>
        <v>1812</v>
      </c>
      <c r="X42" s="2"/>
      <c r="Y42" s="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+'R_2014_05_atkelta(viso)'!E43+R_2014_05_priskirta!E44</f>
        <v>143.51</v>
      </c>
      <c r="F43" s="127">
        <f>+'R_2014_05_atkelta(viso)'!F43+R_2014_05_priskirta!F44</f>
        <v>11180.779999999999</v>
      </c>
      <c r="G43" s="127">
        <f>+'R_2014_05_atkelta(viso)'!G43+R_2014_05_priskirta!G44</f>
        <v>1449.07</v>
      </c>
      <c r="H43" s="127">
        <f>+'R_2014_05_atkelta(viso)'!H43+R_2014_05_priskirta!H44</f>
        <v>1991.5900000000001</v>
      </c>
      <c r="I43" s="127">
        <f>+'R_2014_05_atkelta(viso)'!I43+R_2014_05_priskirta!I44</f>
        <v>0</v>
      </c>
      <c r="J43" s="127">
        <f>+'R_2014_05_atkelta(viso)'!J43+R_2014_05_priskirta!J44</f>
        <v>0</v>
      </c>
      <c r="K43" s="127">
        <f>+'R_2014_05_atkelta(viso)'!K43+R_2014_05_priskirta!K44</f>
        <v>0</v>
      </c>
      <c r="L43" s="127">
        <f>+'R_2014_05_atkelta(viso)'!L43+R_2014_05_priskirta!L44</f>
        <v>0</v>
      </c>
      <c r="M43" s="127">
        <f>+'R_2014_05_atkelta(viso)'!M43+R_2014_05_priskirta!M44</f>
        <v>14.66</v>
      </c>
      <c r="N43" s="127">
        <f>+'R_2014_05_atkelta(viso)'!N43+R_2014_05_priskirta!N44</f>
        <v>27.009999999999998</v>
      </c>
      <c r="O43" s="127">
        <f>+'R_2014_05_atkelta(viso)'!O43+R_2014_05_priskirta!O44</f>
        <v>0</v>
      </c>
      <c r="P43" s="24">
        <f t="shared" si="10"/>
        <v>14806.619999999999</v>
      </c>
      <c r="Q43" s="229">
        <f t="shared" si="11"/>
        <v>13584.055045871557</v>
      </c>
      <c r="R43" s="147">
        <f t="shared" si="24"/>
        <v>1222.564954128442</v>
      </c>
      <c r="S43" s="22">
        <f t="shared" si="23"/>
        <v>1480.6619999999998</v>
      </c>
      <c r="T43" s="71"/>
      <c r="U43" s="61"/>
      <c r="V43" s="13"/>
      <c r="W43" s="2"/>
      <c r="X43" s="2"/>
      <c r="Y43" s="2"/>
    </row>
    <row r="44" spans="1:25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3775.0900000000006</v>
      </c>
      <c r="F44" s="82">
        <f>+SUM(F45:F53)</f>
        <v>159299.47</v>
      </c>
      <c r="G44" s="82">
        <f t="shared" ref="G44:S44" si="28">+SUM(G45:G53)</f>
        <v>24444.449999999997</v>
      </c>
      <c r="H44" s="82">
        <f>+SUM(H45:H53)</f>
        <v>3807.2</v>
      </c>
      <c r="I44" s="82">
        <f t="shared" si="28"/>
        <v>0</v>
      </c>
      <c r="J44" s="82">
        <f t="shared" si="28"/>
        <v>0</v>
      </c>
      <c r="K44" s="100">
        <f t="shared" si="28"/>
        <v>0</v>
      </c>
      <c r="L44" s="100">
        <f t="shared" si="28"/>
        <v>0</v>
      </c>
      <c r="M44" s="100">
        <f t="shared" si="28"/>
        <v>1033.92</v>
      </c>
      <c r="N44" s="100">
        <f t="shared" si="28"/>
        <v>16845.939999999999</v>
      </c>
      <c r="O44" s="100">
        <f t="shared" ref="O44" si="29">+SUM(O45:O53)</f>
        <v>4.8</v>
      </c>
      <c r="P44" s="42">
        <f>+SUM(P45:P53)</f>
        <v>209210.87000000002</v>
      </c>
      <c r="Q44" s="82">
        <f t="shared" si="28"/>
        <v>191936.57798165138</v>
      </c>
      <c r="R44" s="82">
        <f t="shared" si="28"/>
        <v>17274.292018348635</v>
      </c>
      <c r="S44" s="19">
        <f t="shared" si="28"/>
        <v>30766.03211382114</v>
      </c>
      <c r="T44" s="71"/>
      <c r="U44" s="61"/>
      <c r="V44" s="105">
        <f>+SUM(V45:V53)</f>
        <v>306439.78000000003</v>
      </c>
      <c r="X44" s="2"/>
      <c r="Y44" s="2"/>
    </row>
    <row r="45" spans="1:25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>
        <f>+'R_2014_05_atkelta(viso)'!E45+R_2014_05_priskirta!E46</f>
        <v>420</v>
      </c>
      <c r="F45" s="127">
        <f>+'R_2014_05_atkelta(viso)'!F45+R_2014_05_priskirta!F46</f>
        <v>15936</v>
      </c>
      <c r="G45" s="127">
        <f>+'R_2014_05_atkelta(viso)'!G45+R_2014_05_priskirta!G46</f>
        <v>2340</v>
      </c>
      <c r="H45" s="127">
        <f>+'R_2014_05_atkelta(viso)'!H45+R_2014_05_priskirta!H46</f>
        <v>240</v>
      </c>
      <c r="I45" s="127">
        <f>+'R_2014_05_atkelta(viso)'!I45+R_2014_05_priskirta!I46</f>
        <v>0</v>
      </c>
      <c r="J45" s="127">
        <f>+'R_2014_05_atkelta(viso)'!J45+R_2014_05_priskirta!J46</f>
        <v>0</v>
      </c>
      <c r="K45" s="127">
        <f>+'R_2014_05_atkelta(viso)'!K45+R_2014_05_priskirta!K46</f>
        <v>0</v>
      </c>
      <c r="L45" s="127">
        <f>+'R_2014_05_atkelta(viso)'!L45+R_2014_05_priskirta!L46</f>
        <v>0</v>
      </c>
      <c r="M45" s="127">
        <f>+'R_2014_05_atkelta(viso)'!M45+R_2014_05_priskirta!M46</f>
        <v>72</v>
      </c>
      <c r="N45" s="127">
        <f>+'R_2014_05_atkelta(viso)'!N45+R_2014_05_priskirta!N46</f>
        <v>1776</v>
      </c>
      <c r="O45" s="127">
        <f>+'R_2014_05_atkelta(viso)'!O45+R_2014_05_priskirta!O46</f>
        <v>0</v>
      </c>
      <c r="P45" s="24">
        <f t="shared" si="10"/>
        <v>20784</v>
      </c>
      <c r="Q45" s="229">
        <f t="shared" si="11"/>
        <v>19067.889908256879</v>
      </c>
      <c r="R45" s="99">
        <f t="shared" ref="R45:R53" si="30">+P45-Q45</f>
        <v>1716.1100917431213</v>
      </c>
      <c r="S45" s="116">
        <f t="shared" ref="S45:S53" si="31">P45/D45</f>
        <v>1732</v>
      </c>
      <c r="T45" s="71"/>
      <c r="U45" s="61"/>
      <c r="V45" s="13"/>
      <c r="W45"/>
      <c r="X45" s="2"/>
      <c r="Y45" s="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>
        <f>+'R_2014_05_atkelta(viso)'!E46+R_2014_05_priskirta!E47</f>
        <v>246</v>
      </c>
      <c r="F46" s="127">
        <f>+'R_2014_05_atkelta(viso)'!F46+R_2014_05_priskirta!F47</f>
        <v>1932</v>
      </c>
      <c r="G46" s="127">
        <f>+'R_2014_05_atkelta(viso)'!G46+R_2014_05_priskirta!G47</f>
        <v>276</v>
      </c>
      <c r="H46" s="127">
        <f>+'R_2014_05_atkelta(viso)'!H46+R_2014_05_priskirta!H47</f>
        <v>12</v>
      </c>
      <c r="I46" s="127">
        <f>+'R_2014_05_atkelta(viso)'!I46+R_2014_05_priskirta!I47</f>
        <v>0</v>
      </c>
      <c r="J46" s="127">
        <f>+'R_2014_05_atkelta(viso)'!J46+R_2014_05_priskirta!J47</f>
        <v>0</v>
      </c>
      <c r="K46" s="127">
        <f>+'R_2014_05_atkelta(viso)'!K46+R_2014_05_priskirta!K47</f>
        <v>0</v>
      </c>
      <c r="L46" s="127">
        <f>+'R_2014_05_atkelta(viso)'!L46+R_2014_05_priskirta!L47</f>
        <v>0</v>
      </c>
      <c r="M46" s="127">
        <f>+'R_2014_05_atkelta(viso)'!M46+R_2014_05_priskirta!M47</f>
        <v>0</v>
      </c>
      <c r="N46" s="127">
        <f>+'R_2014_05_atkelta(viso)'!N46+R_2014_05_priskirta!N47</f>
        <v>168</v>
      </c>
      <c r="O46" s="127">
        <f>+'R_2014_05_atkelta(viso)'!O46+R_2014_05_priskirta!O47</f>
        <v>0</v>
      </c>
      <c r="P46" s="24">
        <f t="shared" si="10"/>
        <v>2634</v>
      </c>
      <c r="Q46" s="229">
        <f t="shared" si="11"/>
        <v>2416.5137614678897</v>
      </c>
      <c r="R46" s="5">
        <f t="shared" si="30"/>
        <v>217.48623853211029</v>
      </c>
      <c r="S46" s="31">
        <f t="shared" si="31"/>
        <v>439</v>
      </c>
      <c r="T46" s="71"/>
      <c r="U46" s="61">
        <v>6</v>
      </c>
      <c r="V46" s="13">
        <f t="shared" ref="V46:V47" si="32">+S46*U46</f>
        <v>2634</v>
      </c>
      <c r="X46" s="2"/>
      <c r="Y46" s="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+'R_2014_05_atkelta(viso)'!E47+R_2014_05_priskirta!E48</f>
        <v>820.8</v>
      </c>
      <c r="F47" s="127">
        <f>+'R_2014_05_atkelta(viso)'!F47+R_2014_05_priskirta!F48</f>
        <v>38793.599999999999</v>
      </c>
      <c r="G47" s="127">
        <f>+'R_2014_05_atkelta(viso)'!G47+R_2014_05_priskirta!G48</f>
        <v>6928.8</v>
      </c>
      <c r="H47" s="127">
        <f>+'R_2014_05_atkelta(viso)'!H47+R_2014_05_priskirta!H48</f>
        <v>297.60000000000002</v>
      </c>
      <c r="I47" s="127">
        <f>+'R_2014_05_atkelta(viso)'!I47+R_2014_05_priskirta!I48</f>
        <v>0</v>
      </c>
      <c r="J47" s="127">
        <f>+'R_2014_05_atkelta(viso)'!J47+R_2014_05_priskirta!J48</f>
        <v>0</v>
      </c>
      <c r="K47" s="127">
        <f>+'R_2014_05_atkelta(viso)'!K47+R_2014_05_priskirta!K48</f>
        <v>0</v>
      </c>
      <c r="L47" s="127">
        <f>+'R_2014_05_atkelta(viso)'!L47+R_2014_05_priskirta!L48</f>
        <v>0</v>
      </c>
      <c r="M47" s="127">
        <f>+'R_2014_05_atkelta(viso)'!M47+R_2014_05_priskirta!M48</f>
        <v>196.8</v>
      </c>
      <c r="N47" s="127">
        <f>+'R_2014_05_atkelta(viso)'!N47+R_2014_05_priskirta!N48</f>
        <v>2779.2</v>
      </c>
      <c r="O47" s="127">
        <f>+'R_2014_05_atkelta(viso)'!O47+R_2014_05_priskirta!O48</f>
        <v>4.8</v>
      </c>
      <c r="P47" s="24">
        <f t="shared" si="10"/>
        <v>49821.600000000006</v>
      </c>
      <c r="Q47" s="229">
        <f t="shared" si="11"/>
        <v>45707.889908256882</v>
      </c>
      <c r="R47" s="5">
        <f t="shared" si="30"/>
        <v>4113.7100917431235</v>
      </c>
      <c r="S47" s="31">
        <f t="shared" si="31"/>
        <v>20759.000000000004</v>
      </c>
      <c r="T47" s="71"/>
      <c r="U47" s="61">
        <v>9.6</v>
      </c>
      <c r="V47" s="13">
        <f t="shared" si="32"/>
        <v>199286.40000000002</v>
      </c>
      <c r="X47" s="2"/>
      <c r="Y47" s="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f>+'R_2014_05_atkelta(viso)'!E48+R_2014_05_priskirta!E49</f>
        <v>399</v>
      </c>
      <c r="F48" s="127">
        <f>+'R_2014_05_atkelta(viso)'!F48+R_2014_05_priskirta!F49</f>
        <v>18515</v>
      </c>
      <c r="G48" s="127">
        <f>+'R_2014_05_atkelta(viso)'!G48+R_2014_05_priskirta!G49</f>
        <v>1736</v>
      </c>
      <c r="H48" s="127">
        <f>+'R_2014_05_atkelta(viso)'!H48+R_2014_05_priskirta!H49</f>
        <v>518</v>
      </c>
      <c r="I48" s="127">
        <f>+'R_2014_05_atkelta(viso)'!I48+R_2014_05_priskirta!I49</f>
        <v>0</v>
      </c>
      <c r="J48" s="127">
        <f>+'R_2014_05_atkelta(viso)'!J48+R_2014_05_priskirta!J49</f>
        <v>0</v>
      </c>
      <c r="K48" s="127">
        <f>+'R_2014_05_atkelta(viso)'!K48+R_2014_05_priskirta!K49</f>
        <v>0</v>
      </c>
      <c r="L48" s="127">
        <f>+'R_2014_05_atkelta(viso)'!L48+R_2014_05_priskirta!L49</f>
        <v>0</v>
      </c>
      <c r="M48" s="127">
        <f>+'R_2014_05_atkelta(viso)'!M48+R_2014_05_priskirta!M49</f>
        <v>105</v>
      </c>
      <c r="N48" s="127">
        <f>+'R_2014_05_atkelta(viso)'!N48+R_2014_05_priskirta!N49</f>
        <v>3150</v>
      </c>
      <c r="O48" s="127">
        <f>+'R_2014_05_atkelta(viso)'!O48+R_2014_05_priskirta!O49</f>
        <v>0</v>
      </c>
      <c r="P48" s="24">
        <f t="shared" si="10"/>
        <v>24423</v>
      </c>
      <c r="Q48" s="229">
        <f t="shared" si="11"/>
        <v>22406.422018348621</v>
      </c>
      <c r="R48" s="5">
        <f t="shared" si="30"/>
        <v>2016.5779816513786</v>
      </c>
      <c r="S48" s="31">
        <f t="shared" si="31"/>
        <v>1163</v>
      </c>
      <c r="T48" s="71"/>
      <c r="U48" s="61"/>
      <c r="V48" s="13"/>
      <c r="X48" s="2"/>
      <c r="Y48" s="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+'R_2014_05_atkelta(viso)'!E49+R_2014_05_priskirta!E50</f>
        <v>73.5</v>
      </c>
      <c r="F49" s="127">
        <f>+'R_2014_05_atkelta(viso)'!F49+R_2014_05_priskirta!F50</f>
        <v>1529.5</v>
      </c>
      <c r="G49" s="127">
        <f>+'R_2014_05_atkelta(viso)'!G49+R_2014_05_priskirta!G50</f>
        <v>339.5</v>
      </c>
      <c r="H49" s="127">
        <f>+'R_2014_05_atkelta(viso)'!H49+R_2014_05_priskirta!H50</f>
        <v>115.5</v>
      </c>
      <c r="I49" s="127">
        <f>+'R_2014_05_atkelta(viso)'!I49+R_2014_05_priskirta!I50</f>
        <v>0</v>
      </c>
      <c r="J49" s="127">
        <f>+'R_2014_05_atkelta(viso)'!J49+R_2014_05_priskirta!J50</f>
        <v>0</v>
      </c>
      <c r="K49" s="127">
        <f>+'R_2014_05_atkelta(viso)'!K49+R_2014_05_priskirta!K50</f>
        <v>0</v>
      </c>
      <c r="L49" s="127">
        <f>+'R_2014_05_atkelta(viso)'!L49+R_2014_05_priskirta!L50</f>
        <v>0</v>
      </c>
      <c r="M49" s="127">
        <f>+'R_2014_05_atkelta(viso)'!M49+R_2014_05_priskirta!M50</f>
        <v>21</v>
      </c>
      <c r="N49" s="127">
        <f>+'R_2014_05_atkelta(viso)'!N49+R_2014_05_priskirta!N50</f>
        <v>105</v>
      </c>
      <c r="O49" s="127">
        <f>+'R_2014_05_atkelta(viso)'!O49+R_2014_05_priskirta!O50</f>
        <v>0</v>
      </c>
      <c r="P49" s="24">
        <f t="shared" si="10"/>
        <v>2184</v>
      </c>
      <c r="Q49" s="229">
        <f t="shared" si="11"/>
        <v>2003.669724770642</v>
      </c>
      <c r="R49" s="5">
        <f t="shared" si="30"/>
        <v>180.33027522935799</v>
      </c>
      <c r="S49" s="21">
        <f t="shared" si="31"/>
        <v>208</v>
      </c>
      <c r="T49" s="71"/>
      <c r="U49" s="61">
        <v>10.5</v>
      </c>
      <c r="V49" s="13">
        <f t="shared" ref="V49:V50" si="33">+S49*U49</f>
        <v>2184</v>
      </c>
      <c r="X49" s="2"/>
      <c r="Y49" s="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+'R_2014_05_atkelta(viso)'!E50+R_2014_05_priskirta!E51</f>
        <v>110.6</v>
      </c>
      <c r="F50" s="127">
        <f>+'R_2014_05_atkelta(viso)'!F50+R_2014_05_priskirta!F51</f>
        <v>8442</v>
      </c>
      <c r="G50" s="127">
        <f>+'R_2014_05_atkelta(viso)'!G50+R_2014_05_priskirta!G51</f>
        <v>1075.2</v>
      </c>
      <c r="H50" s="127">
        <f>+'R_2014_05_atkelta(viso)'!H50+R_2014_05_priskirta!H51</f>
        <v>119</v>
      </c>
      <c r="I50" s="127">
        <f>+'R_2014_05_atkelta(viso)'!I50+R_2014_05_priskirta!I51</f>
        <v>0</v>
      </c>
      <c r="J50" s="127">
        <f>+'R_2014_05_atkelta(viso)'!J50+R_2014_05_priskirta!J51</f>
        <v>0</v>
      </c>
      <c r="K50" s="127">
        <f>+'R_2014_05_atkelta(viso)'!K50+R_2014_05_priskirta!K51</f>
        <v>0</v>
      </c>
      <c r="L50" s="127">
        <f>+'R_2014_05_atkelta(viso)'!L50+R_2014_05_priskirta!L51</f>
        <v>0</v>
      </c>
      <c r="M50" s="127">
        <f>+'R_2014_05_atkelta(viso)'!M50+R_2014_05_priskirta!M51</f>
        <v>60.199999999999996</v>
      </c>
      <c r="N50" s="127">
        <f>+'R_2014_05_atkelta(viso)'!N50+R_2014_05_priskirta!N51</f>
        <v>1400</v>
      </c>
      <c r="O50" s="127">
        <f>+'R_2014_05_atkelta(viso)'!O50+R_2014_05_priskirta!O51</f>
        <v>0</v>
      </c>
      <c r="P50" s="24">
        <f t="shared" si="10"/>
        <v>11207.000000000002</v>
      </c>
      <c r="Q50" s="229">
        <f t="shared" si="11"/>
        <v>10281.65137614679</v>
      </c>
      <c r="R50" s="5">
        <f t="shared" si="30"/>
        <v>925.34862385321139</v>
      </c>
      <c r="S50" s="21">
        <f t="shared" si="31"/>
        <v>2668.3333333333335</v>
      </c>
      <c r="T50" s="71"/>
      <c r="U50" s="61">
        <v>16.8</v>
      </c>
      <c r="V50" s="13">
        <f t="shared" si="33"/>
        <v>44828.000000000007</v>
      </c>
      <c r="X50" s="2"/>
      <c r="Y50" s="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+'R_2014_05_atkelta(viso)'!E51+R_2014_05_priskirta!E52</f>
        <v>1488.3000000000002</v>
      </c>
      <c r="F51" s="127">
        <f>+'R_2014_05_atkelta(viso)'!F51+R_2014_05_priskirta!F52</f>
        <v>59630.400000000001</v>
      </c>
      <c r="G51" s="127">
        <f>+'R_2014_05_atkelta(viso)'!G51+R_2014_05_priskirta!G52</f>
        <v>9553</v>
      </c>
      <c r="H51" s="127">
        <f>+'R_2014_05_atkelta(viso)'!H51+R_2014_05_priskirta!H52</f>
        <v>2152.5</v>
      </c>
      <c r="I51" s="127">
        <f>+'R_2014_05_atkelta(viso)'!I51+R_2014_05_priskirta!I52</f>
        <v>0</v>
      </c>
      <c r="J51" s="127">
        <f>+'R_2014_05_atkelta(viso)'!J51+R_2014_05_priskirta!J52</f>
        <v>0</v>
      </c>
      <c r="K51" s="127">
        <f>+'R_2014_05_atkelta(viso)'!K51+R_2014_05_priskirta!K52</f>
        <v>0</v>
      </c>
      <c r="L51" s="127">
        <f>+'R_2014_05_atkelta(viso)'!L51+R_2014_05_priskirta!L52</f>
        <v>0</v>
      </c>
      <c r="M51" s="127">
        <f>+'R_2014_05_atkelta(viso)'!M51+R_2014_05_priskirta!M52</f>
        <v>520.70000000000005</v>
      </c>
      <c r="N51" s="127">
        <f>+'R_2014_05_atkelta(viso)'!N51+R_2014_05_priskirta!N52</f>
        <v>4965.0999999999995</v>
      </c>
      <c r="O51" s="127">
        <f>+'R_2014_05_atkelta(viso)'!O51+R_2014_05_priskirta!O52</f>
        <v>0</v>
      </c>
      <c r="P51" s="24">
        <f t="shared" si="10"/>
        <v>78310.000000000015</v>
      </c>
      <c r="Q51" s="229">
        <f t="shared" si="11"/>
        <v>71844.03669724772</v>
      </c>
      <c r="R51" s="5">
        <f t="shared" si="30"/>
        <v>6465.9633027522941</v>
      </c>
      <c r="S51" s="21">
        <f t="shared" si="31"/>
        <v>1910.0000000000005</v>
      </c>
      <c r="T51" s="71"/>
      <c r="U51" s="61"/>
      <c r="V51" s="13"/>
      <c r="X51" s="2"/>
      <c r="Y51" s="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+'R_2014_05_atkelta(viso)'!E52+R_2014_05_priskirta!E53</f>
        <v>63.55</v>
      </c>
      <c r="F52" s="127">
        <f>+'R_2014_05_atkelta(viso)'!F52+R_2014_05_priskirta!F53</f>
        <v>5848.6500000000005</v>
      </c>
      <c r="G52" s="127">
        <f>+'R_2014_05_atkelta(viso)'!G52+R_2014_05_priskirta!G53</f>
        <v>865.1</v>
      </c>
      <c r="H52" s="127">
        <f>+'R_2014_05_atkelta(viso)'!H52+R_2014_05_priskirta!H53</f>
        <v>213.2</v>
      </c>
      <c r="I52" s="127">
        <f>+'R_2014_05_atkelta(viso)'!I52+R_2014_05_priskirta!I53</f>
        <v>0</v>
      </c>
      <c r="J52" s="127">
        <f>+'R_2014_05_atkelta(viso)'!J52+R_2014_05_priskirta!J53</f>
        <v>0</v>
      </c>
      <c r="K52" s="127">
        <f>+'R_2014_05_atkelta(viso)'!K52+R_2014_05_priskirta!K53</f>
        <v>0</v>
      </c>
      <c r="L52" s="127">
        <f>+'R_2014_05_atkelta(viso)'!L52+R_2014_05_priskirta!L53</f>
        <v>0</v>
      </c>
      <c r="M52" s="127">
        <f>+'R_2014_05_atkelta(viso)'!M52+R_2014_05_priskirta!M53</f>
        <v>0</v>
      </c>
      <c r="N52" s="127">
        <f>+'R_2014_05_atkelta(viso)'!N52+R_2014_05_priskirta!N53</f>
        <v>303.39999999999998</v>
      </c>
      <c r="O52" s="127">
        <f>+'R_2014_05_atkelta(viso)'!O52+R_2014_05_priskirta!O53</f>
        <v>0</v>
      </c>
      <c r="P52" s="24">
        <f t="shared" si="10"/>
        <v>7293.9000000000005</v>
      </c>
      <c r="Q52" s="229">
        <f t="shared" si="11"/>
        <v>6691.6513761467886</v>
      </c>
      <c r="R52" s="5">
        <f t="shared" si="30"/>
        <v>602.24862385321194</v>
      </c>
      <c r="S52" s="21">
        <f t="shared" si="31"/>
        <v>355.8</v>
      </c>
      <c r="T52" s="71"/>
      <c r="U52" s="61">
        <v>20.5</v>
      </c>
      <c r="V52" s="13">
        <f t="shared" ref="V52:V53" si="34">+S52*U52</f>
        <v>7293.9000000000005</v>
      </c>
      <c r="X52" s="2"/>
      <c r="Y52" s="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+'R_2014_05_atkelta(viso)'!E53+R_2014_05_priskirta!E54</f>
        <v>153.34</v>
      </c>
      <c r="F53" s="199">
        <f>+'R_2014_05_atkelta(viso)'!F53+R_2014_05_priskirta!F54</f>
        <v>8672.32</v>
      </c>
      <c r="G53" s="199">
        <f>+'R_2014_05_atkelta(viso)'!G53+R_2014_05_priskirta!G54</f>
        <v>1330.8500000000001</v>
      </c>
      <c r="H53" s="199">
        <f>+'R_2014_05_atkelta(viso)'!H53+R_2014_05_priskirta!H54</f>
        <v>139.4</v>
      </c>
      <c r="I53" s="199">
        <f>+'R_2014_05_atkelta(viso)'!I53+R_2014_05_priskirta!I54</f>
        <v>0</v>
      </c>
      <c r="J53" s="199">
        <f>+'R_2014_05_atkelta(viso)'!J53+R_2014_05_priskirta!J54</f>
        <v>0</v>
      </c>
      <c r="K53" s="199">
        <f>+'R_2014_05_atkelta(viso)'!K53+R_2014_05_priskirta!K54</f>
        <v>0</v>
      </c>
      <c r="L53" s="199">
        <f>+'R_2014_05_atkelta(viso)'!L53+R_2014_05_priskirta!L54</f>
        <v>0</v>
      </c>
      <c r="M53" s="199">
        <f>+'R_2014_05_atkelta(viso)'!M53+R_2014_05_priskirta!M54</f>
        <v>58.22</v>
      </c>
      <c r="N53" s="199">
        <f>+'R_2014_05_atkelta(viso)'!N53+R_2014_05_priskirta!N54</f>
        <v>2199.2399999999998</v>
      </c>
      <c r="O53" s="199">
        <f>+'R_2014_05_atkelta(viso)'!O53+R_2014_05_priskirta!O54</f>
        <v>0</v>
      </c>
      <c r="P53" s="359">
        <f t="shared" si="10"/>
        <v>12553.369999999999</v>
      </c>
      <c r="Q53" s="140">
        <f t="shared" si="11"/>
        <v>11516.853211009173</v>
      </c>
      <c r="R53" s="6">
        <f t="shared" si="30"/>
        <v>1036.5167889908262</v>
      </c>
      <c r="S53" s="22">
        <f t="shared" si="31"/>
        <v>1530.898780487805</v>
      </c>
      <c r="T53" s="35"/>
      <c r="U53" s="61">
        <v>32.799999999999997</v>
      </c>
      <c r="V53" s="13">
        <f t="shared" si="34"/>
        <v>50213.479999999996</v>
      </c>
      <c r="X53" s="2"/>
      <c r="Y53" s="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P54" s="2"/>
      <c r="Q54" s="2"/>
      <c r="R54" s="2"/>
    </row>
    <row r="55" spans="1:25" x14ac:dyDescent="0.25">
      <c r="E55" s="2"/>
      <c r="F55" s="2"/>
      <c r="G55" s="2"/>
      <c r="H55" s="2"/>
      <c r="I55" s="2"/>
      <c r="J55" s="2"/>
      <c r="M55" s="2"/>
      <c r="P55" s="2"/>
      <c r="Q55" s="2"/>
      <c r="R55" s="2"/>
    </row>
    <row r="57" spans="1:25" x14ac:dyDescent="0.25">
      <c r="N57" s="137"/>
      <c r="O57" s="137"/>
    </row>
    <row r="73" spans="2:2" x14ac:dyDescent="0.25">
      <c r="B73" s="1"/>
    </row>
  </sheetData>
  <mergeCells count="18">
    <mergeCell ref="V3:V4"/>
    <mergeCell ref="G3:G4"/>
    <mergeCell ref="H3:H4"/>
    <mergeCell ref="I3:I4"/>
    <mergeCell ref="J3:J4"/>
    <mergeCell ref="K3:L3"/>
    <mergeCell ref="M3:M4"/>
    <mergeCell ref="P3:P4"/>
    <mergeCell ref="Q3:Q4"/>
    <mergeCell ref="R3:R4"/>
    <mergeCell ref="S3:S4"/>
    <mergeCell ref="N3:O3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AD73"/>
  <sheetViews>
    <sheetView tabSelected="1" zoomScaleNormal="100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K1" sqref="K1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6.33203125" style="4" customWidth="1" outlineLevel="1"/>
    <col min="6" max="6" width="13" style="1" customWidth="1" outlineLevel="1"/>
    <col min="7" max="7" width="11.33203125" style="1" customWidth="1" outlineLevel="1"/>
    <col min="8" max="8" width="11.5546875" style="1" customWidth="1" outlineLevel="1"/>
    <col min="9" max="9" width="15.109375" style="1" customWidth="1" outlineLevel="1"/>
    <col min="10" max="10" width="14.109375" style="1" customWidth="1" outlineLevel="1"/>
    <col min="11" max="11" width="11.33203125" style="1" customWidth="1" outlineLevel="1"/>
    <col min="12" max="12" width="10.5546875" style="1" customWidth="1" outlineLevel="1"/>
    <col min="13" max="14" width="13" style="1" customWidth="1" outlineLevel="1"/>
    <col min="15" max="15" width="12.33203125" style="1" customWidth="1" outlineLevel="1"/>
    <col min="16" max="16" width="15.109375" style="1" bestFit="1" customWidth="1"/>
    <col min="17" max="18" width="12.33203125" style="1" customWidth="1"/>
    <col min="19" max="19" width="12.33203125" style="1" bestFit="1" customWidth="1"/>
    <col min="20" max="20" width="3.109375" style="1" customWidth="1"/>
    <col min="21" max="21" width="5.109375" style="1" customWidth="1"/>
    <col min="22" max="22" width="13.44140625" style="2" customWidth="1"/>
    <col min="23" max="23" width="12.33203125" style="1" bestFit="1" customWidth="1"/>
    <col min="24" max="24" width="11" style="141" customWidth="1"/>
    <col min="25" max="16384" width="8.88671875" style="1"/>
  </cols>
  <sheetData>
    <row r="1" spans="1:30" ht="22.2" customHeight="1" x14ac:dyDescent="0.3">
      <c r="A1" s="40" t="s">
        <v>325</v>
      </c>
      <c r="E1" s="136"/>
      <c r="F1" s="136"/>
      <c r="G1" s="136"/>
      <c r="H1" s="136"/>
      <c r="I1" s="136">
        <f>+I2+J2</f>
        <v>532911.49212233559</v>
      </c>
      <c r="J1" s="136"/>
      <c r="K1" s="136">
        <f>+K2+L2</f>
        <v>289649.90152919362</v>
      </c>
      <c r="L1" s="136"/>
      <c r="M1" s="136"/>
      <c r="N1" s="136">
        <f>+N2+O2</f>
        <v>171007.72706209455</v>
      </c>
      <c r="O1" s="136"/>
      <c r="P1" s="136"/>
      <c r="Q1" s="136"/>
      <c r="R1" s="136"/>
      <c r="S1" s="136"/>
      <c r="T1" s="136"/>
      <c r="U1" s="136"/>
      <c r="V1" s="136"/>
      <c r="W1" s="2"/>
    </row>
    <row r="2" spans="1:30" ht="18" customHeight="1" x14ac:dyDescent="0.25">
      <c r="A2" s="1" t="s">
        <v>176</v>
      </c>
      <c r="D2" s="3"/>
      <c r="E2" s="2">
        <f>+E5/3.4528</f>
        <v>47877.531278962007</v>
      </c>
      <c r="F2" s="2">
        <f t="shared" ref="F2:R2" si="0">+F5/3.4528</f>
        <v>1877885.7680722894</v>
      </c>
      <c r="G2" s="2">
        <f t="shared" si="0"/>
        <v>277433.76390176086</v>
      </c>
      <c r="H2" s="2">
        <f t="shared" si="0"/>
        <v>40264.359360519004</v>
      </c>
      <c r="I2" s="2">
        <f t="shared" si="0"/>
        <v>208302.20400834107</v>
      </c>
      <c r="J2" s="2">
        <f t="shared" si="0"/>
        <v>324609.28811399447</v>
      </c>
      <c r="K2" s="2">
        <f t="shared" si="0"/>
        <v>289029.72659870249</v>
      </c>
      <c r="L2" s="2">
        <f t="shared" si="0"/>
        <v>620.17493049113307</v>
      </c>
      <c r="M2" s="2">
        <f t="shared" si="0"/>
        <v>16316.247683039852</v>
      </c>
      <c r="N2" s="2">
        <f t="shared" si="0"/>
        <v>170765.95227062097</v>
      </c>
      <c r="O2" s="2">
        <f t="shared" si="0"/>
        <v>241.77479147358665</v>
      </c>
      <c r="P2" s="2">
        <f t="shared" si="0"/>
        <v>3253346.7910101949</v>
      </c>
      <c r="Q2" s="2">
        <f t="shared" si="0"/>
        <v>2984721.8266148577</v>
      </c>
      <c r="R2" s="2">
        <f t="shared" si="0"/>
        <v>268624.96439533733</v>
      </c>
      <c r="S2" s="2"/>
      <c r="T2" s="2"/>
      <c r="U2" s="2"/>
    </row>
    <row r="3" spans="1:30" ht="31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86" t="s">
        <v>178</v>
      </c>
      <c r="O3" s="598"/>
      <c r="P3" s="590" t="s">
        <v>43</v>
      </c>
      <c r="Q3" s="590" t="s">
        <v>44</v>
      </c>
      <c r="R3" s="590" t="s">
        <v>41</v>
      </c>
      <c r="S3" s="590" t="s">
        <v>149</v>
      </c>
      <c r="U3" s="61"/>
      <c r="V3" s="584" t="s">
        <v>148</v>
      </c>
    </row>
    <row r="4" spans="1:30" ht="25.2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345</v>
      </c>
      <c r="M4" s="575"/>
      <c r="N4" s="254" t="s">
        <v>203</v>
      </c>
      <c r="O4" s="254" t="s">
        <v>348</v>
      </c>
      <c r="P4" s="591"/>
      <c r="Q4" s="592"/>
      <c r="R4" s="592"/>
      <c r="S4" s="592"/>
      <c r="U4" s="87"/>
      <c r="V4" s="585"/>
    </row>
    <row r="5" spans="1:30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S5" si="1">+E6+E18+E44</f>
        <v>165311.54</v>
      </c>
      <c r="F5" s="187">
        <f t="shared" si="1"/>
        <v>6483963.9800000004</v>
      </c>
      <c r="G5" s="82">
        <f t="shared" si="1"/>
        <v>957923.29999999993</v>
      </c>
      <c r="H5" s="82">
        <f t="shared" si="1"/>
        <v>139024.78</v>
      </c>
      <c r="I5" s="187">
        <f t="shared" si="1"/>
        <v>719225.85</v>
      </c>
      <c r="J5" s="187">
        <f t="shared" si="1"/>
        <v>1120810.95</v>
      </c>
      <c r="K5" s="187">
        <f t="shared" si="1"/>
        <v>997961.84</v>
      </c>
      <c r="L5" s="187">
        <f t="shared" si="1"/>
        <v>2141.3399999997841</v>
      </c>
      <c r="M5" s="187">
        <f t="shared" si="1"/>
        <v>56336.74</v>
      </c>
      <c r="N5" s="187">
        <f>+N6+N18+N44</f>
        <v>589620.68000000005</v>
      </c>
      <c r="O5" s="19">
        <f>+O6+O18+O44</f>
        <v>834.8</v>
      </c>
      <c r="P5" s="42">
        <f>+SUM(E5:O5)</f>
        <v>11233155.800000001</v>
      </c>
      <c r="Q5" s="42">
        <f t="shared" si="1"/>
        <v>10305647.52293578</v>
      </c>
      <c r="R5" s="42">
        <f t="shared" si="1"/>
        <v>927508.27706422063</v>
      </c>
      <c r="S5" s="42">
        <f t="shared" si="1"/>
        <v>2498583</v>
      </c>
      <c r="T5" s="71"/>
      <c r="U5" s="87"/>
      <c r="V5" s="135">
        <f>+V7+V18+V44</f>
        <v>6630081.7999999998</v>
      </c>
      <c r="W5" s="2"/>
      <c r="X5" s="138"/>
    </row>
    <row r="6" spans="1:30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S6" si="2">+E7+E11</f>
        <v>37980.340000000004</v>
      </c>
      <c r="F6" s="187">
        <f t="shared" si="2"/>
        <v>1675570.0800000003</v>
      </c>
      <c r="G6" s="82">
        <f t="shared" si="2"/>
        <v>245206.09999999998</v>
      </c>
      <c r="H6" s="82">
        <f t="shared" si="2"/>
        <v>33089.680000000008</v>
      </c>
      <c r="I6" s="187">
        <f t="shared" si="2"/>
        <v>719225.85</v>
      </c>
      <c r="J6" s="187">
        <f t="shared" si="2"/>
        <v>1120810.95</v>
      </c>
      <c r="K6" s="187">
        <f t="shared" si="2"/>
        <v>997961.84</v>
      </c>
      <c r="L6" s="187">
        <f t="shared" si="2"/>
        <v>2141.3399999997841</v>
      </c>
      <c r="M6" s="187">
        <f t="shared" si="2"/>
        <v>16273.54</v>
      </c>
      <c r="N6" s="187">
        <f t="shared" si="2"/>
        <v>158104.28</v>
      </c>
      <c r="O6" s="19">
        <f t="shared" ref="O6" si="3">+O7+O11</f>
        <v>156</v>
      </c>
      <c r="P6" s="42">
        <f t="shared" ref="P6:P7" si="4">+SUM(E6:O6)</f>
        <v>5006520</v>
      </c>
      <c r="Q6" s="42">
        <f t="shared" si="2"/>
        <v>4593137.6146788988</v>
      </c>
      <c r="R6" s="42">
        <f t="shared" si="2"/>
        <v>413382.38532110106</v>
      </c>
      <c r="S6" s="44">
        <f t="shared" si="2"/>
        <v>2354728</v>
      </c>
      <c r="U6" s="61"/>
      <c r="V6" s="13"/>
      <c r="W6" s="2"/>
      <c r="X6" s="138"/>
    </row>
    <row r="7" spans="1:30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5">+SUM(E8:E10)</f>
        <v>0</v>
      </c>
      <c r="F7" s="21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719225.85</v>
      </c>
      <c r="J7" s="79">
        <f t="shared" si="5"/>
        <v>1120810.95</v>
      </c>
      <c r="K7" s="79">
        <f t="shared" si="5"/>
        <v>0</v>
      </c>
      <c r="L7" s="79">
        <f t="shared" si="5"/>
        <v>0</v>
      </c>
      <c r="M7" s="79">
        <f t="shared" ref="M7:S7" si="6">+SUM(M8:M10)</f>
        <v>0</v>
      </c>
      <c r="N7" s="219">
        <f t="shared" si="6"/>
        <v>0</v>
      </c>
      <c r="O7" s="226">
        <f t="shared" ref="O7" si="7">+SUM(O8:O10)</f>
        <v>0</v>
      </c>
      <c r="P7" s="43">
        <f t="shared" si="4"/>
        <v>1840036.7999999998</v>
      </c>
      <c r="Q7" s="43">
        <f t="shared" si="6"/>
        <v>1688107.1559633026</v>
      </c>
      <c r="R7" s="43">
        <f t="shared" si="6"/>
        <v>151929.64403669734</v>
      </c>
      <c r="S7" s="45">
        <f t="shared" si="6"/>
        <v>673750</v>
      </c>
      <c r="T7" s="71"/>
      <c r="U7" s="134"/>
      <c r="V7" s="105">
        <f>+SUM(V8:V17)</f>
        <v>1114825.6000000001</v>
      </c>
      <c r="W7" s="2"/>
      <c r="X7" s="138"/>
    </row>
    <row r="8" spans="1:30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524251</v>
      </c>
      <c r="J8" s="127">
        <f>804356+26740</f>
        <v>831096</v>
      </c>
      <c r="K8" s="36"/>
      <c r="L8" s="36"/>
      <c r="M8" s="36"/>
      <c r="N8" s="362"/>
      <c r="O8" s="355"/>
      <c r="P8" s="24">
        <f>+SUM(E8:O8)</f>
        <v>1355347</v>
      </c>
      <c r="Q8" s="5">
        <f t="shared" ref="Q8:Q10" si="8">+P8/1.09</f>
        <v>1243437.6146788991</v>
      </c>
      <c r="R8" s="5">
        <f t="shared" ref="R8:R10" si="9">+P8-Q8</f>
        <v>111909.38532110094</v>
      </c>
      <c r="S8" s="21">
        <f>P8/D8</f>
        <v>387242</v>
      </c>
      <c r="T8" s="71"/>
      <c r="U8" s="61"/>
      <c r="V8" s="13"/>
      <c r="W8" s="2"/>
      <c r="X8" s="138"/>
      <c r="Y8" s="2"/>
      <c r="Z8" s="2"/>
      <c r="AA8" s="2"/>
      <c r="AB8" s="2"/>
      <c r="AC8" s="2"/>
      <c r="AD8" s="2"/>
    </row>
    <row r="9" spans="1:30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10">+D8*0.5</f>
        <v>1.75</v>
      </c>
      <c r="E9" s="122"/>
      <c r="F9" s="17"/>
      <c r="G9" s="13"/>
      <c r="H9" s="13"/>
      <c r="I9" s="127">
        <v>191150.75</v>
      </c>
      <c r="J9" s="127">
        <f>276032.75+6373.5</f>
        <v>282406.25</v>
      </c>
      <c r="K9" s="143"/>
      <c r="L9" s="143"/>
      <c r="M9" s="143"/>
      <c r="N9" s="17"/>
      <c r="O9" s="350"/>
      <c r="P9" s="24">
        <f t="shared" ref="P9:P53" si="11">+SUM(E9:O9)</f>
        <v>473557</v>
      </c>
      <c r="Q9" s="26">
        <f t="shared" si="8"/>
        <v>434455.96330275224</v>
      </c>
      <c r="R9" s="26">
        <f t="shared" si="9"/>
        <v>39101.036697247764</v>
      </c>
      <c r="S9" s="39">
        <f>P9/D9</f>
        <v>270604</v>
      </c>
      <c r="T9" s="71"/>
      <c r="U9" s="61">
        <v>1.75</v>
      </c>
      <c r="V9" s="13">
        <f>+S9*U9</f>
        <v>473557</v>
      </c>
      <c r="W9" s="2"/>
      <c r="X9" s="138"/>
      <c r="Y9" s="2"/>
      <c r="Z9" s="2"/>
      <c r="AA9" s="2"/>
      <c r="AB9" s="2"/>
      <c r="AC9" s="2"/>
      <c r="AD9" s="2"/>
    </row>
    <row r="10" spans="1:30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3824.1</v>
      </c>
      <c r="J10" s="144">
        <f>7196+112.7</f>
        <v>7308.7</v>
      </c>
      <c r="K10" s="144"/>
      <c r="L10" s="144"/>
      <c r="M10" s="144"/>
      <c r="N10" s="18"/>
      <c r="O10" s="350"/>
      <c r="P10" s="24">
        <f t="shared" si="11"/>
        <v>11132.8</v>
      </c>
      <c r="Q10" s="26">
        <f t="shared" si="8"/>
        <v>10213.577981651375</v>
      </c>
      <c r="R10" s="26">
        <f t="shared" si="9"/>
        <v>919.22201834862426</v>
      </c>
      <c r="S10" s="39">
        <f>P10/D10</f>
        <v>15904</v>
      </c>
      <c r="T10" s="71"/>
      <c r="U10" s="107">
        <v>2.8</v>
      </c>
      <c r="V10" s="13">
        <f>+S10*U10</f>
        <v>44531.199999999997</v>
      </c>
      <c r="W10" s="2"/>
      <c r="X10" s="138"/>
      <c r="Y10" s="2"/>
      <c r="Z10" s="2"/>
      <c r="AA10" s="2"/>
      <c r="AB10" s="2"/>
      <c r="AC10" s="2"/>
      <c r="AD10" s="2"/>
    </row>
    <row r="11" spans="1:30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S11" si="12">+SUM(E12:E17)</f>
        <v>37980.340000000004</v>
      </c>
      <c r="F11" s="16">
        <f t="shared" si="12"/>
        <v>1675570.0800000003</v>
      </c>
      <c r="G11" s="84">
        <f t="shared" si="12"/>
        <v>245206.09999999998</v>
      </c>
      <c r="H11" s="84">
        <f t="shared" si="12"/>
        <v>33089.680000000008</v>
      </c>
      <c r="I11" s="84">
        <f t="shared" si="12"/>
        <v>0</v>
      </c>
      <c r="J11" s="74">
        <f t="shared" si="12"/>
        <v>0</v>
      </c>
      <c r="K11" s="101">
        <f t="shared" si="12"/>
        <v>997961.84</v>
      </c>
      <c r="L11" s="101">
        <f t="shared" si="12"/>
        <v>2141.3399999997841</v>
      </c>
      <c r="M11" s="101">
        <f t="shared" si="12"/>
        <v>16273.54</v>
      </c>
      <c r="N11" s="101">
        <f t="shared" si="12"/>
        <v>158104.28</v>
      </c>
      <c r="O11" s="101">
        <f t="shared" si="12"/>
        <v>156</v>
      </c>
      <c r="P11" s="43">
        <f t="shared" si="12"/>
        <v>3166483.1999999997</v>
      </c>
      <c r="Q11" s="43">
        <f t="shared" si="12"/>
        <v>2905030.4587155962</v>
      </c>
      <c r="R11" s="43">
        <f t="shared" si="12"/>
        <v>261452.74128440369</v>
      </c>
      <c r="S11" s="45">
        <f t="shared" si="12"/>
        <v>1680977.9999999998</v>
      </c>
      <c r="T11" s="71"/>
      <c r="U11" s="61"/>
      <c r="V11" s="13"/>
      <c r="W11" s="2"/>
      <c r="X11" s="138"/>
      <c r="Y11" s="2"/>
      <c r="Z11" s="2"/>
      <c r="AA11" s="2"/>
      <c r="AB11" s="2"/>
      <c r="AC11" s="2"/>
      <c r="AD11" s="2"/>
    </row>
    <row r="12" spans="1:30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29902.400000000001</v>
      </c>
      <c r="F12" s="13">
        <v>1272656</v>
      </c>
      <c r="G12" s="13">
        <v>180276.8</v>
      </c>
      <c r="H12" s="13">
        <v>25205.4</v>
      </c>
      <c r="I12" s="13"/>
      <c r="J12" s="33"/>
      <c r="K12" s="33">
        <v>773614.6</v>
      </c>
      <c r="L12" s="305">
        <v>1592.7999999998137</v>
      </c>
      <c r="M12" s="308">
        <v>11160.6</v>
      </c>
      <c r="N12" s="361">
        <v>138947.6</v>
      </c>
      <c r="O12" s="164">
        <v>138.6</v>
      </c>
      <c r="P12" s="24">
        <f t="shared" si="11"/>
        <v>2433494.7999999998</v>
      </c>
      <c r="Q12" s="5">
        <f t="shared" ref="Q12:Q17" si="13">+P12/1.09</f>
        <v>2232564.0366972475</v>
      </c>
      <c r="R12" s="5">
        <f t="shared" ref="R12:R17" si="14">+P12-Q12</f>
        <v>200930.76330275228</v>
      </c>
      <c r="S12" s="21">
        <f t="shared" ref="S12:S17" si="15">P12/D12</f>
        <v>1106133.9999999998</v>
      </c>
      <c r="T12" s="2"/>
      <c r="U12" s="61"/>
      <c r="V12" s="13"/>
      <c r="W12" s="2"/>
      <c r="X12" s="138"/>
      <c r="Y12" s="2"/>
      <c r="Z12" s="2"/>
      <c r="AA12" s="2"/>
      <c r="AB12" s="2"/>
      <c r="AC12" s="2"/>
      <c r="AD12" s="2"/>
    </row>
    <row r="13" spans="1:30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7208.3</v>
      </c>
      <c r="F13" s="13">
        <v>374435.6</v>
      </c>
      <c r="G13" s="13">
        <v>59592.5</v>
      </c>
      <c r="H13" s="13">
        <v>7627.4</v>
      </c>
      <c r="I13" s="13"/>
      <c r="J13" s="33"/>
      <c r="K13" s="33">
        <v>79211</v>
      </c>
      <c r="L13" s="306">
        <v>141.90000000000873</v>
      </c>
      <c r="M13" s="13">
        <v>4821.3</v>
      </c>
      <c r="N13" s="96">
        <v>10758</v>
      </c>
      <c r="O13" s="164">
        <v>11</v>
      </c>
      <c r="P13" s="24">
        <f t="shared" si="11"/>
        <v>543807.00000000012</v>
      </c>
      <c r="Q13" s="5">
        <f t="shared" si="13"/>
        <v>498905.50458715606</v>
      </c>
      <c r="R13" s="5">
        <f t="shared" si="14"/>
        <v>44901.495412844059</v>
      </c>
      <c r="S13" s="21">
        <f t="shared" si="15"/>
        <v>494370.00000000006</v>
      </c>
      <c r="T13" s="71"/>
      <c r="U13" s="107">
        <v>1.1000000000000001</v>
      </c>
      <c r="V13" s="13">
        <f t="shared" ref="V13:V14" si="16">+S13*U13</f>
        <v>543807.00000000012</v>
      </c>
      <c r="W13" s="2"/>
      <c r="X13" s="138"/>
      <c r="Y13" s="2"/>
      <c r="Z13" s="2"/>
      <c r="AA13" s="2"/>
      <c r="AB13" s="2"/>
      <c r="AC13" s="2"/>
      <c r="AD13" s="2"/>
    </row>
    <row r="14" spans="1:30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94.6</v>
      </c>
      <c r="F14" s="13">
        <v>4247.76</v>
      </c>
      <c r="G14" s="13">
        <v>635.36</v>
      </c>
      <c r="H14" s="13">
        <v>106.48</v>
      </c>
      <c r="I14" s="13"/>
      <c r="J14" s="33"/>
      <c r="K14" s="33">
        <v>1437.04</v>
      </c>
      <c r="L14" s="306">
        <v>4.3999999999998636</v>
      </c>
      <c r="M14" s="13">
        <v>70.84</v>
      </c>
      <c r="N14" s="96">
        <v>181.72</v>
      </c>
      <c r="O14" s="164"/>
      <c r="P14" s="24">
        <f t="shared" si="11"/>
        <v>6778.2</v>
      </c>
      <c r="Q14" s="5">
        <f t="shared" si="13"/>
        <v>6218.5321100917427</v>
      </c>
      <c r="R14" s="5">
        <f t="shared" si="14"/>
        <v>559.66788990825717</v>
      </c>
      <c r="S14" s="5">
        <f t="shared" si="15"/>
        <v>15405</v>
      </c>
      <c r="T14" s="71"/>
      <c r="U14" s="61">
        <v>1.76</v>
      </c>
      <c r="V14" s="13">
        <f t="shared" si="16"/>
        <v>27112.799999999999</v>
      </c>
      <c r="W14" s="2"/>
      <c r="X14" s="138"/>
      <c r="Y14" s="2"/>
      <c r="Z14" s="2"/>
      <c r="AA14" s="2"/>
      <c r="AB14" s="2"/>
      <c r="AC14" s="2"/>
      <c r="AD14" s="2"/>
    </row>
    <row r="15" spans="1:30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585.6</v>
      </c>
      <c r="F15" s="13">
        <v>19200</v>
      </c>
      <c r="G15" s="13">
        <v>3600</v>
      </c>
      <c r="H15" s="13">
        <v>73.599999999999994</v>
      </c>
      <c r="I15" s="13"/>
      <c r="J15" s="33"/>
      <c r="K15" s="33">
        <v>126585.60000000001</v>
      </c>
      <c r="L15" s="306">
        <v>358.39999999996508</v>
      </c>
      <c r="M15" s="13">
        <v>192</v>
      </c>
      <c r="N15" s="96">
        <v>7366.4</v>
      </c>
      <c r="O15" s="164">
        <v>6.4</v>
      </c>
      <c r="P15" s="24">
        <f t="shared" si="11"/>
        <v>157967.99999999994</v>
      </c>
      <c r="Q15" s="5">
        <f t="shared" si="13"/>
        <v>144924.77064220177</v>
      </c>
      <c r="R15" s="5">
        <f t="shared" si="14"/>
        <v>13043.229357798176</v>
      </c>
      <c r="S15" s="21">
        <f t="shared" si="15"/>
        <v>49364.999999999978</v>
      </c>
      <c r="T15" s="71"/>
      <c r="U15" s="61"/>
      <c r="V15" s="13"/>
      <c r="W15" s="2"/>
      <c r="X15" s="138"/>
      <c r="Y15" s="2"/>
      <c r="Z15" s="2"/>
      <c r="AA15" s="2"/>
      <c r="AB15" s="2"/>
      <c r="AC15" s="2"/>
      <c r="AD15" s="2"/>
    </row>
    <row r="16" spans="1:30" ht="1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>
        <v>188.8</v>
      </c>
      <c r="F16" s="13">
        <v>4945.6000000000004</v>
      </c>
      <c r="G16" s="13">
        <v>1081.5999999999999</v>
      </c>
      <c r="H16" s="13">
        <v>76.8</v>
      </c>
      <c r="I16" s="13"/>
      <c r="J16" s="33"/>
      <c r="K16" s="33">
        <v>16784</v>
      </c>
      <c r="L16" s="306">
        <v>43.19999999999709</v>
      </c>
      <c r="M16" s="13">
        <v>16</v>
      </c>
      <c r="N16" s="96">
        <v>838.4</v>
      </c>
      <c r="O16" s="164"/>
      <c r="P16" s="24">
        <f t="shared" si="11"/>
        <v>23974.399999999998</v>
      </c>
      <c r="Q16" s="5">
        <f t="shared" si="13"/>
        <v>21994.862385321096</v>
      </c>
      <c r="R16" s="5">
        <f t="shared" si="14"/>
        <v>1979.5376146789022</v>
      </c>
      <c r="S16" s="21">
        <f t="shared" si="15"/>
        <v>14983.999999999998</v>
      </c>
      <c r="T16" s="71"/>
      <c r="U16" s="61">
        <v>1.6</v>
      </c>
      <c r="V16" s="13">
        <f t="shared" ref="V16:V17" si="17">+S16*U16</f>
        <v>23974.399999999998</v>
      </c>
      <c r="W16" s="2"/>
      <c r="X16" s="138"/>
      <c r="Y16" s="2"/>
      <c r="Z16" s="2"/>
      <c r="AA16" s="2"/>
      <c r="AB16" s="2"/>
      <c r="AC16" s="2"/>
      <c r="AD16" s="2"/>
    </row>
    <row r="17" spans="1:30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0.64</v>
      </c>
      <c r="F17" s="13">
        <v>85.12</v>
      </c>
      <c r="G17" s="13">
        <v>19.84</v>
      </c>
      <c r="H17" s="14">
        <v>0</v>
      </c>
      <c r="I17" s="14"/>
      <c r="J17" s="76"/>
      <c r="K17" s="76">
        <v>329.6</v>
      </c>
      <c r="L17" s="307">
        <v>0.63999999999998636</v>
      </c>
      <c r="M17" s="14">
        <v>12.8</v>
      </c>
      <c r="N17" s="148">
        <v>12.16</v>
      </c>
      <c r="O17" s="164"/>
      <c r="P17" s="24">
        <f t="shared" si="11"/>
        <v>460.80000000000007</v>
      </c>
      <c r="Q17" s="5">
        <f t="shared" si="13"/>
        <v>422.75229357798167</v>
      </c>
      <c r="R17" s="5">
        <f t="shared" si="14"/>
        <v>38.047706422018393</v>
      </c>
      <c r="S17" s="22">
        <f t="shared" si="15"/>
        <v>720.00000000000011</v>
      </c>
      <c r="T17" s="71"/>
      <c r="U17" s="61">
        <v>2.56</v>
      </c>
      <c r="V17" s="13">
        <f t="shared" si="17"/>
        <v>1843.2000000000003</v>
      </c>
      <c r="W17" s="2"/>
      <c r="X17" s="138"/>
      <c r="Y17" s="2"/>
      <c r="Z17" s="2"/>
      <c r="AA17" s="2"/>
      <c r="AB17" s="2"/>
      <c r="AC17" s="2"/>
      <c r="AD17" s="2"/>
    </row>
    <row r="18" spans="1:30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123516</v>
      </c>
      <c r="F18" s="118">
        <f t="shared" ref="F18:S18" si="18">+SUM(F19:F43)</f>
        <v>4649349</v>
      </c>
      <c r="G18" s="231">
        <f t="shared" si="18"/>
        <v>687885</v>
      </c>
      <c r="H18" s="118">
        <f t="shared" si="18"/>
        <v>102130</v>
      </c>
      <c r="I18" s="231">
        <f t="shared" si="18"/>
        <v>0</v>
      </c>
      <c r="J18" s="118">
        <f t="shared" si="18"/>
        <v>0</v>
      </c>
      <c r="K18" s="118">
        <f t="shared" si="18"/>
        <v>0</v>
      </c>
      <c r="L18" s="118">
        <f t="shared" si="18"/>
        <v>0</v>
      </c>
      <c r="M18" s="118">
        <f t="shared" si="18"/>
        <v>39011</v>
      </c>
      <c r="N18" s="118">
        <f>+SUM(N19:N43)</f>
        <v>414320</v>
      </c>
      <c r="O18" s="118">
        <f t="shared" ref="O18" si="19">+SUM(O19:O43)</f>
        <v>674</v>
      </c>
      <c r="P18" s="42">
        <f>+SUM(P19:P43)</f>
        <v>6016885</v>
      </c>
      <c r="Q18" s="118">
        <f t="shared" si="18"/>
        <v>5520077.9816513769</v>
      </c>
      <c r="R18" s="118">
        <f t="shared" si="18"/>
        <v>496807.01834862411</v>
      </c>
      <c r="S18" s="253">
        <f t="shared" si="18"/>
        <v>113013</v>
      </c>
      <c r="T18" s="71"/>
      <c r="U18" s="61"/>
      <c r="V18" s="105">
        <f>+SUM(V19:V43)</f>
        <v>5205175</v>
      </c>
      <c r="W18" s="2"/>
      <c r="X18" s="138"/>
      <c r="Y18" s="2"/>
      <c r="Z18" s="2"/>
      <c r="AA18" s="2"/>
      <c r="AB18" s="2"/>
      <c r="AC18" s="2"/>
      <c r="AD18" s="2"/>
    </row>
    <row r="19" spans="1:30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78400</v>
      </c>
      <c r="F19" s="92">
        <v>2683500</v>
      </c>
      <c r="G19" s="92">
        <v>382200</v>
      </c>
      <c r="H19" s="92">
        <v>55700</v>
      </c>
      <c r="I19" s="23"/>
      <c r="J19" s="34"/>
      <c r="K19" s="34"/>
      <c r="L19" s="34"/>
      <c r="M19" s="34">
        <v>24900</v>
      </c>
      <c r="N19" s="362">
        <f>229000-100-100</f>
        <v>228800</v>
      </c>
      <c r="O19" s="356">
        <v>200</v>
      </c>
      <c r="P19" s="24">
        <f t="shared" si="11"/>
        <v>3453700</v>
      </c>
      <c r="Q19" s="99">
        <f t="shared" ref="Q19:Q43" si="20">+P19/1.09</f>
        <v>3168532.1100917431</v>
      </c>
      <c r="R19" s="24">
        <f>+P19-Q19</f>
        <v>285167.88990825694</v>
      </c>
      <c r="S19" s="94">
        <f t="shared" ref="S19:S43" si="21">P19/D19</f>
        <v>34537</v>
      </c>
      <c r="T19" s="41"/>
      <c r="U19" s="61"/>
      <c r="V19" s="106"/>
      <c r="W19" s="2"/>
      <c r="X19" s="138"/>
      <c r="Y19" s="2"/>
      <c r="Z19" s="2"/>
      <c r="AA19" s="2"/>
      <c r="AB19" s="2"/>
      <c r="AC19" s="2"/>
      <c r="AD19" s="2"/>
    </row>
    <row r="20" spans="1:30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11650</v>
      </c>
      <c r="F20" s="48">
        <v>754200</v>
      </c>
      <c r="G20" s="48">
        <v>106400</v>
      </c>
      <c r="H20" s="48">
        <v>19650</v>
      </c>
      <c r="I20" s="13"/>
      <c r="J20" s="33"/>
      <c r="K20" s="33"/>
      <c r="L20" s="33"/>
      <c r="M20" s="33">
        <v>8200</v>
      </c>
      <c r="N20" s="17">
        <v>13750</v>
      </c>
      <c r="O20" s="357"/>
      <c r="P20" s="24">
        <f t="shared" si="11"/>
        <v>913850</v>
      </c>
      <c r="Q20" s="5">
        <f t="shared" si="20"/>
        <v>838394.495412844</v>
      </c>
      <c r="R20" s="5">
        <f t="shared" ref="R20:R43" si="22">+P20-Q20</f>
        <v>75455.504587156</v>
      </c>
      <c r="S20" s="21">
        <f t="shared" si="21"/>
        <v>18277</v>
      </c>
      <c r="T20" s="41"/>
      <c r="U20" s="61">
        <v>50</v>
      </c>
      <c r="V20" s="13">
        <f t="shared" ref="V20:V21" si="23">+S20*U20</f>
        <v>913850</v>
      </c>
      <c r="W20" s="2"/>
      <c r="X20" s="138"/>
      <c r="Y20" s="2"/>
      <c r="Z20" s="2"/>
      <c r="AA20" s="2"/>
      <c r="AB20" s="2"/>
      <c r="AC20" s="2"/>
      <c r="AD20" s="2"/>
    </row>
    <row r="21" spans="1:30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f>1380+18960</f>
        <v>20340</v>
      </c>
      <c r="F21" s="95">
        <v>778700</v>
      </c>
      <c r="G21" s="95">
        <v>133560</v>
      </c>
      <c r="H21" s="95">
        <v>10860</v>
      </c>
      <c r="I21" s="13"/>
      <c r="J21" s="33"/>
      <c r="K21" s="33"/>
      <c r="L21" s="33"/>
      <c r="M21" s="33">
        <f>280+3520</f>
        <v>3800</v>
      </c>
      <c r="N21" s="17">
        <f>840+86400+100</f>
        <v>87340</v>
      </c>
      <c r="O21" s="357">
        <v>420</v>
      </c>
      <c r="P21" s="24">
        <f t="shared" si="11"/>
        <v>1035020</v>
      </c>
      <c r="Q21" s="5">
        <f t="shared" si="20"/>
        <v>949559.63302752282</v>
      </c>
      <c r="R21" s="5">
        <f t="shared" si="22"/>
        <v>85460.366972477175</v>
      </c>
      <c r="S21" s="309">
        <f t="shared" si="21"/>
        <v>51751</v>
      </c>
      <c r="T21" s="41"/>
      <c r="U21" s="61">
        <v>80</v>
      </c>
      <c r="V21" s="13">
        <f t="shared" si="23"/>
        <v>4140080</v>
      </c>
      <c r="W21" s="2"/>
      <c r="X21" s="138"/>
      <c r="Y21" s="2"/>
      <c r="Z21" s="2"/>
      <c r="AA21" s="2"/>
      <c r="AB21" s="2"/>
      <c r="AC21" s="2"/>
      <c r="AD21" s="2"/>
    </row>
    <row r="22" spans="1:30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11880</v>
      </c>
      <c r="F22" s="95">
        <v>383310</v>
      </c>
      <c r="G22" s="95">
        <v>59400</v>
      </c>
      <c r="H22" s="95">
        <v>11970</v>
      </c>
      <c r="I22" s="13"/>
      <c r="J22" s="33"/>
      <c r="K22" s="33"/>
      <c r="L22" s="33"/>
      <c r="M22" s="33">
        <v>1800</v>
      </c>
      <c r="N22" s="17">
        <f>65880-90</f>
        <v>65790</v>
      </c>
      <c r="O22" s="357"/>
      <c r="P22" s="24">
        <f t="shared" si="11"/>
        <v>534150</v>
      </c>
      <c r="Q22" s="5">
        <f t="shared" si="20"/>
        <v>490045.871559633</v>
      </c>
      <c r="R22" s="5">
        <f t="shared" si="22"/>
        <v>44104.128440367</v>
      </c>
      <c r="S22" s="21">
        <f t="shared" si="21"/>
        <v>5935</v>
      </c>
      <c r="T22" s="41"/>
      <c r="U22" s="61"/>
      <c r="V22" s="13"/>
      <c r="W22" s="2"/>
      <c r="X22" s="138"/>
      <c r="Y22" s="2"/>
      <c r="Z22" s="2"/>
      <c r="AA22" s="2"/>
      <c r="AB22" s="2"/>
      <c r="AC22" s="2"/>
      <c r="AD22" s="2"/>
    </row>
    <row r="23" spans="1:30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540</v>
      </c>
      <c r="F23" s="95">
        <v>21015</v>
      </c>
      <c r="G23" s="95">
        <v>3195</v>
      </c>
      <c r="H23" s="95">
        <v>1035</v>
      </c>
      <c r="I23" s="13"/>
      <c r="J23" s="33"/>
      <c r="K23" s="33"/>
      <c r="L23" s="33"/>
      <c r="M23" s="33">
        <v>135</v>
      </c>
      <c r="N23" s="17">
        <v>2970</v>
      </c>
      <c r="O23" s="357"/>
      <c r="P23" s="24">
        <f t="shared" si="11"/>
        <v>28890</v>
      </c>
      <c r="Q23" s="5">
        <f t="shared" si="20"/>
        <v>26504.587155963301</v>
      </c>
      <c r="R23" s="5">
        <f t="shared" si="22"/>
        <v>2385.4128440366985</v>
      </c>
      <c r="S23" s="21">
        <f t="shared" si="21"/>
        <v>642</v>
      </c>
      <c r="T23" s="35"/>
      <c r="U23" s="61">
        <v>45</v>
      </c>
      <c r="V23" s="13">
        <f t="shared" ref="V23:V24" si="24">+S23*U23</f>
        <v>28890</v>
      </c>
      <c r="W23" s="2"/>
      <c r="X23" s="138"/>
      <c r="Y23" s="2"/>
      <c r="Z23" s="2"/>
      <c r="AA23" s="2"/>
      <c r="AB23" s="2"/>
      <c r="AC23" s="2"/>
      <c r="AD23" s="2"/>
    </row>
    <row r="24" spans="1:30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f>54+522</f>
        <v>576</v>
      </c>
      <c r="F24" s="95">
        <v>10764</v>
      </c>
      <c r="G24" s="95">
        <v>1890</v>
      </c>
      <c r="H24" s="95">
        <v>180</v>
      </c>
      <c r="I24" s="13"/>
      <c r="J24" s="33"/>
      <c r="K24" s="33"/>
      <c r="L24" s="33"/>
      <c r="M24" s="33">
        <f>18+108</f>
        <v>126</v>
      </c>
      <c r="N24" s="17">
        <f>162+3402</f>
        <v>3564</v>
      </c>
      <c r="O24" s="357">
        <v>54</v>
      </c>
      <c r="P24" s="24">
        <f t="shared" si="11"/>
        <v>17154</v>
      </c>
      <c r="Q24" s="5">
        <f t="shared" si="20"/>
        <v>15737.614678899081</v>
      </c>
      <c r="R24" s="5">
        <f t="shared" si="22"/>
        <v>1416.3853211009191</v>
      </c>
      <c r="S24" s="21">
        <f t="shared" si="21"/>
        <v>953</v>
      </c>
      <c r="T24" s="35"/>
      <c r="U24" s="61">
        <v>72</v>
      </c>
      <c r="V24" s="13">
        <f t="shared" si="24"/>
        <v>68616</v>
      </c>
      <c r="W24" s="2"/>
      <c r="X24" s="138"/>
      <c r="Y24" s="2"/>
      <c r="Z24" s="2"/>
      <c r="AA24" s="2"/>
      <c r="AB24" s="2"/>
      <c r="AC24" s="2"/>
      <c r="AD24" s="2"/>
    </row>
    <row r="25" spans="1:30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3300</v>
      </c>
      <c r="G25" s="95"/>
      <c r="H25" s="95"/>
      <c r="I25" s="13"/>
      <c r="J25" s="33"/>
      <c r="K25" s="33"/>
      <c r="L25" s="33"/>
      <c r="M25" s="33"/>
      <c r="N25" s="17">
        <v>4200</v>
      </c>
      <c r="O25" s="357"/>
      <c r="P25" s="24">
        <f t="shared" si="11"/>
        <v>7500</v>
      </c>
      <c r="Q25" s="5">
        <f t="shared" si="20"/>
        <v>6880.7339449541278</v>
      </c>
      <c r="R25" s="5">
        <f t="shared" si="22"/>
        <v>619.26605504587224</v>
      </c>
      <c r="S25" s="21">
        <f t="shared" si="21"/>
        <v>25</v>
      </c>
      <c r="T25" s="35"/>
      <c r="U25" s="61"/>
      <c r="V25" s="13"/>
      <c r="W25" s="2"/>
      <c r="X25" s="138"/>
      <c r="Y25" s="2"/>
      <c r="Z25" s="2"/>
      <c r="AA25" s="2"/>
      <c r="AB25" s="2"/>
      <c r="AC25" s="2"/>
      <c r="AD25" s="2"/>
    </row>
    <row r="26" spans="1:30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3150</v>
      </c>
      <c r="G26" s="95">
        <v>300</v>
      </c>
      <c r="H26" s="95">
        <v>150</v>
      </c>
      <c r="I26" s="13"/>
      <c r="J26" s="33"/>
      <c r="K26" s="33"/>
      <c r="L26" s="33"/>
      <c r="M26" s="33"/>
      <c r="N26" s="13">
        <v>750</v>
      </c>
      <c r="O26" s="357"/>
      <c r="P26" s="24">
        <f t="shared" si="11"/>
        <v>4350</v>
      </c>
      <c r="Q26" s="5">
        <f t="shared" si="20"/>
        <v>3990.8256880733943</v>
      </c>
      <c r="R26" s="5">
        <f t="shared" si="22"/>
        <v>359.1743119266057</v>
      </c>
      <c r="S26" s="21">
        <f t="shared" si="21"/>
        <v>29</v>
      </c>
      <c r="T26" s="35"/>
      <c r="U26" s="61">
        <v>150</v>
      </c>
      <c r="V26" s="13">
        <f t="shared" ref="V26:V42" si="25">+S26*U26</f>
        <v>4350</v>
      </c>
      <c r="W26" s="2"/>
      <c r="X26" s="138"/>
      <c r="Y26" s="2"/>
      <c r="Z26" s="2"/>
      <c r="AA26" s="2"/>
      <c r="AB26" s="2"/>
      <c r="AC26" s="2"/>
      <c r="AD26" s="2"/>
    </row>
    <row r="27" spans="1:30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60</v>
      </c>
      <c r="F27" s="95">
        <v>5040</v>
      </c>
      <c r="G27" s="95">
        <v>300</v>
      </c>
      <c r="H27" s="95">
        <v>240</v>
      </c>
      <c r="I27" s="13"/>
      <c r="J27" s="33"/>
      <c r="K27" s="33"/>
      <c r="L27" s="33"/>
      <c r="M27" s="33"/>
      <c r="N27" s="13">
        <f>60+4740</f>
        <v>4800</v>
      </c>
      <c r="O27" s="357"/>
      <c r="P27" s="24">
        <f t="shared" si="11"/>
        <v>10440</v>
      </c>
      <c r="Q27" s="5">
        <f t="shared" si="20"/>
        <v>9577.9816513761452</v>
      </c>
      <c r="R27" s="5">
        <f t="shared" si="22"/>
        <v>862.01834862385476</v>
      </c>
      <c r="S27" s="21">
        <f t="shared" si="21"/>
        <v>174</v>
      </c>
      <c r="T27" s="35"/>
      <c r="U27" s="61">
        <v>240</v>
      </c>
      <c r="V27" s="13">
        <f t="shared" si="25"/>
        <v>41760</v>
      </c>
      <c r="W27" s="2"/>
      <c r="X27" s="138"/>
      <c r="Y27" s="2"/>
      <c r="Z27" s="2"/>
      <c r="AA27" s="2"/>
      <c r="AB27" s="2"/>
      <c r="AC27" s="2"/>
      <c r="AD27" s="2"/>
    </row>
    <row r="28" spans="1:30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540</v>
      </c>
      <c r="G28" s="95"/>
      <c r="H28" s="95">
        <v>270</v>
      </c>
      <c r="I28" s="13"/>
      <c r="J28" s="33"/>
      <c r="K28" s="33"/>
      <c r="L28" s="33"/>
      <c r="M28" s="33"/>
      <c r="N28" s="13">
        <v>270</v>
      </c>
      <c r="O28" s="357"/>
      <c r="P28" s="24">
        <f t="shared" si="11"/>
        <v>1080</v>
      </c>
      <c r="Q28" s="5">
        <f t="shared" si="20"/>
        <v>990.82568807339442</v>
      </c>
      <c r="R28" s="5">
        <f t="shared" si="22"/>
        <v>89.174311926605583</v>
      </c>
      <c r="S28" s="21">
        <f t="shared" si="21"/>
        <v>4</v>
      </c>
      <c r="T28" s="35"/>
      <c r="U28" s="61"/>
      <c r="V28" s="13"/>
      <c r="W28" s="2"/>
      <c r="X28" s="138"/>
      <c r="Y28" s="2"/>
      <c r="Z28" s="2"/>
      <c r="AA28" s="2"/>
      <c r="AB28" s="2"/>
      <c r="AC28" s="2"/>
      <c r="AD28" s="2"/>
    </row>
    <row r="29" spans="1:30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/>
      <c r="G29" s="95"/>
      <c r="H29" s="95">
        <v>135</v>
      </c>
      <c r="I29" s="13"/>
      <c r="J29" s="33"/>
      <c r="K29" s="33"/>
      <c r="L29" s="33"/>
      <c r="M29" s="33"/>
      <c r="N29" s="13"/>
      <c r="O29" s="357"/>
      <c r="P29" s="24">
        <f t="shared" si="11"/>
        <v>135</v>
      </c>
      <c r="Q29" s="5">
        <f t="shared" si="20"/>
        <v>123.8532110091743</v>
      </c>
      <c r="R29" s="5">
        <f t="shared" si="22"/>
        <v>11.146788990825698</v>
      </c>
      <c r="S29" s="21">
        <f t="shared" si="21"/>
        <v>1</v>
      </c>
      <c r="T29" s="35"/>
      <c r="U29" s="61">
        <v>135</v>
      </c>
      <c r="V29" s="13">
        <f t="shared" si="25"/>
        <v>135</v>
      </c>
      <c r="W29" s="2"/>
      <c r="X29" s="138"/>
      <c r="Y29" s="2"/>
      <c r="Z29" s="2"/>
      <c r="AA29" s="2"/>
      <c r="AB29" s="2"/>
      <c r="AC29" s="2"/>
      <c r="AD29" s="2"/>
    </row>
    <row r="30" spans="1:30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/>
      <c r="F30" s="95"/>
      <c r="G30" s="95"/>
      <c r="H30" s="95"/>
      <c r="I30" s="13"/>
      <c r="J30" s="33"/>
      <c r="K30" s="33"/>
      <c r="L30" s="33"/>
      <c r="M30" s="33"/>
      <c r="N30" s="13">
        <f>270-54</f>
        <v>216</v>
      </c>
      <c r="O30" s="357"/>
      <c r="P30" s="24">
        <f t="shared" si="11"/>
        <v>216</v>
      </c>
      <c r="Q30" s="5">
        <f t="shared" si="20"/>
        <v>198.16513761467888</v>
      </c>
      <c r="R30" s="5">
        <f t="shared" si="22"/>
        <v>17.834862385321117</v>
      </c>
      <c r="S30" s="21">
        <f t="shared" si="21"/>
        <v>4</v>
      </c>
      <c r="T30" s="35"/>
      <c r="U30" s="61">
        <v>216</v>
      </c>
      <c r="V30" s="13">
        <f t="shared" si="25"/>
        <v>864</v>
      </c>
      <c r="W30" s="2"/>
      <c r="X30" s="138"/>
      <c r="Y30" s="2"/>
      <c r="Z30" s="2"/>
      <c r="AA30" s="2"/>
      <c r="AB30" s="2"/>
      <c r="AC30" s="2"/>
      <c r="AD30" s="2"/>
    </row>
    <row r="31" spans="1:30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/>
      <c r="G31" s="95"/>
      <c r="H31" s="95"/>
      <c r="I31" s="13"/>
      <c r="J31" s="33"/>
      <c r="K31" s="33"/>
      <c r="L31" s="33"/>
      <c r="M31" s="33"/>
      <c r="N31" s="13"/>
      <c r="O31" s="357"/>
      <c r="P31" s="24">
        <f t="shared" si="11"/>
        <v>0</v>
      </c>
      <c r="Q31" s="5">
        <f t="shared" si="20"/>
        <v>0</v>
      </c>
      <c r="R31" s="5">
        <f t="shared" si="22"/>
        <v>0</v>
      </c>
      <c r="S31" s="21">
        <f t="shared" si="21"/>
        <v>0</v>
      </c>
      <c r="T31" s="35"/>
      <c r="U31" s="61"/>
      <c r="V31" s="13"/>
      <c r="W31" s="2"/>
      <c r="X31" s="138"/>
      <c r="Y31" s="2"/>
      <c r="Z31" s="2"/>
      <c r="AA31" s="2"/>
      <c r="AB31" s="2"/>
      <c r="AC31" s="2"/>
      <c r="AD31" s="2"/>
    </row>
    <row r="32" spans="1:30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/>
      <c r="G32" s="95"/>
      <c r="H32" s="95">
        <v>900</v>
      </c>
      <c r="I32" s="13"/>
      <c r="J32" s="33"/>
      <c r="K32" s="33"/>
      <c r="L32" s="33"/>
      <c r="M32" s="33"/>
      <c r="N32" s="13"/>
      <c r="O32" s="357"/>
      <c r="P32" s="24">
        <f t="shared" si="11"/>
        <v>900</v>
      </c>
      <c r="Q32" s="5">
        <f t="shared" si="20"/>
        <v>825.6880733944954</v>
      </c>
      <c r="R32" s="5">
        <f t="shared" si="22"/>
        <v>74.311926605504595</v>
      </c>
      <c r="S32" s="21">
        <f t="shared" si="21"/>
        <v>3</v>
      </c>
      <c r="T32" s="35"/>
      <c r="U32" s="61">
        <v>300</v>
      </c>
      <c r="V32" s="13">
        <f t="shared" si="25"/>
        <v>900</v>
      </c>
      <c r="W32" s="2"/>
      <c r="X32" s="138"/>
      <c r="Y32" s="2"/>
      <c r="Z32" s="2"/>
      <c r="AA32" s="2"/>
      <c r="AB32" s="2"/>
      <c r="AC32" s="2"/>
      <c r="AD32" s="2"/>
    </row>
    <row r="33" spans="1:30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360</v>
      </c>
      <c r="G33" s="95"/>
      <c r="H33" s="95"/>
      <c r="I33" s="13"/>
      <c r="J33" s="33"/>
      <c r="K33" s="33"/>
      <c r="L33" s="33"/>
      <c r="M33" s="33"/>
      <c r="N33" s="13">
        <v>600</v>
      </c>
      <c r="O33" s="357"/>
      <c r="P33" s="24">
        <f t="shared" si="11"/>
        <v>960</v>
      </c>
      <c r="Q33" s="5">
        <f t="shared" si="20"/>
        <v>880.73394495412833</v>
      </c>
      <c r="R33" s="5">
        <f t="shared" si="22"/>
        <v>79.266055045871667</v>
      </c>
      <c r="S33" s="21">
        <f t="shared" si="21"/>
        <v>8</v>
      </c>
      <c r="T33" s="35"/>
      <c r="U33" s="61">
        <v>480</v>
      </c>
      <c r="V33" s="13">
        <f t="shared" si="25"/>
        <v>3840</v>
      </c>
      <c r="W33" s="2"/>
      <c r="X33" s="138"/>
      <c r="Y33" s="2"/>
      <c r="Z33" s="2"/>
      <c r="AA33" s="2"/>
      <c r="AB33" s="2"/>
      <c r="AC33" s="2"/>
      <c r="AD33" s="2"/>
    </row>
    <row r="34" spans="1:30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13">
        <v>1080</v>
      </c>
      <c r="O34" s="357"/>
      <c r="P34" s="24">
        <f t="shared" si="11"/>
        <v>1080</v>
      </c>
      <c r="Q34" s="5">
        <f t="shared" si="20"/>
        <v>990.82568807339442</v>
      </c>
      <c r="R34" s="5">
        <f t="shared" si="22"/>
        <v>89.174311926605583</v>
      </c>
      <c r="S34" s="21">
        <f t="shared" si="21"/>
        <v>2</v>
      </c>
      <c r="T34" s="35"/>
      <c r="U34" s="61"/>
      <c r="V34" s="13"/>
      <c r="W34" s="2"/>
      <c r="X34" s="138"/>
      <c r="Y34" s="2"/>
      <c r="Z34" s="2"/>
      <c r="AA34" s="2"/>
      <c r="AB34" s="2"/>
      <c r="AC34" s="2"/>
      <c r="AD34" s="2"/>
    </row>
    <row r="35" spans="1:30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13"/>
      <c r="O35" s="357"/>
      <c r="P35" s="24">
        <f t="shared" si="11"/>
        <v>0</v>
      </c>
      <c r="Q35" s="5">
        <f t="shared" si="20"/>
        <v>0</v>
      </c>
      <c r="R35" s="5">
        <f t="shared" si="22"/>
        <v>0</v>
      </c>
      <c r="S35" s="21">
        <f t="shared" si="21"/>
        <v>0</v>
      </c>
      <c r="T35" s="35"/>
      <c r="U35" s="61">
        <v>270</v>
      </c>
      <c r="V35" s="13">
        <f t="shared" si="25"/>
        <v>0</v>
      </c>
      <c r="W35" s="2"/>
      <c r="X35" s="138"/>
      <c r="Y35" s="2"/>
      <c r="Z35" s="2"/>
      <c r="AA35" s="2"/>
      <c r="AB35" s="2"/>
      <c r="AC35" s="2"/>
      <c r="AD35" s="2"/>
    </row>
    <row r="36" spans="1:30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13"/>
      <c r="O36" s="357"/>
      <c r="P36" s="24">
        <f t="shared" si="11"/>
        <v>0</v>
      </c>
      <c r="Q36" s="5">
        <f t="shared" si="20"/>
        <v>0</v>
      </c>
      <c r="R36" s="5">
        <f t="shared" si="22"/>
        <v>0</v>
      </c>
      <c r="S36" s="21">
        <f t="shared" si="21"/>
        <v>0</v>
      </c>
      <c r="T36" s="35"/>
      <c r="U36" s="61">
        <v>432</v>
      </c>
      <c r="V36" s="13">
        <f t="shared" si="25"/>
        <v>0</v>
      </c>
      <c r="W36" s="2"/>
      <c r="X36" s="138"/>
      <c r="Y36" s="2"/>
      <c r="Z36" s="2"/>
      <c r="AA36" s="2"/>
      <c r="AB36" s="2"/>
      <c r="AC36" s="2"/>
      <c r="AD36" s="2"/>
    </row>
    <row r="37" spans="1:30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13"/>
      <c r="O37" s="357"/>
      <c r="P37" s="24">
        <f t="shared" si="11"/>
        <v>0</v>
      </c>
      <c r="Q37" s="5">
        <f t="shared" si="20"/>
        <v>0</v>
      </c>
      <c r="R37" s="5">
        <f t="shared" si="22"/>
        <v>0</v>
      </c>
      <c r="S37" s="21">
        <f t="shared" si="21"/>
        <v>0</v>
      </c>
      <c r="T37" s="35"/>
      <c r="U37" s="61"/>
      <c r="V37" s="13"/>
      <c r="W37" s="2"/>
      <c r="X37" s="138"/>
      <c r="Y37" s="2"/>
      <c r="Z37" s="2"/>
      <c r="AA37" s="2"/>
      <c r="AB37" s="2"/>
      <c r="AC37" s="2"/>
      <c r="AD37" s="2"/>
    </row>
    <row r="38" spans="1:30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>
        <v>450</v>
      </c>
      <c r="G38" s="95"/>
      <c r="H38" s="95"/>
      <c r="I38" s="13"/>
      <c r="J38" s="33"/>
      <c r="K38" s="33"/>
      <c r="L38" s="33"/>
      <c r="M38" s="33"/>
      <c r="N38" s="13"/>
      <c r="O38" s="357"/>
      <c r="P38" s="24">
        <f t="shared" si="11"/>
        <v>450</v>
      </c>
      <c r="Q38" s="5">
        <f t="shared" si="20"/>
        <v>412.8440366972477</v>
      </c>
      <c r="R38" s="5">
        <f t="shared" si="22"/>
        <v>37.155963302752298</v>
      </c>
      <c r="S38" s="21">
        <f t="shared" si="21"/>
        <v>1</v>
      </c>
      <c r="T38" s="35"/>
      <c r="U38" s="61">
        <v>450</v>
      </c>
      <c r="V38" s="13">
        <f t="shared" si="25"/>
        <v>450</v>
      </c>
      <c r="W38" s="2"/>
      <c r="X38" s="138"/>
      <c r="Y38" s="2"/>
      <c r="Z38" s="2"/>
      <c r="AA38" s="2"/>
      <c r="AB38" s="2"/>
      <c r="AC38" s="2"/>
      <c r="AD38" s="2"/>
    </row>
    <row r="39" spans="1:30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/>
      <c r="G39" s="95"/>
      <c r="H39" s="95">
        <v>180</v>
      </c>
      <c r="I39" s="13"/>
      <c r="J39" s="33"/>
      <c r="K39" s="33"/>
      <c r="L39" s="33"/>
      <c r="M39" s="33"/>
      <c r="N39" s="13">
        <v>180</v>
      </c>
      <c r="O39" s="357"/>
      <c r="P39" s="24">
        <f t="shared" si="11"/>
        <v>360</v>
      </c>
      <c r="Q39" s="5">
        <f t="shared" si="20"/>
        <v>330.27522935779814</v>
      </c>
      <c r="R39" s="5">
        <f t="shared" si="22"/>
        <v>29.724770642201861</v>
      </c>
      <c r="S39" s="21">
        <f t="shared" si="21"/>
        <v>2</v>
      </c>
      <c r="T39" s="35"/>
      <c r="U39" s="61">
        <v>720</v>
      </c>
      <c r="V39" s="13">
        <f t="shared" si="25"/>
        <v>1440</v>
      </c>
      <c r="W39" s="2"/>
      <c r="X39" s="138"/>
      <c r="Y39" s="2"/>
      <c r="Z39" s="2"/>
      <c r="AA39" s="2"/>
      <c r="AB39" s="2"/>
      <c r="AC39" s="2"/>
      <c r="AD39" s="2"/>
    </row>
    <row r="40" spans="1:30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13"/>
      <c r="O40" s="357"/>
      <c r="P40" s="24">
        <f t="shared" si="11"/>
        <v>0</v>
      </c>
      <c r="Q40" s="5">
        <f t="shared" si="20"/>
        <v>0</v>
      </c>
      <c r="R40" s="5">
        <f t="shared" si="22"/>
        <v>0</v>
      </c>
      <c r="S40" s="21">
        <f t="shared" si="21"/>
        <v>0</v>
      </c>
      <c r="T40" s="71"/>
      <c r="U40" s="61"/>
      <c r="V40" s="13"/>
      <c r="W40" s="2"/>
      <c r="X40" s="138"/>
      <c r="Y40" s="2"/>
      <c r="Z40" s="2"/>
      <c r="AA40" s="2"/>
      <c r="AB40" s="2"/>
      <c r="AC40" s="2"/>
      <c r="AD40" s="2"/>
    </row>
    <row r="41" spans="1:30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13"/>
      <c r="O41" s="357"/>
      <c r="P41" s="24">
        <f t="shared" si="11"/>
        <v>0</v>
      </c>
      <c r="Q41" s="5">
        <f t="shared" si="20"/>
        <v>0</v>
      </c>
      <c r="R41" s="5">
        <f t="shared" si="22"/>
        <v>0</v>
      </c>
      <c r="S41" s="21">
        <f t="shared" si="21"/>
        <v>0</v>
      </c>
      <c r="T41" s="71"/>
      <c r="U41" s="61">
        <v>405</v>
      </c>
      <c r="V41" s="13">
        <f t="shared" si="25"/>
        <v>0</v>
      </c>
      <c r="W41" s="2"/>
      <c r="X41" s="138"/>
      <c r="Y41" s="2"/>
      <c r="Z41" s="2"/>
      <c r="AA41" s="2"/>
      <c r="AB41" s="2"/>
      <c r="AC41" s="2"/>
      <c r="AD41" s="2"/>
    </row>
    <row r="42" spans="1:30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13"/>
      <c r="O42" s="358"/>
      <c r="P42" s="24">
        <f t="shared" si="11"/>
        <v>0</v>
      </c>
      <c r="Q42" s="26">
        <f t="shared" si="20"/>
        <v>0</v>
      </c>
      <c r="R42" s="26">
        <f t="shared" si="22"/>
        <v>0</v>
      </c>
      <c r="S42" s="39">
        <f t="shared" si="21"/>
        <v>0</v>
      </c>
      <c r="T42" s="71"/>
      <c r="U42" s="61">
        <v>648</v>
      </c>
      <c r="V42" s="13">
        <f t="shared" si="25"/>
        <v>0</v>
      </c>
      <c r="W42" s="2"/>
      <c r="X42" s="138"/>
      <c r="Y42" s="2"/>
      <c r="Z42" s="2"/>
      <c r="AA42" s="2"/>
      <c r="AB42" s="2"/>
      <c r="AC42" s="2"/>
      <c r="AD42" s="2"/>
    </row>
    <row r="43" spans="1:30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70</v>
      </c>
      <c r="F43" s="124">
        <v>5020</v>
      </c>
      <c r="G43" s="124">
        <v>640</v>
      </c>
      <c r="H43" s="124">
        <v>860</v>
      </c>
      <c r="I43" s="124"/>
      <c r="J43" s="124"/>
      <c r="K43" s="124"/>
      <c r="L43" s="124"/>
      <c r="M43" s="124">
        <v>50</v>
      </c>
      <c r="N43" s="148">
        <v>10</v>
      </c>
      <c r="O43" s="352"/>
      <c r="P43" s="24">
        <f t="shared" si="11"/>
        <v>6650</v>
      </c>
      <c r="Q43" s="26">
        <f t="shared" si="20"/>
        <v>6100.9174311926599</v>
      </c>
      <c r="R43" s="26">
        <f t="shared" si="22"/>
        <v>549.08256880734007</v>
      </c>
      <c r="S43" s="39">
        <f t="shared" si="21"/>
        <v>665</v>
      </c>
      <c r="T43" s="71"/>
      <c r="U43" s="61"/>
      <c r="V43" s="13"/>
      <c r="W43" s="2"/>
      <c r="X43" s="138"/>
      <c r="Y43" s="2"/>
      <c r="Z43" s="2"/>
      <c r="AA43" s="2"/>
      <c r="AB43" s="2"/>
      <c r="AC43" s="2"/>
      <c r="AD43" s="2"/>
    </row>
    <row r="44" spans="1:30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3815.2</v>
      </c>
      <c r="F44" s="82">
        <f>+SUM(F45:F53)</f>
        <v>159044.9</v>
      </c>
      <c r="G44" s="82">
        <f t="shared" ref="G44:S44" si="26">+SUM(G45:G53)</f>
        <v>24832.2</v>
      </c>
      <c r="H44" s="82">
        <f>+SUM(H45:H53)</f>
        <v>3805.1</v>
      </c>
      <c r="I44" s="82">
        <f t="shared" si="26"/>
        <v>0</v>
      </c>
      <c r="J44" s="82">
        <f t="shared" si="26"/>
        <v>0</v>
      </c>
      <c r="K44" s="100">
        <f t="shared" si="26"/>
        <v>0</v>
      </c>
      <c r="L44" s="100">
        <f t="shared" si="26"/>
        <v>0</v>
      </c>
      <c r="M44" s="100">
        <f t="shared" si="26"/>
        <v>1052.2</v>
      </c>
      <c r="N44" s="100">
        <f t="shared" si="26"/>
        <v>17196.400000000001</v>
      </c>
      <c r="O44" s="100">
        <f t="shared" si="26"/>
        <v>4.8</v>
      </c>
      <c r="P44" s="42">
        <f>+SUM(P45:P53)</f>
        <v>209750.80000000002</v>
      </c>
      <c r="Q44" s="82">
        <f t="shared" si="26"/>
        <v>192431.92660550459</v>
      </c>
      <c r="R44" s="82">
        <f t="shared" si="26"/>
        <v>17318.873394495429</v>
      </c>
      <c r="S44" s="19">
        <f t="shared" si="26"/>
        <v>30842.000000000004</v>
      </c>
      <c r="T44" s="71"/>
      <c r="U44" s="61"/>
      <c r="V44" s="105">
        <f>+SUM(V45:V68)</f>
        <v>310081.2</v>
      </c>
      <c r="W44" s="2"/>
      <c r="X44" s="138"/>
      <c r="Y44" s="2"/>
      <c r="Z44" s="2"/>
      <c r="AA44" s="2"/>
      <c r="AB44" s="2"/>
      <c r="AC44" s="2"/>
      <c r="AD44" s="2"/>
    </row>
    <row r="45" spans="1:30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420</v>
      </c>
      <c r="F45" s="23">
        <v>15936</v>
      </c>
      <c r="G45" s="28">
        <v>2340</v>
      </c>
      <c r="H45" s="23">
        <v>240</v>
      </c>
      <c r="I45" s="83"/>
      <c r="J45" s="75"/>
      <c r="K45" s="75"/>
      <c r="L45" s="75"/>
      <c r="M45" s="75">
        <v>72</v>
      </c>
      <c r="N45" s="308">
        <v>1776</v>
      </c>
      <c r="O45" s="356"/>
      <c r="P45" s="24">
        <f t="shared" si="11"/>
        <v>20784</v>
      </c>
      <c r="Q45" s="99">
        <f t="shared" ref="Q45:Q53" si="27">+P45/1.09</f>
        <v>19067.889908256879</v>
      </c>
      <c r="R45" s="64">
        <f t="shared" ref="R45:S55" si="28">+P45-Q45</f>
        <v>1716.1100917431213</v>
      </c>
      <c r="S45" s="116">
        <f t="shared" ref="S45:S54" si="29">P45/D45</f>
        <v>1732</v>
      </c>
      <c r="T45" s="71"/>
      <c r="U45" s="61"/>
      <c r="V45" s="13"/>
      <c r="W45" s="2"/>
      <c r="X45" s="138"/>
      <c r="Y45" s="2"/>
      <c r="Z45" s="2"/>
      <c r="AA45" s="2"/>
      <c r="AB45" s="2"/>
      <c r="AC45" s="2"/>
      <c r="AD45" s="2"/>
    </row>
    <row r="46" spans="1:30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246</v>
      </c>
      <c r="F46" s="13">
        <v>1932</v>
      </c>
      <c r="G46" s="17">
        <v>276</v>
      </c>
      <c r="H46" s="23">
        <v>12</v>
      </c>
      <c r="I46" s="13"/>
      <c r="J46" s="33"/>
      <c r="K46" s="33"/>
      <c r="L46" s="33"/>
      <c r="M46" s="33"/>
      <c r="N46" s="13">
        <v>168</v>
      </c>
      <c r="O46" s="357"/>
      <c r="P46" s="24">
        <f t="shared" si="11"/>
        <v>2634</v>
      </c>
      <c r="Q46" s="5">
        <f t="shared" si="27"/>
        <v>2416.5137614678897</v>
      </c>
      <c r="R46" s="5">
        <f t="shared" si="28"/>
        <v>217.48623853211029</v>
      </c>
      <c r="S46" s="31">
        <f t="shared" si="29"/>
        <v>439</v>
      </c>
      <c r="T46" s="71"/>
      <c r="U46" s="61">
        <v>6</v>
      </c>
      <c r="V46" s="13">
        <f t="shared" ref="V46:V47" si="30">+S46*U46</f>
        <v>2634</v>
      </c>
      <c r="W46" s="2"/>
      <c r="X46" s="138"/>
      <c r="Y46" s="2"/>
      <c r="Z46" s="2"/>
      <c r="AA46" s="2"/>
      <c r="AB46" s="2"/>
      <c r="AC46" s="2"/>
      <c r="AD46" s="2"/>
    </row>
    <row r="47" spans="1:30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f>26.4+794.4</f>
        <v>820.8</v>
      </c>
      <c r="F47" s="13">
        <v>38793.599999999999</v>
      </c>
      <c r="G47" s="17">
        <v>6928.8</v>
      </c>
      <c r="H47" s="23">
        <v>297.60000000000002</v>
      </c>
      <c r="I47" s="13"/>
      <c r="J47" s="33"/>
      <c r="K47" s="33"/>
      <c r="L47" s="33"/>
      <c r="M47" s="33">
        <f>2.4+194.4</f>
        <v>196.8</v>
      </c>
      <c r="N47" s="13">
        <f>24+2755.2</f>
        <v>2779.2</v>
      </c>
      <c r="O47" s="357">
        <v>4.8</v>
      </c>
      <c r="P47" s="24">
        <f t="shared" si="11"/>
        <v>49821.600000000006</v>
      </c>
      <c r="Q47" s="5">
        <f t="shared" si="27"/>
        <v>45707.889908256882</v>
      </c>
      <c r="R47" s="5">
        <f t="shared" si="28"/>
        <v>4113.7100917431235</v>
      </c>
      <c r="S47" s="31">
        <f t="shared" si="29"/>
        <v>20759.000000000004</v>
      </c>
      <c r="T47" s="71"/>
      <c r="U47" s="61">
        <v>9.6</v>
      </c>
      <c r="V47" s="13">
        <f t="shared" si="30"/>
        <v>199286.40000000002</v>
      </c>
      <c r="W47" s="2"/>
      <c r="X47" s="138"/>
      <c r="Y47" s="2"/>
      <c r="Z47" s="2"/>
      <c r="AA47" s="2"/>
      <c r="AB47" s="2"/>
      <c r="AC47" s="2"/>
      <c r="AD47" s="2"/>
    </row>
    <row r="48" spans="1:30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399</v>
      </c>
      <c r="F48" s="13">
        <v>18333</v>
      </c>
      <c r="G48" s="17">
        <v>1722</v>
      </c>
      <c r="H48" s="13">
        <v>546</v>
      </c>
      <c r="I48" s="13"/>
      <c r="J48" s="33"/>
      <c r="K48" s="33"/>
      <c r="L48" s="33"/>
      <c r="M48" s="33">
        <v>105</v>
      </c>
      <c r="N48" s="13">
        <v>3129</v>
      </c>
      <c r="O48" s="357"/>
      <c r="P48" s="24">
        <f t="shared" si="11"/>
        <v>24234</v>
      </c>
      <c r="Q48" s="5">
        <f t="shared" si="27"/>
        <v>22233.027522935779</v>
      </c>
      <c r="R48" s="5">
        <f t="shared" si="28"/>
        <v>2000.9724770642206</v>
      </c>
      <c r="S48" s="31">
        <f t="shared" si="29"/>
        <v>1154</v>
      </c>
      <c r="T48" s="71"/>
      <c r="U48" s="61"/>
      <c r="V48" s="13"/>
      <c r="W48" s="2"/>
      <c r="X48" s="138"/>
      <c r="Y48" s="2"/>
      <c r="Z48" s="2"/>
      <c r="AA48" s="2"/>
      <c r="AB48" s="2"/>
      <c r="AC48" s="2"/>
      <c r="AD48" s="2"/>
    </row>
    <row r="49" spans="1:30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73.5</v>
      </c>
      <c r="F49" s="13">
        <v>1533</v>
      </c>
      <c r="G49" s="17">
        <v>346.5</v>
      </c>
      <c r="H49" s="13">
        <v>115.5</v>
      </c>
      <c r="I49" s="13"/>
      <c r="J49" s="33"/>
      <c r="K49" s="33"/>
      <c r="L49" s="33"/>
      <c r="M49" s="33">
        <v>21</v>
      </c>
      <c r="N49" s="13">
        <v>94.5</v>
      </c>
      <c r="O49" s="357"/>
      <c r="P49" s="24">
        <f t="shared" si="11"/>
        <v>2184</v>
      </c>
      <c r="Q49" s="5">
        <f t="shared" si="27"/>
        <v>2003.669724770642</v>
      </c>
      <c r="R49" s="5">
        <f t="shared" si="28"/>
        <v>180.33027522935799</v>
      </c>
      <c r="S49" s="21">
        <f t="shared" si="29"/>
        <v>208</v>
      </c>
      <c r="T49" s="71"/>
      <c r="U49" s="61">
        <v>10.5</v>
      </c>
      <c r="V49" s="13">
        <f t="shared" ref="V49:V50" si="31">+S49*U49</f>
        <v>2184</v>
      </c>
      <c r="W49" s="2"/>
      <c r="X49" s="138"/>
      <c r="Y49" s="2"/>
      <c r="Z49" s="2"/>
      <c r="AA49" s="2"/>
      <c r="AB49" s="2"/>
      <c r="AC49" s="2"/>
      <c r="AD49" s="2"/>
    </row>
    <row r="50" spans="1:30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113.4</v>
      </c>
      <c r="F50" s="13">
        <v>8295</v>
      </c>
      <c r="G50" s="17">
        <v>1054.2</v>
      </c>
      <c r="H50" s="13">
        <v>117.6</v>
      </c>
      <c r="I50" s="13"/>
      <c r="J50" s="33"/>
      <c r="K50" s="33"/>
      <c r="L50" s="33"/>
      <c r="M50" s="33">
        <v>58.8</v>
      </c>
      <c r="N50" s="13">
        <f>12.6+1369.2</f>
        <v>1381.8</v>
      </c>
      <c r="O50" s="357"/>
      <c r="P50" s="24">
        <f t="shared" si="11"/>
        <v>11020.8</v>
      </c>
      <c r="Q50" s="5">
        <f t="shared" si="27"/>
        <v>10110.825688073393</v>
      </c>
      <c r="R50" s="5">
        <f t="shared" si="28"/>
        <v>909.97431192660588</v>
      </c>
      <c r="S50" s="21">
        <f t="shared" si="29"/>
        <v>2623.9999999999995</v>
      </c>
      <c r="T50" s="71"/>
      <c r="U50" s="61">
        <v>16.8</v>
      </c>
      <c r="V50" s="13">
        <f t="shared" si="31"/>
        <v>44083.199999999997</v>
      </c>
      <c r="W50" s="2"/>
      <c r="X50" s="138"/>
      <c r="Y50" s="2"/>
      <c r="Z50" s="2"/>
      <c r="AA50" s="2"/>
      <c r="AB50" s="2"/>
      <c r="AC50" s="2"/>
      <c r="AD50" s="2"/>
    </row>
    <row r="51" spans="1:30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1476</v>
      </c>
      <c r="F51" s="13">
        <v>59081</v>
      </c>
      <c r="G51" s="17">
        <v>9799</v>
      </c>
      <c r="H51" s="13">
        <v>2091</v>
      </c>
      <c r="I51" s="13"/>
      <c r="J51" s="33"/>
      <c r="K51" s="33"/>
      <c r="L51" s="33"/>
      <c r="M51" s="33">
        <v>533</v>
      </c>
      <c r="N51" s="13">
        <v>5084</v>
      </c>
      <c r="O51" s="357"/>
      <c r="P51" s="24">
        <f t="shared" si="11"/>
        <v>78064</v>
      </c>
      <c r="Q51" s="5">
        <f t="shared" si="27"/>
        <v>71618.348623853206</v>
      </c>
      <c r="R51" s="5">
        <f t="shared" si="28"/>
        <v>6445.6513761467941</v>
      </c>
      <c r="S51" s="21">
        <f t="shared" si="29"/>
        <v>1904</v>
      </c>
      <c r="T51" s="71"/>
      <c r="U51" s="61"/>
      <c r="V51" s="13"/>
      <c r="W51" s="2"/>
      <c r="X51" s="138"/>
      <c r="Y51" s="2"/>
      <c r="Z51" s="2"/>
      <c r="AA51" s="2"/>
      <c r="AB51" s="2"/>
      <c r="AC51" s="2"/>
      <c r="AD51" s="2"/>
    </row>
    <row r="52" spans="1:30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61.5</v>
      </c>
      <c r="F52" s="13">
        <v>5965.5</v>
      </c>
      <c r="G52" s="17">
        <v>881.5</v>
      </c>
      <c r="H52" s="13">
        <v>205</v>
      </c>
      <c r="I52" s="13"/>
      <c r="J52" s="33"/>
      <c r="K52" s="33"/>
      <c r="L52" s="33"/>
      <c r="M52" s="33"/>
      <c r="N52" s="13">
        <v>266.5</v>
      </c>
      <c r="O52" s="357"/>
      <c r="P52" s="24">
        <f t="shared" si="11"/>
        <v>7380</v>
      </c>
      <c r="Q52" s="5">
        <f t="shared" si="27"/>
        <v>6770.6422018348621</v>
      </c>
      <c r="R52" s="5">
        <f t="shared" si="28"/>
        <v>609.35779816513786</v>
      </c>
      <c r="S52" s="21">
        <f t="shared" si="29"/>
        <v>360</v>
      </c>
      <c r="T52" s="71"/>
      <c r="U52" s="61">
        <v>20.5</v>
      </c>
      <c r="V52" s="13">
        <f t="shared" ref="V52:V53" si="32">+S52*U52</f>
        <v>7380</v>
      </c>
      <c r="W52" s="2"/>
      <c r="X52" s="138"/>
      <c r="Y52" s="2"/>
      <c r="Z52" s="2"/>
      <c r="AA52" s="2"/>
      <c r="AB52" s="2"/>
      <c r="AC52" s="2"/>
      <c r="AD52" s="2"/>
    </row>
    <row r="53" spans="1:30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f>8.2+196.8</f>
        <v>205</v>
      </c>
      <c r="F53" s="14">
        <v>9175.7999999999993</v>
      </c>
      <c r="G53" s="51">
        <v>1484.2</v>
      </c>
      <c r="H53" s="14">
        <v>180.4</v>
      </c>
      <c r="I53" s="14"/>
      <c r="J53" s="76"/>
      <c r="K53" s="76"/>
      <c r="L53" s="76"/>
      <c r="M53" s="76">
        <v>65.599999999999994</v>
      </c>
      <c r="N53" s="14">
        <f>16.4+2501</f>
        <v>2517.4</v>
      </c>
      <c r="O53" s="224"/>
      <c r="P53" s="359">
        <f t="shared" si="11"/>
        <v>13628.4</v>
      </c>
      <c r="Q53" s="6">
        <f t="shared" si="27"/>
        <v>12503.119266055044</v>
      </c>
      <c r="R53" s="6">
        <f t="shared" si="28"/>
        <v>1125.2807339449555</v>
      </c>
      <c r="S53" s="22">
        <f t="shared" si="29"/>
        <v>1662</v>
      </c>
      <c r="T53" s="35"/>
      <c r="U53" s="61">
        <v>32.799999999999997</v>
      </c>
      <c r="V53" s="13">
        <f t="shared" si="32"/>
        <v>54513.599999999999</v>
      </c>
      <c r="W53" s="2"/>
      <c r="X53" s="138"/>
      <c r="Y53" s="2"/>
      <c r="Z53" s="2"/>
      <c r="AA53" s="2"/>
      <c r="AB53" s="2"/>
      <c r="AC53" s="2"/>
      <c r="AD53" s="2"/>
    </row>
    <row r="54" spans="1:30" x14ac:dyDescent="0.25">
      <c r="C54" s="1" t="s">
        <v>150</v>
      </c>
      <c r="D54" s="4">
        <v>4</v>
      </c>
      <c r="F54" s="112">
        <v>38056</v>
      </c>
      <c r="G54" s="112">
        <v>5092</v>
      </c>
      <c r="H54" s="112">
        <v>2116</v>
      </c>
      <c r="I54" s="112"/>
      <c r="J54" s="112"/>
      <c r="K54" s="112"/>
      <c r="L54" s="112"/>
      <c r="P54" s="230">
        <f>+SUM(E54:O54)</f>
        <v>45264</v>
      </c>
      <c r="Q54" s="6">
        <f>+P54/1.21</f>
        <v>37408.264462809915</v>
      </c>
      <c r="R54" s="6">
        <f t="shared" si="28"/>
        <v>7855.7355371900849</v>
      </c>
      <c r="S54" s="22">
        <f t="shared" si="29"/>
        <v>11316</v>
      </c>
      <c r="W54" s="2"/>
      <c r="X54" s="138"/>
    </row>
    <row r="55" spans="1:30" x14ac:dyDescent="0.25">
      <c r="C55" s="1" t="s">
        <v>143</v>
      </c>
      <c r="E55" s="2">
        <v>26245.31</v>
      </c>
      <c r="F55" s="2">
        <v>853197.35</v>
      </c>
      <c r="G55" s="2">
        <v>129703.7</v>
      </c>
      <c r="H55" s="2">
        <v>15894.1</v>
      </c>
      <c r="I55" s="2"/>
      <c r="J55" s="2"/>
      <c r="K55" s="2"/>
      <c r="L55" s="2"/>
      <c r="M55" s="2">
        <v>7917.05</v>
      </c>
      <c r="P55" s="6">
        <f>+SUM(E55:O55)</f>
        <v>1032957.51</v>
      </c>
      <c r="Q55" s="6">
        <f>+P55</f>
        <v>1032957.51</v>
      </c>
      <c r="R55" s="6">
        <f t="shared" si="28"/>
        <v>0</v>
      </c>
      <c r="S55" s="6">
        <f t="shared" si="28"/>
        <v>1032957.51</v>
      </c>
      <c r="W55" s="2"/>
      <c r="X55" s="138"/>
    </row>
    <row r="57" spans="1:30" x14ac:dyDescent="0.25">
      <c r="D57" s="4" t="s">
        <v>151</v>
      </c>
      <c r="E57" s="136">
        <f>+E5+E54+E55</f>
        <v>191556.85</v>
      </c>
      <c r="F57" s="136">
        <f t="shared" ref="F57:O57" si="33">+F5+F54+F55</f>
        <v>7375217.3300000001</v>
      </c>
      <c r="G57" s="136">
        <f t="shared" si="33"/>
        <v>1092719</v>
      </c>
      <c r="H57" s="136">
        <f t="shared" si="33"/>
        <v>157034.88</v>
      </c>
      <c r="I57" s="136">
        <f t="shared" si="33"/>
        <v>719225.85</v>
      </c>
      <c r="J57" s="136">
        <f t="shared" si="33"/>
        <v>1120810.95</v>
      </c>
      <c r="K57" s="136">
        <f t="shared" si="33"/>
        <v>997961.84</v>
      </c>
      <c r="L57" s="136">
        <f t="shared" si="33"/>
        <v>2141.3399999997841</v>
      </c>
      <c r="M57" s="136">
        <f t="shared" si="33"/>
        <v>64253.79</v>
      </c>
      <c r="N57" s="136">
        <f t="shared" si="33"/>
        <v>589620.68000000005</v>
      </c>
      <c r="O57" s="136">
        <f t="shared" si="33"/>
        <v>834.8</v>
      </c>
      <c r="P57" s="103">
        <f>+SUM(E57:O57)</f>
        <v>12311377.309999999</v>
      </c>
      <c r="Q57" s="150"/>
      <c r="R57" s="150"/>
    </row>
    <row r="59" spans="1:30" x14ac:dyDescent="0.25">
      <c r="E59" s="125"/>
      <c r="F59" s="112"/>
      <c r="G59" s="112"/>
      <c r="H59" s="112"/>
      <c r="N59" s="561" t="s">
        <v>609</v>
      </c>
      <c r="O59" s="560">
        <f>80*4</f>
        <v>320</v>
      </c>
      <c r="P59" s="112"/>
    </row>
    <row r="60" spans="1:30" x14ac:dyDescent="0.25">
      <c r="E60" s="125"/>
    </row>
    <row r="61" spans="1:30" x14ac:dyDescent="0.25">
      <c r="G61" s="2"/>
      <c r="M61" s="2"/>
    </row>
    <row r="73" spans="2:2" x14ac:dyDescent="0.25">
      <c r="B73" s="1"/>
    </row>
  </sheetData>
  <mergeCells count="18">
    <mergeCell ref="V3:V4"/>
    <mergeCell ref="G3:G4"/>
    <mergeCell ref="H3:H4"/>
    <mergeCell ref="I3:I4"/>
    <mergeCell ref="J3:J4"/>
    <mergeCell ref="K3:L3"/>
    <mergeCell ref="M3:M4"/>
    <mergeCell ref="P3:P4"/>
    <mergeCell ref="Q3:Q4"/>
    <mergeCell ref="R3:R4"/>
    <mergeCell ref="S3:S4"/>
    <mergeCell ref="N3:O3"/>
    <mergeCell ref="F3:F4"/>
    <mergeCell ref="A3:A4"/>
    <mergeCell ref="B3:B4"/>
    <mergeCell ref="C3:C4"/>
    <mergeCell ref="D3:D4"/>
    <mergeCell ref="E3:E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1"/>
  <sheetViews>
    <sheetView topLeftCell="G1" workbookViewId="0">
      <selection activeCell="G18" sqref="G18:O18"/>
    </sheetView>
  </sheetViews>
  <sheetFormatPr defaultRowHeight="14.4" x14ac:dyDescent="0.3"/>
  <cols>
    <col min="1" max="1" width="4.33203125" customWidth="1"/>
    <col min="3" max="3" width="10.109375" bestFit="1" customWidth="1"/>
    <col min="5" max="5" width="11.33203125" bestFit="1" customWidth="1"/>
    <col min="6" max="6" width="16.33203125" bestFit="1" customWidth="1"/>
    <col min="7" max="7" width="8.33203125" customWidth="1"/>
    <col min="8" max="8" width="11" bestFit="1" customWidth="1"/>
    <col min="10" max="11" width="10.109375" bestFit="1" customWidth="1"/>
    <col min="13" max="13" width="13.44140625" customWidth="1"/>
    <col min="14" max="14" width="11.33203125" customWidth="1"/>
    <col min="15" max="15" width="28.33203125" customWidth="1"/>
  </cols>
  <sheetData>
    <row r="1" spans="1:15" x14ac:dyDescent="0.3">
      <c r="A1" s="142" t="s">
        <v>308</v>
      </c>
      <c r="B1" s="142"/>
    </row>
    <row r="3" spans="1:15" ht="43.2" x14ac:dyDescent="0.3">
      <c r="A3" s="310" t="s">
        <v>270</v>
      </c>
      <c r="B3" s="311" t="s">
        <v>271</v>
      </c>
      <c r="C3" s="311" t="s">
        <v>272</v>
      </c>
      <c r="D3" s="311" t="s">
        <v>273</v>
      </c>
      <c r="E3" s="311" t="s">
        <v>274</v>
      </c>
      <c r="F3" s="311" t="s">
        <v>275</v>
      </c>
      <c r="G3" s="311" t="s">
        <v>304</v>
      </c>
      <c r="H3" s="311" t="s">
        <v>307</v>
      </c>
      <c r="I3" s="311" t="s">
        <v>339</v>
      </c>
      <c r="J3" s="311" t="s">
        <v>276</v>
      </c>
      <c r="K3" s="310" t="s">
        <v>277</v>
      </c>
      <c r="L3" s="310" t="s">
        <v>306</v>
      </c>
      <c r="M3" s="310" t="s">
        <v>332</v>
      </c>
      <c r="N3" s="310" t="s">
        <v>384</v>
      </c>
      <c r="O3" s="310" t="s">
        <v>414</v>
      </c>
    </row>
    <row r="4" spans="1:15" x14ac:dyDescent="0.3">
      <c r="A4" s="320">
        <v>1</v>
      </c>
      <c r="B4" s="321" t="s">
        <v>278</v>
      </c>
      <c r="C4" s="322">
        <v>41659</v>
      </c>
      <c r="D4" s="323" t="s">
        <v>279</v>
      </c>
      <c r="E4" s="323" t="s">
        <v>280</v>
      </c>
      <c r="F4" s="322" t="s">
        <v>281</v>
      </c>
      <c r="G4" s="324">
        <v>8.8000000000000007</v>
      </c>
      <c r="H4" s="325">
        <v>3118108374</v>
      </c>
      <c r="I4" s="325" t="s">
        <v>342</v>
      </c>
      <c r="J4" s="322">
        <v>41661</v>
      </c>
      <c r="K4" s="322">
        <v>41666</v>
      </c>
      <c r="L4" s="345" t="s">
        <v>329</v>
      </c>
      <c r="M4" s="345" t="s">
        <v>333</v>
      </c>
      <c r="N4" s="345" t="s">
        <v>333</v>
      </c>
      <c r="O4" s="345" t="s">
        <v>415</v>
      </c>
    </row>
    <row r="5" spans="1:15" x14ac:dyDescent="0.3">
      <c r="A5" s="320">
        <v>2</v>
      </c>
      <c r="B5" s="321" t="s">
        <v>282</v>
      </c>
      <c r="C5" s="322">
        <v>41666</v>
      </c>
      <c r="D5" s="323" t="s">
        <v>283</v>
      </c>
      <c r="E5" s="323" t="s">
        <v>284</v>
      </c>
      <c r="F5" s="322" t="s">
        <v>281</v>
      </c>
      <c r="G5" s="326">
        <v>4.4000000000000004</v>
      </c>
      <c r="H5" s="327">
        <v>3630614994</v>
      </c>
      <c r="I5" s="327" t="s">
        <v>341</v>
      </c>
      <c r="J5" s="322">
        <v>41666</v>
      </c>
      <c r="K5" s="322">
        <v>41674</v>
      </c>
      <c r="L5" s="345" t="s">
        <v>329</v>
      </c>
      <c r="M5" s="345" t="s">
        <v>334</v>
      </c>
      <c r="N5" s="345" t="s">
        <v>334</v>
      </c>
      <c r="O5" s="345" t="s">
        <v>334</v>
      </c>
    </row>
    <row r="6" spans="1:15" x14ac:dyDescent="0.3">
      <c r="A6" s="320">
        <v>3</v>
      </c>
      <c r="B6" s="328" t="s">
        <v>285</v>
      </c>
      <c r="C6" s="322">
        <v>41680</v>
      </c>
      <c r="D6" s="323" t="s">
        <v>286</v>
      </c>
      <c r="E6" s="323" t="s">
        <v>287</v>
      </c>
      <c r="F6" s="322" t="s">
        <v>281</v>
      </c>
      <c r="G6" s="324">
        <v>3.2</v>
      </c>
      <c r="H6" s="325">
        <v>3404425254</v>
      </c>
      <c r="I6" s="325" t="s">
        <v>343</v>
      </c>
      <c r="J6" s="322">
        <v>41680</v>
      </c>
      <c r="K6" s="322">
        <v>41688</v>
      </c>
      <c r="L6" s="345" t="s">
        <v>329</v>
      </c>
      <c r="M6" s="345" t="s">
        <v>335</v>
      </c>
      <c r="N6" s="345" t="s">
        <v>335</v>
      </c>
      <c r="O6" s="345" t="s">
        <v>416</v>
      </c>
    </row>
    <row r="7" spans="1:15" x14ac:dyDescent="0.3">
      <c r="A7" s="320">
        <v>4</v>
      </c>
      <c r="B7" s="329" t="s">
        <v>288</v>
      </c>
      <c r="C7" s="329">
        <v>41691</v>
      </c>
      <c r="D7" s="330" t="s">
        <v>289</v>
      </c>
      <c r="E7" s="330" t="s">
        <v>290</v>
      </c>
      <c r="F7" s="329" t="s">
        <v>281</v>
      </c>
      <c r="G7" s="324">
        <v>4.4000000000000004</v>
      </c>
      <c r="H7" s="325">
        <v>3623796770</v>
      </c>
      <c r="I7" s="325" t="s">
        <v>342</v>
      </c>
      <c r="J7" s="329">
        <v>41694</v>
      </c>
      <c r="K7" s="322">
        <v>41696</v>
      </c>
      <c r="L7" s="345" t="s">
        <v>329</v>
      </c>
      <c r="M7" s="345" t="s">
        <v>336</v>
      </c>
      <c r="N7" s="345" t="s">
        <v>336</v>
      </c>
      <c r="O7" s="345" t="s">
        <v>417</v>
      </c>
    </row>
    <row r="8" spans="1:15" x14ac:dyDescent="0.3">
      <c r="A8" s="320">
        <v>6</v>
      </c>
      <c r="B8" s="331" t="s">
        <v>291</v>
      </c>
      <c r="C8" s="332">
        <v>41718</v>
      </c>
      <c r="D8" s="331" t="s">
        <v>292</v>
      </c>
      <c r="E8" s="331" t="s">
        <v>293</v>
      </c>
      <c r="F8" s="329" t="s">
        <v>281</v>
      </c>
      <c r="G8" s="324">
        <v>6.6</v>
      </c>
      <c r="H8" s="325">
        <v>2416471062</v>
      </c>
      <c r="I8" s="325" t="s">
        <v>344</v>
      </c>
      <c r="J8" s="332">
        <v>41725</v>
      </c>
      <c r="K8" s="332">
        <v>41732</v>
      </c>
      <c r="L8" s="345" t="s">
        <v>330</v>
      </c>
      <c r="M8" s="345" t="s">
        <v>337</v>
      </c>
      <c r="N8" s="345" t="s">
        <v>337</v>
      </c>
      <c r="O8" s="345" t="s">
        <v>418</v>
      </c>
    </row>
    <row r="9" spans="1:15" x14ac:dyDescent="0.3">
      <c r="A9" s="320">
        <v>7</v>
      </c>
      <c r="B9" s="331" t="s">
        <v>294</v>
      </c>
      <c r="C9" s="332">
        <v>41724</v>
      </c>
      <c r="D9" s="331" t="s">
        <v>295</v>
      </c>
      <c r="E9" s="331" t="s">
        <v>296</v>
      </c>
      <c r="F9" s="329" t="s">
        <v>281</v>
      </c>
      <c r="G9" s="324">
        <v>11</v>
      </c>
      <c r="H9" s="325">
        <v>2834941138</v>
      </c>
      <c r="I9" s="325" t="s">
        <v>340</v>
      </c>
      <c r="J9" s="332">
        <v>41729</v>
      </c>
      <c r="K9" s="332">
        <v>41732</v>
      </c>
      <c r="L9" s="345" t="s">
        <v>331</v>
      </c>
      <c r="M9" s="346" t="s">
        <v>338</v>
      </c>
      <c r="N9" s="346" t="s">
        <v>338</v>
      </c>
      <c r="O9" s="346" t="s">
        <v>419</v>
      </c>
    </row>
    <row r="10" spans="1:15" x14ac:dyDescent="0.3">
      <c r="A10" s="320">
        <v>8</v>
      </c>
      <c r="B10" s="331" t="s">
        <v>403</v>
      </c>
      <c r="C10" s="332">
        <v>41757</v>
      </c>
      <c r="D10" s="331" t="s">
        <v>404</v>
      </c>
      <c r="E10" s="331" t="s">
        <v>405</v>
      </c>
      <c r="F10" s="329" t="s">
        <v>281</v>
      </c>
      <c r="G10" s="324">
        <v>4.4000000000000004</v>
      </c>
      <c r="H10" s="325">
        <v>2420023098</v>
      </c>
      <c r="I10" s="325" t="s">
        <v>406</v>
      </c>
      <c r="J10" s="332">
        <v>41763</v>
      </c>
      <c r="K10" s="332">
        <v>41766</v>
      </c>
      <c r="L10" s="345"/>
      <c r="M10" s="346"/>
      <c r="N10" s="346"/>
      <c r="O10" s="346" t="s">
        <v>420</v>
      </c>
    </row>
    <row r="11" spans="1:15" x14ac:dyDescent="0.3">
      <c r="A11" s="320">
        <v>9</v>
      </c>
      <c r="B11" s="331" t="s">
        <v>408</v>
      </c>
      <c r="C11" s="332">
        <v>41829</v>
      </c>
      <c r="D11" s="331" t="s">
        <v>409</v>
      </c>
      <c r="E11" s="331" t="s">
        <v>410</v>
      </c>
      <c r="F11" s="329" t="s">
        <v>281</v>
      </c>
      <c r="G11" s="324">
        <v>4.4000000000000004</v>
      </c>
      <c r="H11" s="325">
        <v>3403903654</v>
      </c>
      <c r="I11" s="325" t="s">
        <v>411</v>
      </c>
      <c r="J11" s="332">
        <v>41857</v>
      </c>
      <c r="K11" s="332">
        <v>41857</v>
      </c>
      <c r="L11" s="345"/>
      <c r="M11" s="346"/>
      <c r="N11" s="346"/>
      <c r="O11" s="346" t="s">
        <v>421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R14"/>
  <sheetViews>
    <sheetView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K15" sqref="K15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17" width="12.33203125" customWidth="1"/>
    <col min="18" max="18" width="12.33203125" bestFit="1" customWidth="1"/>
  </cols>
  <sheetData>
    <row r="1" spans="1:18" x14ac:dyDescent="0.3">
      <c r="A1" t="s">
        <v>321</v>
      </c>
    </row>
    <row r="2" spans="1:18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</row>
    <row r="3" spans="1:18" ht="40.200000000000003" customHeight="1" x14ac:dyDescent="0.3">
      <c r="A3" s="344" t="s">
        <v>46</v>
      </c>
      <c r="B3" s="365" t="s">
        <v>208</v>
      </c>
      <c r="C3" s="365" t="s">
        <v>352</v>
      </c>
      <c r="D3" s="365" t="s">
        <v>353</v>
      </c>
      <c r="E3" s="365" t="s">
        <v>206</v>
      </c>
      <c r="F3" s="365" t="s">
        <v>352</v>
      </c>
      <c r="G3" s="365" t="s">
        <v>353</v>
      </c>
      <c r="H3" s="365" t="s">
        <v>206</v>
      </c>
      <c r="I3" s="365" t="s">
        <v>352</v>
      </c>
      <c r="J3" s="365" t="s">
        <v>353</v>
      </c>
      <c r="K3" s="365" t="s">
        <v>206</v>
      </c>
      <c r="L3" s="365" t="s">
        <v>352</v>
      </c>
      <c r="M3" s="365" t="s">
        <v>353</v>
      </c>
      <c r="N3" s="369" t="s">
        <v>206</v>
      </c>
      <c r="O3" s="365" t="s">
        <v>354</v>
      </c>
      <c r="P3" s="365" t="s">
        <v>353</v>
      </c>
      <c r="Q3" s="369" t="s">
        <v>206</v>
      </c>
      <c r="R3" s="365" t="s">
        <v>351</v>
      </c>
    </row>
    <row r="4" spans="1:18" x14ac:dyDescent="0.3">
      <c r="A4" s="263" t="s">
        <v>54</v>
      </c>
      <c r="B4" s="91">
        <v>2.2000000000000002</v>
      </c>
      <c r="C4" s="91">
        <v>757737.2</v>
      </c>
      <c r="D4" s="91">
        <v>757737.2</v>
      </c>
      <c r="E4" s="91">
        <f>+D4-C4</f>
        <v>0</v>
      </c>
      <c r="F4" s="91">
        <v>698522</v>
      </c>
      <c r="G4" s="91">
        <v>698522</v>
      </c>
      <c r="H4" s="91">
        <f>+G4-F4</f>
        <v>0</v>
      </c>
      <c r="I4" s="91">
        <v>769859.2</v>
      </c>
      <c r="J4" s="91">
        <v>769874.6</v>
      </c>
      <c r="K4" s="91">
        <f>+J4-I4</f>
        <v>15.400000000023283</v>
      </c>
      <c r="L4" s="91">
        <v>777774.8</v>
      </c>
      <c r="M4" s="91">
        <v>777779.19999999995</v>
      </c>
      <c r="N4" s="265">
        <f>+M4-L4</f>
        <v>4.3999999999068677</v>
      </c>
      <c r="O4" s="91">
        <v>773614.6</v>
      </c>
      <c r="P4" s="91">
        <v>774758.6</v>
      </c>
      <c r="Q4" s="265">
        <f>+P4-O4</f>
        <v>1144</v>
      </c>
      <c r="R4" s="262">
        <f>+E4+H4+K4+N4+Q4</f>
        <v>1163.7999999999302</v>
      </c>
    </row>
    <row r="5" spans="1:18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82963.100000000006</v>
      </c>
      <c r="J5" s="60">
        <v>82964.2</v>
      </c>
      <c r="K5" s="91">
        <f t="shared" ref="K5:K9" si="2">+J5-I5</f>
        <v>1.0999999999912689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79211</v>
      </c>
      <c r="P5" s="91">
        <v>79324.3</v>
      </c>
      <c r="Q5" s="257">
        <f t="shared" ref="Q5:Q9" si="4">+P5-O5</f>
        <v>113.30000000000291</v>
      </c>
      <c r="R5" s="262">
        <f t="shared" ref="R5:R9" si="5">+E5+H5+K5+N5+Q5</f>
        <v>114.39999999999418</v>
      </c>
    </row>
    <row r="6" spans="1:18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1437.04</v>
      </c>
      <c r="P6" s="91">
        <v>1437.48</v>
      </c>
      <c r="Q6" s="257">
        <f t="shared" si="4"/>
        <v>0.44000000000005457</v>
      </c>
      <c r="R6" s="262">
        <f t="shared" si="5"/>
        <v>0.44000000000005457</v>
      </c>
    </row>
    <row r="7" spans="1:18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107462.39999999999</v>
      </c>
      <c r="G7" s="62">
        <v>107462.39999999999</v>
      </c>
      <c r="H7" s="91">
        <f t="shared" si="1"/>
        <v>0</v>
      </c>
      <c r="I7" s="62">
        <v>116982.39999999999</v>
      </c>
      <c r="J7" s="62">
        <v>116988.8</v>
      </c>
      <c r="K7" s="91">
        <f t="shared" si="2"/>
        <v>6.4000000000087311</v>
      </c>
      <c r="L7" s="91">
        <v>124931.2</v>
      </c>
      <c r="M7" s="91">
        <v>124934.39999999999</v>
      </c>
      <c r="N7" s="257">
        <f t="shared" si="3"/>
        <v>3.1999999999970896</v>
      </c>
      <c r="O7" s="91">
        <v>126585.60000000001</v>
      </c>
      <c r="P7" s="91">
        <v>126758.39999999999</v>
      </c>
      <c r="Q7" s="257">
        <f t="shared" si="4"/>
        <v>172.79999999998836</v>
      </c>
      <c r="R7" s="262">
        <f t="shared" si="5"/>
        <v>182.39999999999418</v>
      </c>
    </row>
    <row r="8" spans="1:18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16784</v>
      </c>
      <c r="P8" s="91">
        <v>16808</v>
      </c>
      <c r="Q8" s="257">
        <f t="shared" si="4"/>
        <v>24</v>
      </c>
      <c r="R8" s="262">
        <f t="shared" si="5"/>
        <v>24</v>
      </c>
    </row>
    <row r="9" spans="1:18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329.6</v>
      </c>
      <c r="P9" s="91">
        <v>330.24</v>
      </c>
      <c r="Q9" s="259">
        <f t="shared" si="4"/>
        <v>0.63999999999998636</v>
      </c>
      <c r="R9" s="262">
        <f t="shared" si="5"/>
        <v>0.63999999999998636</v>
      </c>
    </row>
    <row r="10" spans="1:18" x14ac:dyDescent="0.3">
      <c r="A10" s="260" t="s">
        <v>151</v>
      </c>
      <c r="B10" s="261"/>
      <c r="C10" s="364">
        <f>+SUM(C4:C9)</f>
        <v>964339.79999999981</v>
      </c>
      <c r="D10" s="364">
        <f t="shared" ref="D10:R10" si="6">+SUM(D4:D9)</f>
        <v>964339.79999999981</v>
      </c>
      <c r="E10" s="364">
        <f t="shared" si="6"/>
        <v>0</v>
      </c>
      <c r="F10" s="364">
        <f t="shared" ref="F10" si="7">+SUM(F4:F9)</f>
        <v>891877.42000000016</v>
      </c>
      <c r="G10" s="364">
        <f t="shared" si="6"/>
        <v>891877.42000000016</v>
      </c>
      <c r="H10" s="364">
        <f t="shared" si="6"/>
        <v>0</v>
      </c>
      <c r="I10" s="364">
        <f t="shared" ref="I10" si="8">+SUM(I4:I9)</f>
        <v>985925.85999999987</v>
      </c>
      <c r="J10" s="364">
        <f t="shared" si="6"/>
        <v>985948.75999999989</v>
      </c>
      <c r="K10" s="364">
        <f t="shared" si="6"/>
        <v>22.900000000023283</v>
      </c>
      <c r="L10" s="364">
        <f t="shared" ref="L10" si="9">+SUM(L4:L9)</f>
        <v>1003181.36</v>
      </c>
      <c r="M10" s="364">
        <f t="shared" si="6"/>
        <v>1003188.96</v>
      </c>
      <c r="N10" s="364">
        <f t="shared" si="6"/>
        <v>7.5999999999039574</v>
      </c>
      <c r="O10" s="364">
        <f t="shared" si="6"/>
        <v>997961.84</v>
      </c>
      <c r="P10" s="364">
        <f t="shared" ref="P10:Q10" si="10">+SUM(P4:P9)</f>
        <v>999417.02</v>
      </c>
      <c r="Q10" s="364">
        <f t="shared" si="10"/>
        <v>1455.1799999999912</v>
      </c>
      <c r="R10" s="364">
        <f t="shared" si="6"/>
        <v>1485.6799999999184</v>
      </c>
    </row>
    <row r="11" spans="1:18" x14ac:dyDescent="0.3">
      <c r="C11" s="102"/>
      <c r="F11" s="102"/>
      <c r="I11" s="102"/>
    </row>
    <row r="12" spans="1:18" x14ac:dyDescent="0.3">
      <c r="R12" s="366"/>
    </row>
    <row r="14" spans="1:18" x14ac:dyDescent="0.3">
      <c r="Q14" s="102"/>
    </row>
  </sheetData>
  <mergeCells count="5">
    <mergeCell ref="C2:E2"/>
    <mergeCell ref="F2:H2"/>
    <mergeCell ref="I2:K2"/>
    <mergeCell ref="L2:N2"/>
    <mergeCell ref="O2:Q2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AI66"/>
  <sheetViews>
    <sheetView zoomScaleNormal="100" workbookViewId="0">
      <pane xSplit="4" ySplit="4" topLeftCell="N14" activePane="bottomRight" state="frozen"/>
      <selection pane="topRight" activeCell="E1" sqref="E1"/>
      <selection pane="bottomLeft" activeCell="A5" sqref="A5"/>
      <selection pane="bottomRight" activeCell="N27" sqref="N27:O27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50.6640625" style="1" bestFit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3" style="1" customWidth="1"/>
    <col min="16" max="16" width="12.109375" style="1" customWidth="1"/>
    <col min="17" max="17" width="11.6640625" style="1" hidden="1" customWidth="1" outlineLevel="1"/>
    <col min="18" max="18" width="12.33203125" style="1" bestFit="1" customWidth="1" collapsed="1"/>
    <col min="19" max="20" width="12.33203125" style="1" customWidth="1"/>
    <col min="21" max="21" width="11.33203125" style="1" customWidth="1" outlineLevel="1"/>
    <col min="22" max="22" width="3.109375" style="1" customWidth="1"/>
    <col min="23" max="23" width="5.109375" style="1" customWidth="1"/>
    <col min="24" max="24" width="13.33203125" style="2" customWidth="1"/>
    <col min="25" max="25" width="11.33203125" style="2" bestFit="1" customWidth="1"/>
    <col min="26" max="26" width="11.6640625" style="1" customWidth="1"/>
    <col min="27" max="16384" width="8.88671875" style="1"/>
  </cols>
  <sheetData>
    <row r="1" spans="1:27" ht="15.6" customHeight="1" x14ac:dyDescent="0.3">
      <c r="A1" s="40" t="s">
        <v>376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"/>
    </row>
    <row r="2" spans="1:27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39"/>
      <c r="S2" s="2"/>
      <c r="T2" s="2"/>
    </row>
    <row r="3" spans="1:27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99" t="s">
        <v>387</v>
      </c>
      <c r="O3" s="599"/>
      <c r="P3" s="586" t="s">
        <v>178</v>
      </c>
      <c r="Q3" s="598"/>
      <c r="R3" s="590" t="s">
        <v>43</v>
      </c>
      <c r="S3" s="590" t="s">
        <v>44</v>
      </c>
      <c r="T3" s="590" t="s">
        <v>41</v>
      </c>
      <c r="U3" s="590" t="s">
        <v>149</v>
      </c>
      <c r="W3" s="61"/>
      <c r="X3" s="584" t="s">
        <v>148</v>
      </c>
    </row>
    <row r="4" spans="1:27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254" t="s">
        <v>203</v>
      </c>
      <c r="O4" s="254" t="s">
        <v>388</v>
      </c>
      <c r="P4" s="254" t="s">
        <v>203</v>
      </c>
      <c r="Q4" s="254" t="s">
        <v>377</v>
      </c>
      <c r="R4" s="597"/>
      <c r="S4" s="597"/>
      <c r="T4" s="597"/>
      <c r="U4" s="597"/>
      <c r="W4" s="87"/>
      <c r="X4" s="585"/>
    </row>
    <row r="5" spans="1:27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49846.926529680364</v>
      </c>
      <c r="F5" s="187">
        <f t="shared" si="0"/>
        <v>1986432.5938812869</v>
      </c>
      <c r="G5" s="82">
        <f t="shared" si="0"/>
        <v>298953.81</v>
      </c>
      <c r="H5" s="82">
        <f t="shared" si="0"/>
        <v>48080.399999999994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18975.499999999996</v>
      </c>
      <c r="N5" s="192">
        <f>+N6+N18+N44</f>
        <v>649.01</v>
      </c>
      <c r="O5" s="192">
        <f>+O6+O18+O44</f>
        <v>1924.15</v>
      </c>
      <c r="P5" s="42">
        <f>+P6+P18+P44</f>
        <v>191818.87000000002</v>
      </c>
      <c r="Q5" s="42">
        <f>+Q6+Q18+Q44</f>
        <v>0</v>
      </c>
      <c r="R5" s="42">
        <f t="shared" ref="R5:R10" si="1">+SUM(E5:Q5)</f>
        <v>2596681.2604109668</v>
      </c>
      <c r="S5" s="42">
        <f>+S6+S18+S44</f>
        <v>2382276.385698135</v>
      </c>
      <c r="T5" s="42">
        <f>+T6+T18+T44</f>
        <v>214404.87471283239</v>
      </c>
      <c r="U5" s="44">
        <f>+U6+U18+U44</f>
        <v>49159.907791095931</v>
      </c>
      <c r="V5" s="71"/>
      <c r="W5" s="87"/>
      <c r="X5" s="135">
        <f>+X7+X18+X44</f>
        <v>2186227.3433333333</v>
      </c>
      <c r="Z5" s="2"/>
    </row>
    <row r="6" spans="1:27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192">
        <f>+O7+O11</f>
        <v>0</v>
      </c>
      <c r="P6" s="42">
        <f>+P7+P11</f>
        <v>0</v>
      </c>
      <c r="Q6" s="42">
        <f>+Q7+Q11</f>
        <v>0</v>
      </c>
      <c r="R6" s="42">
        <f t="shared" si="1"/>
        <v>0</v>
      </c>
      <c r="S6" s="42">
        <f>+S7+S11</f>
        <v>0</v>
      </c>
      <c r="T6" s="42">
        <f>+T7+T11</f>
        <v>0</v>
      </c>
      <c r="U6" s="44">
        <f>+U7+U11</f>
        <v>0</v>
      </c>
      <c r="W6" s="61"/>
      <c r="X6" s="13"/>
    </row>
    <row r="7" spans="1:27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U7" si="4">+SUM(M8:M10)</f>
        <v>0</v>
      </c>
      <c r="N7" s="79">
        <f t="shared" si="4"/>
        <v>0</v>
      </c>
      <c r="O7" s="79">
        <f t="shared" si="4"/>
        <v>0</v>
      </c>
      <c r="P7" s="354">
        <f t="shared" si="4"/>
        <v>0</v>
      </c>
      <c r="Q7" s="354">
        <f t="shared" si="4"/>
        <v>0</v>
      </c>
      <c r="R7" s="43">
        <f t="shared" si="1"/>
        <v>0</v>
      </c>
      <c r="S7" s="354">
        <f t="shared" si="4"/>
        <v>0</v>
      </c>
      <c r="T7" s="354">
        <f t="shared" si="4"/>
        <v>0</v>
      </c>
      <c r="U7" s="240">
        <f t="shared" si="4"/>
        <v>0</v>
      </c>
      <c r="V7" s="71"/>
      <c r="W7" s="134"/>
      <c r="X7" s="105">
        <f>+SUM(X8:X17)</f>
        <v>0</v>
      </c>
    </row>
    <row r="8" spans="1:27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64"/>
      <c r="R8" s="24">
        <f t="shared" si="1"/>
        <v>0</v>
      </c>
      <c r="S8" s="127">
        <f t="shared" ref="S8:S53" si="5">+R8/1.09</f>
        <v>0</v>
      </c>
      <c r="T8" s="24">
        <f t="shared" ref="T8:T17" si="6">+R8-S8</f>
        <v>0</v>
      </c>
      <c r="U8" s="94">
        <f>+R8/D8</f>
        <v>0</v>
      </c>
      <c r="V8" s="71"/>
      <c r="W8" s="61"/>
      <c r="X8" s="13"/>
    </row>
    <row r="9" spans="1:27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64"/>
      <c r="R9" s="24">
        <f t="shared" si="1"/>
        <v>0</v>
      </c>
      <c r="S9" s="127">
        <f t="shared" si="5"/>
        <v>0</v>
      </c>
      <c r="T9" s="26">
        <f t="shared" si="6"/>
        <v>0</v>
      </c>
      <c r="U9" s="94">
        <f>+R9/D9</f>
        <v>0</v>
      </c>
      <c r="V9" s="71"/>
      <c r="W9" s="61">
        <v>1.75</v>
      </c>
      <c r="X9" s="13">
        <f>+U9*W9</f>
        <v>0</v>
      </c>
    </row>
    <row r="10" spans="1:27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44"/>
      <c r="P10" s="144"/>
      <c r="Q10" s="350"/>
      <c r="R10" s="24">
        <f t="shared" si="1"/>
        <v>0</v>
      </c>
      <c r="S10" s="26">
        <f t="shared" si="5"/>
        <v>0</v>
      </c>
      <c r="T10" s="26">
        <f t="shared" si="6"/>
        <v>0</v>
      </c>
      <c r="U10" s="39">
        <f>R10/D10</f>
        <v>0</v>
      </c>
      <c r="V10" s="71"/>
      <c r="W10" s="107">
        <v>2.8</v>
      </c>
      <c r="X10" s="13">
        <f>+U10*W10</f>
        <v>0</v>
      </c>
      <c r="Z10" s="138"/>
      <c r="AA10" s="2"/>
    </row>
    <row r="11" spans="1:27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U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:O11" si="9">+SUM(N12:N17)</f>
        <v>0</v>
      </c>
      <c r="O11" s="101">
        <f t="shared" si="9"/>
        <v>0</v>
      </c>
      <c r="P11" s="101">
        <f t="shared" si="8"/>
        <v>0</v>
      </c>
      <c r="Q11" s="101">
        <f t="shared" si="8"/>
        <v>0</v>
      </c>
      <c r="R11" s="43">
        <f t="shared" si="8"/>
        <v>0</v>
      </c>
      <c r="S11" s="72">
        <f t="shared" si="8"/>
        <v>0</v>
      </c>
      <c r="T11" s="43">
        <f t="shared" si="8"/>
        <v>0</v>
      </c>
      <c r="U11" s="45">
        <f t="shared" si="8"/>
        <v>0</v>
      </c>
      <c r="V11" s="71"/>
      <c r="W11" s="61"/>
      <c r="X11" s="13"/>
    </row>
    <row r="12" spans="1:27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64"/>
      <c r="R12" s="24">
        <f t="shared" ref="R12:R17" si="10">+SUM(E12:Q12)</f>
        <v>0</v>
      </c>
      <c r="S12" s="127">
        <f t="shared" si="5"/>
        <v>0</v>
      </c>
      <c r="T12" s="5">
        <f t="shared" si="6"/>
        <v>0</v>
      </c>
      <c r="U12" s="94">
        <f t="shared" ref="U12:U17" si="11">+R12/D12</f>
        <v>0</v>
      </c>
      <c r="V12" s="71"/>
      <c r="W12" s="61"/>
      <c r="X12" s="13"/>
      <c r="AA12" s="104"/>
    </row>
    <row r="13" spans="1:27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64"/>
      <c r="R13" s="24">
        <f t="shared" si="10"/>
        <v>0</v>
      </c>
      <c r="S13" s="127">
        <f t="shared" si="5"/>
        <v>0</v>
      </c>
      <c r="T13" s="5">
        <f t="shared" si="6"/>
        <v>0</v>
      </c>
      <c r="U13" s="94">
        <f t="shared" si="11"/>
        <v>0</v>
      </c>
      <c r="V13" s="71"/>
      <c r="W13" s="107">
        <v>1.1000000000000001</v>
      </c>
      <c r="X13" s="13">
        <f t="shared" ref="X13:X14" si="12">+U13*W13</f>
        <v>0</v>
      </c>
      <c r="AA13" s="104"/>
    </row>
    <row r="14" spans="1:27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64"/>
      <c r="R14" s="24">
        <f t="shared" si="10"/>
        <v>0</v>
      </c>
      <c r="S14" s="127">
        <f t="shared" si="5"/>
        <v>0</v>
      </c>
      <c r="T14" s="5">
        <f t="shared" si="6"/>
        <v>0</v>
      </c>
      <c r="U14" s="94">
        <f t="shared" si="11"/>
        <v>0</v>
      </c>
      <c r="V14" s="71"/>
      <c r="W14" s="61">
        <v>1.76</v>
      </c>
      <c r="X14" s="13">
        <f t="shared" si="12"/>
        <v>0</v>
      </c>
      <c r="AA14" s="104"/>
    </row>
    <row r="15" spans="1:27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64"/>
      <c r="R15" s="24">
        <f t="shared" si="10"/>
        <v>0</v>
      </c>
      <c r="S15" s="127">
        <f t="shared" si="5"/>
        <v>0</v>
      </c>
      <c r="T15" s="5">
        <f t="shared" si="6"/>
        <v>0</v>
      </c>
      <c r="U15" s="94">
        <f t="shared" si="11"/>
        <v>0</v>
      </c>
      <c r="V15" s="71"/>
      <c r="W15" s="61"/>
      <c r="X15" s="13"/>
      <c r="AA15" s="104"/>
    </row>
    <row r="16" spans="1:27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64"/>
      <c r="R16" s="24">
        <f t="shared" si="10"/>
        <v>0</v>
      </c>
      <c r="S16" s="127">
        <f t="shared" si="5"/>
        <v>0</v>
      </c>
      <c r="T16" s="5">
        <f t="shared" si="6"/>
        <v>0</v>
      </c>
      <c r="U16" s="94">
        <f t="shared" si="11"/>
        <v>0</v>
      </c>
      <c r="V16" s="71"/>
      <c r="W16" s="61">
        <v>1.6</v>
      </c>
      <c r="X16" s="13">
        <f t="shared" ref="X16:X17" si="13">+U16*W16</f>
        <v>0</v>
      </c>
      <c r="AA16" s="104"/>
    </row>
    <row r="17" spans="1:35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64"/>
      <c r="R17" s="24">
        <f t="shared" si="10"/>
        <v>0</v>
      </c>
      <c r="S17" s="127">
        <f t="shared" si="5"/>
        <v>0</v>
      </c>
      <c r="T17" s="5">
        <f t="shared" si="6"/>
        <v>0</v>
      </c>
      <c r="U17" s="94">
        <f t="shared" si="11"/>
        <v>0</v>
      </c>
      <c r="V17" s="71"/>
      <c r="W17" s="61">
        <v>2.56</v>
      </c>
      <c r="X17" s="13">
        <f t="shared" si="13"/>
        <v>0</v>
      </c>
      <c r="AA17" s="104"/>
    </row>
    <row r="18" spans="1:35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49576.406529680367</v>
      </c>
      <c r="F18" s="231">
        <f t="shared" ref="F18:Q18" si="14">+SUM(F19:F43)</f>
        <v>1975902.7538812868</v>
      </c>
      <c r="G18" s="231">
        <f t="shared" si="14"/>
        <v>297223.82</v>
      </c>
      <c r="H18" s="231">
        <f t="shared" si="14"/>
        <v>47676.639999999992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18910.719999999998</v>
      </c>
      <c r="N18" s="231">
        <f t="shared" si="14"/>
        <v>649.01</v>
      </c>
      <c r="O18" s="231">
        <f t="shared" si="14"/>
        <v>1892.99</v>
      </c>
      <c r="P18" s="238">
        <f t="shared" si="14"/>
        <v>190723.67</v>
      </c>
      <c r="Q18" s="238">
        <f t="shared" si="14"/>
        <v>0</v>
      </c>
      <c r="R18" s="42">
        <f>+SUM(R19:R43)</f>
        <v>2582556.0104109673</v>
      </c>
      <c r="S18" s="42">
        <f t="shared" ref="S18:U18" si="15">+SUM(S19:S43)</f>
        <v>2369317.4407440065</v>
      </c>
      <c r="T18" s="42">
        <f t="shared" si="15"/>
        <v>213238.56966696083</v>
      </c>
      <c r="U18" s="42">
        <f t="shared" si="15"/>
        <v>48495.541124429263</v>
      </c>
      <c r="V18" s="71"/>
      <c r="W18" s="61"/>
      <c r="X18" s="105">
        <f>+SUM(X19:X42)</f>
        <v>2174586.8933333331</v>
      </c>
    </row>
    <row r="19" spans="1:3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31496.666666666672</v>
      </c>
      <c r="F19" s="127">
        <v>1141146.6666666765</v>
      </c>
      <c r="G19" s="127">
        <v>165520</v>
      </c>
      <c r="H19" s="127">
        <v>24806.67</v>
      </c>
      <c r="I19" s="127"/>
      <c r="J19" s="127"/>
      <c r="K19" s="127"/>
      <c r="L19" s="127"/>
      <c r="M19" s="127">
        <v>12230</v>
      </c>
      <c r="N19" s="127">
        <v>476.67</v>
      </c>
      <c r="O19" s="127">
        <v>1333.33</v>
      </c>
      <c r="P19" s="127">
        <f>103313.34-86.67-80</f>
        <v>103146.67</v>
      </c>
      <c r="Q19" s="164"/>
      <c r="R19" s="24">
        <f t="shared" ref="R19:R43" si="16">+SUM(E19:Q19)</f>
        <v>1480156.6733333431</v>
      </c>
      <c r="S19" s="127">
        <f t="shared" si="5"/>
        <v>1357941.9021406816</v>
      </c>
      <c r="T19" s="24">
        <f>+R19-S19</f>
        <v>122214.77119266149</v>
      </c>
      <c r="U19" s="94">
        <f t="shared" ref="U19:U43" si="17">+R19/D19</f>
        <v>14801.566733333431</v>
      </c>
      <c r="V19" s="71"/>
      <c r="W19" s="61"/>
      <c r="X19" s="106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</row>
    <row r="20" spans="1:35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4708.3333333333321</v>
      </c>
      <c r="F20" s="127">
        <v>335384.99999999895</v>
      </c>
      <c r="G20" s="127">
        <v>49016.67</v>
      </c>
      <c r="H20" s="127">
        <v>9023.33</v>
      </c>
      <c r="I20" s="127"/>
      <c r="J20" s="127"/>
      <c r="K20" s="127"/>
      <c r="L20" s="127"/>
      <c r="M20" s="127">
        <v>3921.67</v>
      </c>
      <c r="N20" s="127"/>
      <c r="O20" s="127"/>
      <c r="P20" s="127">
        <v>6485</v>
      </c>
      <c r="Q20" s="164"/>
      <c r="R20" s="24">
        <f t="shared" si="16"/>
        <v>408540.00333333225</v>
      </c>
      <c r="S20" s="127">
        <f t="shared" si="5"/>
        <v>374807.34250764427</v>
      </c>
      <c r="T20" s="5">
        <f t="shared" ref="T20:T43" si="18">+R20-S20</f>
        <v>33732.660825687984</v>
      </c>
      <c r="U20" s="94">
        <f t="shared" si="17"/>
        <v>8170.8000666666449</v>
      </c>
      <c r="V20" s="71"/>
      <c r="W20" s="61">
        <v>50</v>
      </c>
      <c r="X20" s="13">
        <f t="shared" ref="X20:X21" si="19">+U20*W20</f>
        <v>408540.00333333225</v>
      </c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</row>
    <row r="21" spans="1:35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7818</v>
      </c>
      <c r="F21" s="127">
        <v>313304.67</v>
      </c>
      <c r="G21" s="127">
        <f>666+53759.33</f>
        <v>54425.33</v>
      </c>
      <c r="H21" s="127">
        <v>4771.33</v>
      </c>
      <c r="I21" s="13"/>
      <c r="J21" s="127"/>
      <c r="K21" s="127"/>
      <c r="L21" s="127"/>
      <c r="M21" s="127">
        <f>130.67+1397.33</f>
        <v>1528</v>
      </c>
      <c r="N21" s="127">
        <v>124.67</v>
      </c>
      <c r="O21" s="127">
        <v>335.99</v>
      </c>
      <c r="P21" s="127">
        <f>348+33921.33</f>
        <v>34269.33</v>
      </c>
      <c r="Q21" s="164"/>
      <c r="R21" s="24">
        <f t="shared" si="16"/>
        <v>416577.32</v>
      </c>
      <c r="S21" s="127">
        <f t="shared" si="5"/>
        <v>382181.02752293576</v>
      </c>
      <c r="T21" s="5">
        <f t="shared" si="18"/>
        <v>34396.292477064242</v>
      </c>
      <c r="U21" s="94">
        <f t="shared" si="17"/>
        <v>20828.866000000002</v>
      </c>
      <c r="V21" s="71"/>
      <c r="W21" s="61">
        <v>80</v>
      </c>
      <c r="X21" s="13">
        <f t="shared" si="19"/>
        <v>1666309.2800000003</v>
      </c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</row>
    <row r="22" spans="1:35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4377</v>
      </c>
      <c r="F22" s="127">
        <v>149154</v>
      </c>
      <c r="G22" s="127">
        <v>23454</v>
      </c>
      <c r="H22" s="127">
        <v>5088</v>
      </c>
      <c r="I22" s="96"/>
      <c r="J22" s="127"/>
      <c r="K22" s="127"/>
      <c r="L22" s="127"/>
      <c r="M22" s="127">
        <v>1050</v>
      </c>
      <c r="N22" s="127">
        <v>39</v>
      </c>
      <c r="O22" s="127">
        <v>183</v>
      </c>
      <c r="P22" s="127">
        <f>26019-63</f>
        <v>25956</v>
      </c>
      <c r="Q22" s="164"/>
      <c r="R22" s="24">
        <f t="shared" si="16"/>
        <v>209301</v>
      </c>
      <c r="S22" s="127">
        <f t="shared" si="5"/>
        <v>192019.26605504585</v>
      </c>
      <c r="T22" s="5">
        <f t="shared" si="18"/>
        <v>17281.733944954147</v>
      </c>
      <c r="U22" s="94">
        <f t="shared" si="17"/>
        <v>2325.5666666666666</v>
      </c>
      <c r="V22" s="71"/>
      <c r="W22" s="61"/>
      <c r="X22" s="13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</row>
    <row r="23" spans="1:35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v>136.5</v>
      </c>
      <c r="F23" s="127">
        <v>8112</v>
      </c>
      <c r="G23" s="127">
        <v>1218</v>
      </c>
      <c r="H23" s="127">
        <v>421.5</v>
      </c>
      <c r="I23" s="127"/>
      <c r="J23" s="127"/>
      <c r="K23" s="127"/>
      <c r="L23" s="127"/>
      <c r="M23" s="127">
        <v>70.5</v>
      </c>
      <c r="N23" s="127"/>
      <c r="O23" s="127"/>
      <c r="P23" s="127">
        <v>1707</v>
      </c>
      <c r="Q23" s="164"/>
      <c r="R23" s="24">
        <f t="shared" si="16"/>
        <v>11665.5</v>
      </c>
      <c r="S23" s="127">
        <f t="shared" si="5"/>
        <v>10702.293577981651</v>
      </c>
      <c r="T23" s="5">
        <f t="shared" si="18"/>
        <v>963.20642201834926</v>
      </c>
      <c r="U23" s="94">
        <f t="shared" si="17"/>
        <v>259.23333333333335</v>
      </c>
      <c r="V23" s="71"/>
      <c r="W23" s="61">
        <v>45</v>
      </c>
      <c r="X23" s="13">
        <f t="shared" ref="X23:X24" si="20">+U23*W23</f>
        <v>11665.5</v>
      </c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</row>
    <row r="24" spans="1:35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179.4</v>
      </c>
      <c r="F24" s="127">
        <v>3999</v>
      </c>
      <c r="G24" s="127">
        <f>6.6+773.4</f>
        <v>780</v>
      </c>
      <c r="H24" s="127">
        <v>69.599999999999994</v>
      </c>
      <c r="I24" s="127"/>
      <c r="J24" s="127"/>
      <c r="K24" s="127"/>
      <c r="L24" s="127"/>
      <c r="M24" s="127">
        <f>0.6+26.4</f>
        <v>27</v>
      </c>
      <c r="N24" s="127"/>
      <c r="O24" s="127"/>
      <c r="P24" s="127">
        <f>51+1332</f>
        <v>1383</v>
      </c>
      <c r="Q24" s="164"/>
      <c r="R24" s="24">
        <f t="shared" si="16"/>
        <v>6438</v>
      </c>
      <c r="S24" s="127">
        <f t="shared" si="5"/>
        <v>5906.4220183486232</v>
      </c>
      <c r="T24" s="5">
        <f t="shared" si="18"/>
        <v>531.57798165137683</v>
      </c>
      <c r="U24" s="94">
        <f t="shared" si="17"/>
        <v>357.66666666666669</v>
      </c>
      <c r="V24" s="71"/>
      <c r="W24" s="61">
        <v>72</v>
      </c>
      <c r="X24" s="13">
        <f t="shared" si="20"/>
        <v>25752</v>
      </c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</row>
    <row r="25" spans="1:35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/>
      <c r="F25" s="127">
        <v>3083.3333333333339</v>
      </c>
      <c r="G25" s="127">
        <v>200</v>
      </c>
      <c r="H25" s="127">
        <v>166.67</v>
      </c>
      <c r="I25" s="127"/>
      <c r="J25" s="127"/>
      <c r="K25" s="127"/>
      <c r="L25" s="127"/>
      <c r="M25" s="127"/>
      <c r="N25" s="127"/>
      <c r="O25" s="127"/>
      <c r="P25" s="127">
        <v>4030</v>
      </c>
      <c r="Q25" s="164"/>
      <c r="R25" s="24">
        <f t="shared" si="16"/>
        <v>7480.003333333334</v>
      </c>
      <c r="S25" s="127">
        <f t="shared" si="5"/>
        <v>6862.3883792048928</v>
      </c>
      <c r="T25" s="5">
        <f t="shared" si="18"/>
        <v>617.61495412844124</v>
      </c>
      <c r="U25" s="94">
        <f t="shared" si="17"/>
        <v>24.933344444444447</v>
      </c>
      <c r="V25" s="71"/>
      <c r="W25" s="61"/>
      <c r="X25" s="13"/>
      <c r="Y25" s="112"/>
      <c r="Z25" s="112"/>
    </row>
    <row r="26" spans="1:35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2780</v>
      </c>
      <c r="G26" s="127">
        <v>340</v>
      </c>
      <c r="H26" s="127">
        <f>50+51.67+100</f>
        <v>201.67000000000002</v>
      </c>
      <c r="I26" s="127"/>
      <c r="J26" s="127"/>
      <c r="K26" s="127"/>
      <c r="L26" s="127"/>
      <c r="M26" s="127"/>
      <c r="N26" s="127"/>
      <c r="O26" s="127"/>
      <c r="P26" s="127">
        <v>840</v>
      </c>
      <c r="Q26" s="164"/>
      <c r="R26" s="24">
        <f t="shared" si="16"/>
        <v>4161.67</v>
      </c>
      <c r="S26" s="127">
        <f t="shared" si="5"/>
        <v>3818.0458715596328</v>
      </c>
      <c r="T26" s="5">
        <f t="shared" si="18"/>
        <v>343.62412844036726</v>
      </c>
      <c r="U26" s="94">
        <f t="shared" si="17"/>
        <v>27.744466666666668</v>
      </c>
      <c r="V26" s="71"/>
      <c r="W26" s="61">
        <v>150</v>
      </c>
      <c r="X26" s="13">
        <f t="shared" ref="X26:X42" si="21">+U26*W26</f>
        <v>4161.67</v>
      </c>
      <c r="Y26" s="112"/>
      <c r="Z26" s="112"/>
    </row>
    <row r="27" spans="1:3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134.66999999999999</v>
      </c>
      <c r="F27" s="127">
        <v>5249.33</v>
      </c>
      <c r="G27" s="127">
        <f>26+629.33</f>
        <v>655.33000000000004</v>
      </c>
      <c r="H27" s="127">
        <f>80+200+120</f>
        <v>400</v>
      </c>
      <c r="I27" s="127"/>
      <c r="J27" s="127"/>
      <c r="K27" s="127"/>
      <c r="L27" s="127"/>
      <c r="M27" s="127">
        <v>47.33</v>
      </c>
      <c r="N27" s="127">
        <v>8.67</v>
      </c>
      <c r="O27" s="127">
        <v>40.67</v>
      </c>
      <c r="P27" s="127">
        <f>116+4250</f>
        <v>4366</v>
      </c>
      <c r="Q27" s="164"/>
      <c r="R27" s="24">
        <f t="shared" si="16"/>
        <v>10902</v>
      </c>
      <c r="S27" s="127">
        <f t="shared" si="5"/>
        <v>10001.83486238532</v>
      </c>
      <c r="T27" s="5">
        <f t="shared" si="18"/>
        <v>900.16513761468013</v>
      </c>
      <c r="U27" s="94">
        <f t="shared" si="17"/>
        <v>181.7</v>
      </c>
      <c r="V27" s="71"/>
      <c r="W27" s="61">
        <v>240</v>
      </c>
      <c r="X27" s="13">
        <f t="shared" si="21"/>
        <v>43608</v>
      </c>
      <c r="Y27" s="112"/>
      <c r="Z27" s="112"/>
    </row>
    <row r="28" spans="1:35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495</v>
      </c>
      <c r="G28" s="127"/>
      <c r="H28" s="127">
        <f>90+90</f>
        <v>180</v>
      </c>
      <c r="I28" s="127"/>
      <c r="J28" s="127"/>
      <c r="K28" s="127"/>
      <c r="L28" s="127"/>
      <c r="M28" s="127"/>
      <c r="N28" s="127"/>
      <c r="O28" s="127"/>
      <c r="P28" s="127">
        <v>4623</v>
      </c>
      <c r="Q28" s="164"/>
      <c r="R28" s="24">
        <f t="shared" si="16"/>
        <v>5298</v>
      </c>
      <c r="S28" s="127">
        <f t="shared" si="5"/>
        <v>4860.5504587155956</v>
      </c>
      <c r="T28" s="5">
        <f t="shared" si="18"/>
        <v>437.4495412844044</v>
      </c>
      <c r="U28" s="94">
        <f t="shared" si="17"/>
        <v>19.622222222222224</v>
      </c>
      <c r="V28" s="71"/>
      <c r="W28" s="61"/>
      <c r="X28" s="13"/>
      <c r="Y28" s="112"/>
      <c r="Z28" s="112"/>
    </row>
    <row r="29" spans="1:35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115.5</v>
      </c>
      <c r="G29" s="127"/>
      <c r="H29" s="127">
        <f>45+3</f>
        <v>48</v>
      </c>
      <c r="I29" s="127"/>
      <c r="J29" s="127"/>
      <c r="K29" s="127"/>
      <c r="L29" s="127"/>
      <c r="M29" s="127"/>
      <c r="N29" s="127"/>
      <c r="O29" s="127"/>
      <c r="P29" s="127">
        <v>10.5</v>
      </c>
      <c r="Q29" s="164"/>
      <c r="R29" s="24">
        <f t="shared" si="16"/>
        <v>174</v>
      </c>
      <c r="S29" s="127">
        <f t="shared" si="5"/>
        <v>159.63302752293578</v>
      </c>
      <c r="T29" s="5">
        <f t="shared" si="18"/>
        <v>14.366972477064223</v>
      </c>
      <c r="U29" s="94">
        <f t="shared" si="17"/>
        <v>1.288888888888889</v>
      </c>
      <c r="V29" s="71"/>
      <c r="W29" s="61">
        <v>135</v>
      </c>
      <c r="X29" s="13">
        <f t="shared" si="21"/>
        <v>174</v>
      </c>
      <c r="Y29" s="112"/>
      <c r="Z29" s="112"/>
    </row>
    <row r="30" spans="1:35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21</v>
      </c>
      <c r="F30" s="127">
        <v>41.4</v>
      </c>
      <c r="G30" s="127"/>
      <c r="H30" s="127">
        <v>9.6</v>
      </c>
      <c r="I30" s="127"/>
      <c r="J30" s="127"/>
      <c r="K30" s="127"/>
      <c r="L30" s="127"/>
      <c r="M30" s="127">
        <v>0.6</v>
      </c>
      <c r="N30" s="127"/>
      <c r="O30" s="127"/>
      <c r="P30" s="127">
        <f>18+265.2-18</f>
        <v>265.2</v>
      </c>
      <c r="Q30" s="164"/>
      <c r="R30" s="24">
        <f t="shared" si="16"/>
        <v>337.79999999999995</v>
      </c>
      <c r="S30" s="127">
        <f t="shared" si="5"/>
        <v>309.90825688073386</v>
      </c>
      <c r="T30" s="5">
        <f t="shared" si="18"/>
        <v>27.891743119266096</v>
      </c>
      <c r="U30" s="94">
        <f t="shared" si="17"/>
        <v>6.2555555555555546</v>
      </c>
      <c r="V30" s="71"/>
      <c r="W30" s="61">
        <v>216</v>
      </c>
      <c r="X30" s="13">
        <f t="shared" si="21"/>
        <v>1351.1999999999998</v>
      </c>
      <c r="Y30" s="112"/>
      <c r="Z30" s="112"/>
    </row>
    <row r="31" spans="1:3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100</v>
      </c>
      <c r="F31" s="127">
        <v>200</v>
      </c>
      <c r="G31" s="127"/>
      <c r="H31" s="127">
        <v>100</v>
      </c>
      <c r="I31" s="127"/>
      <c r="J31" s="127"/>
      <c r="K31" s="127"/>
      <c r="L31" s="127"/>
      <c r="M31" s="127"/>
      <c r="N31" s="127"/>
      <c r="O31" s="127"/>
      <c r="P31" s="127"/>
      <c r="Q31" s="164"/>
      <c r="R31" s="24">
        <f t="shared" si="16"/>
        <v>400</v>
      </c>
      <c r="S31" s="127">
        <f t="shared" si="5"/>
        <v>366.97247706422013</v>
      </c>
      <c r="T31" s="5">
        <f t="shared" si="18"/>
        <v>33.027522935779871</v>
      </c>
      <c r="U31" s="94">
        <f t="shared" si="17"/>
        <v>0.66666666666666663</v>
      </c>
      <c r="V31" s="71"/>
      <c r="W31" s="61"/>
      <c r="X31" s="13"/>
      <c r="Y31" s="112"/>
      <c r="Z31" s="112"/>
    </row>
    <row r="32" spans="1:3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483.33333333333326</v>
      </c>
      <c r="G32" s="127">
        <v>50</v>
      </c>
      <c r="H32" s="127">
        <f>150+50+50+50</f>
        <v>300</v>
      </c>
      <c r="I32" s="127"/>
      <c r="J32" s="127"/>
      <c r="K32" s="127"/>
      <c r="L32" s="127"/>
      <c r="M32" s="127"/>
      <c r="N32" s="127"/>
      <c r="O32" s="127"/>
      <c r="P32" s="127">
        <v>150</v>
      </c>
      <c r="Q32" s="164"/>
      <c r="R32" s="24">
        <f t="shared" si="16"/>
        <v>983.33333333333326</v>
      </c>
      <c r="S32" s="127">
        <f t="shared" si="5"/>
        <v>902.1406727828745</v>
      </c>
      <c r="T32" s="5">
        <f t="shared" si="18"/>
        <v>81.192660550458754</v>
      </c>
      <c r="U32" s="94">
        <f t="shared" si="17"/>
        <v>3.2777777777777777</v>
      </c>
      <c r="V32" s="71"/>
      <c r="W32" s="61">
        <v>300</v>
      </c>
      <c r="X32" s="13">
        <f t="shared" si="21"/>
        <v>983.33333333333326</v>
      </c>
      <c r="Y32" s="112"/>
      <c r="Z32" s="112"/>
    </row>
    <row r="33" spans="1:27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60.000000000000007</v>
      </c>
      <c r="F33" s="127">
        <v>955.33</v>
      </c>
      <c r="G33" s="127">
        <v>96</v>
      </c>
      <c r="H33" s="127">
        <v>30.67</v>
      </c>
      <c r="I33" s="127"/>
      <c r="J33" s="127"/>
      <c r="K33" s="127"/>
      <c r="L33" s="127"/>
      <c r="M33" s="127">
        <v>20</v>
      </c>
      <c r="N33" s="127"/>
      <c r="O33" s="127"/>
      <c r="P33" s="127">
        <f>40+764.67</f>
        <v>804.67</v>
      </c>
      <c r="Q33" s="164"/>
      <c r="R33" s="24">
        <f t="shared" si="16"/>
        <v>1966.67</v>
      </c>
      <c r="S33" s="127">
        <f t="shared" si="5"/>
        <v>1804.2844036697247</v>
      </c>
      <c r="T33" s="5">
        <f t="shared" si="18"/>
        <v>162.38559633027535</v>
      </c>
      <c r="U33" s="94">
        <f t="shared" si="17"/>
        <v>16.388916666666667</v>
      </c>
      <c r="V33" s="71"/>
      <c r="W33" s="61">
        <v>480</v>
      </c>
      <c r="X33" s="13">
        <f t="shared" si="21"/>
        <v>7866.68</v>
      </c>
      <c r="Y33" s="112"/>
      <c r="Z33" s="112"/>
    </row>
    <row r="34" spans="1:27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>
        <v>1518</v>
      </c>
      <c r="Q34" s="164"/>
      <c r="R34" s="24">
        <f t="shared" si="16"/>
        <v>1518</v>
      </c>
      <c r="S34" s="127">
        <f t="shared" si="5"/>
        <v>1392.6605504587155</v>
      </c>
      <c r="T34" s="5">
        <f t="shared" si="18"/>
        <v>125.33944954128447</v>
      </c>
      <c r="U34" s="94">
        <f t="shared" si="17"/>
        <v>2.8111111111111109</v>
      </c>
      <c r="V34" s="71"/>
      <c r="W34" s="61"/>
      <c r="X34" s="13"/>
      <c r="Y34" s="112"/>
      <c r="Z34" s="112"/>
    </row>
    <row r="35" spans="1:27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64"/>
      <c r="R35" s="24">
        <f t="shared" si="16"/>
        <v>0</v>
      </c>
      <c r="S35" s="127">
        <f t="shared" si="5"/>
        <v>0</v>
      </c>
      <c r="T35" s="5">
        <f t="shared" si="18"/>
        <v>0</v>
      </c>
      <c r="U35" s="94">
        <f t="shared" si="17"/>
        <v>0</v>
      </c>
      <c r="V35" s="71"/>
      <c r="W35" s="61">
        <v>270</v>
      </c>
      <c r="X35" s="13">
        <f t="shared" si="21"/>
        <v>0</v>
      </c>
      <c r="Y35" s="112"/>
      <c r="Z35" s="112"/>
    </row>
    <row r="36" spans="1:27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16.8</v>
      </c>
      <c r="F36" s="127">
        <v>22.8</v>
      </c>
      <c r="G36" s="127"/>
      <c r="H36" s="127"/>
      <c r="I36" s="127"/>
      <c r="J36" s="127"/>
      <c r="K36" s="127"/>
      <c r="L36" s="127"/>
      <c r="M36" s="127"/>
      <c r="N36" s="127"/>
      <c r="O36" s="127"/>
      <c r="P36" s="127">
        <v>58.8</v>
      </c>
      <c r="Q36" s="164"/>
      <c r="R36" s="24">
        <f t="shared" si="16"/>
        <v>98.4</v>
      </c>
      <c r="S36" s="127">
        <f t="shared" si="5"/>
        <v>90.275229357798167</v>
      </c>
      <c r="T36" s="5">
        <f t="shared" si="18"/>
        <v>8.1247706422018382</v>
      </c>
      <c r="U36" s="94">
        <f t="shared" si="17"/>
        <v>0.9111111111111112</v>
      </c>
      <c r="V36" s="71"/>
      <c r="W36" s="61">
        <v>432</v>
      </c>
      <c r="X36" s="13">
        <f t="shared" si="21"/>
        <v>393.6</v>
      </c>
      <c r="Y36" s="112"/>
      <c r="Z36" s="112"/>
    </row>
    <row r="37" spans="1:27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300</v>
      </c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>
        <v>100</v>
      </c>
      <c r="Q37" s="164"/>
      <c r="R37" s="24">
        <f t="shared" si="16"/>
        <v>400</v>
      </c>
      <c r="S37" s="127">
        <f t="shared" si="5"/>
        <v>366.97247706422013</v>
      </c>
      <c r="T37" s="5">
        <f t="shared" si="18"/>
        <v>33.027522935779871</v>
      </c>
      <c r="U37" s="94">
        <f t="shared" si="17"/>
        <v>0.44444444444444442</v>
      </c>
      <c r="V37" s="71"/>
      <c r="W37" s="61"/>
      <c r="X37" s="13"/>
      <c r="Y37" s="112"/>
      <c r="Z37" s="112"/>
    </row>
    <row r="38" spans="1:27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50</v>
      </c>
      <c r="F38" s="127">
        <v>50</v>
      </c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64"/>
      <c r="R38" s="24">
        <f t="shared" si="16"/>
        <v>100</v>
      </c>
      <c r="S38" s="127">
        <f t="shared" si="5"/>
        <v>91.743119266055032</v>
      </c>
      <c r="T38" s="5">
        <f t="shared" si="18"/>
        <v>8.2568807339449677</v>
      </c>
      <c r="U38" s="94">
        <f t="shared" si="17"/>
        <v>0.22222222222222221</v>
      </c>
      <c r="V38" s="71"/>
      <c r="W38" s="61">
        <v>450</v>
      </c>
      <c r="X38" s="13">
        <f t="shared" si="21"/>
        <v>100</v>
      </c>
      <c r="Y38" s="112"/>
      <c r="Z38" s="112"/>
    </row>
    <row r="39" spans="1:27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36.666666666666671</v>
      </c>
      <c r="F39" s="127">
        <v>288.67</v>
      </c>
      <c r="G39" s="127">
        <v>40</v>
      </c>
      <c r="H39" s="127">
        <f>20+20+20+20+8.67</f>
        <v>88.67</v>
      </c>
      <c r="I39" s="127"/>
      <c r="J39" s="127"/>
      <c r="K39" s="127"/>
      <c r="L39" s="127"/>
      <c r="M39" s="127"/>
      <c r="N39" s="127"/>
      <c r="O39" s="127"/>
      <c r="P39" s="127">
        <f>24+326</f>
        <v>350</v>
      </c>
      <c r="Q39" s="164"/>
      <c r="R39" s="24">
        <f t="shared" si="16"/>
        <v>804.00666666666666</v>
      </c>
      <c r="S39" s="127">
        <f t="shared" si="5"/>
        <v>737.62079510703359</v>
      </c>
      <c r="T39" s="5">
        <f t="shared" si="18"/>
        <v>66.385871559633074</v>
      </c>
      <c r="U39" s="94">
        <f t="shared" si="17"/>
        <v>4.4667037037037041</v>
      </c>
      <c r="V39" s="71"/>
      <c r="W39" s="61">
        <v>720</v>
      </c>
      <c r="X39" s="13">
        <f t="shared" si="21"/>
        <v>3216.0266666666671</v>
      </c>
      <c r="Y39" s="112"/>
      <c r="Z39" s="112"/>
    </row>
    <row r="40" spans="1:27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>
        <v>540</v>
      </c>
      <c r="Q40" s="164"/>
      <c r="R40" s="24">
        <f t="shared" si="16"/>
        <v>540</v>
      </c>
      <c r="S40" s="127">
        <f t="shared" si="5"/>
        <v>495.41284403669721</v>
      </c>
      <c r="T40" s="5">
        <f t="shared" si="18"/>
        <v>44.587155963302791</v>
      </c>
      <c r="U40" s="94">
        <f t="shared" si="17"/>
        <v>0.66666666666666663</v>
      </c>
      <c r="V40" s="71"/>
      <c r="W40" s="61"/>
      <c r="X40" s="13"/>
      <c r="Y40" s="112"/>
      <c r="Z40" s="112"/>
    </row>
    <row r="41" spans="1:27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64"/>
      <c r="R41" s="24">
        <f t="shared" si="16"/>
        <v>0</v>
      </c>
      <c r="S41" s="127">
        <f t="shared" si="5"/>
        <v>0</v>
      </c>
      <c r="T41" s="5">
        <f t="shared" si="18"/>
        <v>0</v>
      </c>
      <c r="U41" s="94">
        <f t="shared" si="17"/>
        <v>0</v>
      </c>
      <c r="V41" s="71"/>
      <c r="W41" s="61">
        <v>405</v>
      </c>
      <c r="X41" s="13">
        <f t="shared" si="21"/>
        <v>0</v>
      </c>
      <c r="Y41" s="112"/>
      <c r="Z41" s="112"/>
    </row>
    <row r="42" spans="1:27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>
        <v>22.2</v>
      </c>
      <c r="G42" s="221"/>
      <c r="H42" s="221"/>
      <c r="I42" s="221"/>
      <c r="J42" s="221"/>
      <c r="K42" s="221"/>
      <c r="L42" s="221"/>
      <c r="M42" s="221"/>
      <c r="N42" s="221"/>
      <c r="O42" s="221"/>
      <c r="P42" s="221">
        <f>18+76.2</f>
        <v>94.2</v>
      </c>
      <c r="Q42" s="351"/>
      <c r="R42" s="24">
        <f t="shared" si="16"/>
        <v>116.4</v>
      </c>
      <c r="S42" s="221">
        <f t="shared" si="5"/>
        <v>106.78899082568807</v>
      </c>
      <c r="T42" s="26">
        <f t="shared" si="18"/>
        <v>9.6110091743119312</v>
      </c>
      <c r="U42" s="244">
        <f t="shared" si="17"/>
        <v>0.71851851851851856</v>
      </c>
      <c r="V42" s="71"/>
      <c r="W42" s="61">
        <v>648</v>
      </c>
      <c r="X42" s="13">
        <f t="shared" si="21"/>
        <v>465.6</v>
      </c>
      <c r="Y42" s="112"/>
      <c r="Z42" s="112"/>
    </row>
    <row r="43" spans="1:27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141.36986301369859</v>
      </c>
      <c r="F43" s="124">
        <v>11014.520547944941</v>
      </c>
      <c r="G43" s="124">
        <v>1428.49</v>
      </c>
      <c r="H43" s="124">
        <f>70.66+163.56+110.96+1371.78+253.97</f>
        <v>1970.93</v>
      </c>
      <c r="I43" s="124"/>
      <c r="J43" s="124"/>
      <c r="K43" s="124"/>
      <c r="L43" s="124"/>
      <c r="M43" s="124">
        <v>15.62</v>
      </c>
      <c r="N43" s="124"/>
      <c r="O43" s="124"/>
      <c r="P43" s="124">
        <v>26.3</v>
      </c>
      <c r="Q43" s="352"/>
      <c r="R43" s="24">
        <f t="shared" si="16"/>
        <v>14597.23041095864</v>
      </c>
      <c r="S43" s="124">
        <f t="shared" si="5"/>
        <v>13391.954505466641</v>
      </c>
      <c r="T43" s="6">
        <f t="shared" si="18"/>
        <v>1205.2759054919989</v>
      </c>
      <c r="U43" s="22">
        <f t="shared" si="17"/>
        <v>1459.7230410958641</v>
      </c>
      <c r="V43" s="71"/>
      <c r="W43" s="61"/>
      <c r="X43" s="13"/>
      <c r="Y43" s="112"/>
      <c r="Z43" s="112"/>
    </row>
    <row r="44" spans="1:27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270.52</v>
      </c>
      <c r="F44" s="82">
        <f>+SUM(F45:F53)</f>
        <v>10529.84</v>
      </c>
      <c r="G44" s="82">
        <f t="shared" ref="G44:O44" si="22">+SUM(G45:G53)</f>
        <v>1729.99</v>
      </c>
      <c r="H44" s="82">
        <f t="shared" si="22"/>
        <v>403.76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64.78</v>
      </c>
      <c r="N44" s="100">
        <f t="shared" si="22"/>
        <v>0</v>
      </c>
      <c r="O44" s="100">
        <f t="shared" si="22"/>
        <v>31.16</v>
      </c>
      <c r="P44" s="100">
        <f t="shared" ref="P44:U44" si="23">+SUM(P45:P53)</f>
        <v>1095.1999999999998</v>
      </c>
      <c r="Q44" s="100">
        <f t="shared" si="23"/>
        <v>0</v>
      </c>
      <c r="R44" s="42">
        <f t="shared" si="23"/>
        <v>14125.249999999998</v>
      </c>
      <c r="S44" s="82">
        <f t="shared" si="23"/>
        <v>12958.944954128438</v>
      </c>
      <c r="T44" s="77">
        <f t="shared" si="23"/>
        <v>1166.3050458715602</v>
      </c>
      <c r="U44" s="44">
        <f t="shared" si="23"/>
        <v>664.36666666666667</v>
      </c>
      <c r="V44" s="71"/>
      <c r="W44" s="61"/>
      <c r="X44" s="105">
        <f>+SUM(X45:X61)</f>
        <v>11640.45</v>
      </c>
      <c r="Y44" s="112"/>
      <c r="Z44" s="112"/>
    </row>
    <row r="45" spans="1:27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64"/>
      <c r="R45" s="24">
        <f t="shared" ref="R45:R53" si="24">+SUM(E45:Q45)</f>
        <v>0</v>
      </c>
      <c r="S45" s="127">
        <f t="shared" si="5"/>
        <v>0</v>
      </c>
      <c r="T45" s="24">
        <f t="shared" ref="T45:T53" si="25">+R45-S45</f>
        <v>0</v>
      </c>
      <c r="U45" s="94">
        <f t="shared" ref="U45:U53" si="26">+R45/D45</f>
        <v>0</v>
      </c>
      <c r="V45" s="71"/>
      <c r="W45" s="61"/>
      <c r="X45" s="13"/>
      <c r="Y45" s="112"/>
      <c r="Z45" s="112"/>
      <c r="AA45"/>
    </row>
    <row r="46" spans="1:27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64"/>
      <c r="R46" s="24">
        <f t="shared" si="24"/>
        <v>0</v>
      </c>
      <c r="S46" s="127">
        <f t="shared" si="5"/>
        <v>0</v>
      </c>
      <c r="T46" s="5">
        <f t="shared" si="25"/>
        <v>0</v>
      </c>
      <c r="U46" s="94">
        <f t="shared" si="26"/>
        <v>0</v>
      </c>
      <c r="V46" s="71"/>
      <c r="W46" s="61">
        <v>6</v>
      </c>
      <c r="X46" s="13">
        <f t="shared" ref="X46:X47" si="27">+U46*W46</f>
        <v>0</v>
      </c>
      <c r="Y46" s="112"/>
      <c r="Z46" s="112"/>
    </row>
    <row r="47" spans="1:27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64"/>
      <c r="R47" s="24">
        <f t="shared" si="24"/>
        <v>0</v>
      </c>
      <c r="S47" s="127">
        <f t="shared" si="5"/>
        <v>0</v>
      </c>
      <c r="T47" s="5">
        <f t="shared" si="25"/>
        <v>0</v>
      </c>
      <c r="U47" s="94">
        <f t="shared" si="26"/>
        <v>0</v>
      </c>
      <c r="V47" s="71"/>
      <c r="W47" s="61">
        <v>9.6</v>
      </c>
      <c r="X47" s="13">
        <f t="shared" si="27"/>
        <v>0</v>
      </c>
      <c r="Y47" s="112"/>
      <c r="Z47" s="112"/>
    </row>
    <row r="48" spans="1:27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14</v>
      </c>
      <c r="F48" s="127">
        <v>343</v>
      </c>
      <c r="G48" s="127">
        <v>28</v>
      </c>
      <c r="H48" s="127">
        <v>35</v>
      </c>
      <c r="I48" s="127"/>
      <c r="J48" s="127"/>
      <c r="K48" s="127"/>
      <c r="L48" s="127"/>
      <c r="M48" s="127"/>
      <c r="N48" s="127"/>
      <c r="O48" s="127"/>
      <c r="P48" s="127"/>
      <c r="Q48" s="164"/>
      <c r="R48" s="24">
        <f t="shared" si="24"/>
        <v>420</v>
      </c>
      <c r="S48" s="127">
        <f t="shared" si="5"/>
        <v>385.32110091743118</v>
      </c>
      <c r="T48" s="5">
        <f t="shared" si="25"/>
        <v>34.678899082568819</v>
      </c>
      <c r="U48" s="94">
        <f t="shared" si="26"/>
        <v>20</v>
      </c>
      <c r="V48" s="71"/>
      <c r="W48" s="61"/>
      <c r="X48" s="13"/>
      <c r="Y48" s="112"/>
      <c r="Z48" s="112"/>
    </row>
    <row r="49" spans="1:26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63</v>
      </c>
      <c r="G49" s="127">
        <v>14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64"/>
      <c r="R49" s="24">
        <f t="shared" si="24"/>
        <v>77</v>
      </c>
      <c r="S49" s="127">
        <f t="shared" si="5"/>
        <v>70.642201834862377</v>
      </c>
      <c r="T49" s="5">
        <f t="shared" si="25"/>
        <v>6.3577981651376234</v>
      </c>
      <c r="U49" s="94">
        <f t="shared" si="26"/>
        <v>7.333333333333333</v>
      </c>
      <c r="V49" s="71"/>
      <c r="W49" s="61">
        <v>10.5</v>
      </c>
      <c r="X49" s="13">
        <f t="shared" ref="X49:X50" si="28">+U49*W49</f>
        <v>77</v>
      </c>
      <c r="Y49" s="112"/>
      <c r="Z49" s="112"/>
    </row>
    <row r="50" spans="1:26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5.6</v>
      </c>
      <c r="F50" s="127">
        <v>142.80000000000001</v>
      </c>
      <c r="G50" s="127">
        <v>23.8</v>
      </c>
      <c r="H50" s="127">
        <v>1.4</v>
      </c>
      <c r="I50" s="127"/>
      <c r="J50" s="127"/>
      <c r="K50" s="127"/>
      <c r="L50" s="127"/>
      <c r="M50" s="127"/>
      <c r="N50" s="127"/>
      <c r="O50" s="127"/>
      <c r="P50" s="127">
        <v>21</v>
      </c>
      <c r="Q50" s="164"/>
      <c r="R50" s="24">
        <f t="shared" si="24"/>
        <v>194.60000000000002</v>
      </c>
      <c r="S50" s="127">
        <f t="shared" si="5"/>
        <v>178.53211009174314</v>
      </c>
      <c r="T50" s="5">
        <f t="shared" si="25"/>
        <v>16.067889908256888</v>
      </c>
      <c r="U50" s="94">
        <f t="shared" si="26"/>
        <v>46.333333333333336</v>
      </c>
      <c r="V50" s="71"/>
      <c r="W50" s="61">
        <v>16.8</v>
      </c>
      <c r="X50" s="13">
        <f t="shared" si="28"/>
        <v>778.40000000000009</v>
      </c>
      <c r="Y50" s="112"/>
      <c r="Z50" s="112"/>
    </row>
    <row r="51" spans="1:26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188.6</v>
      </c>
      <c r="F51" s="127">
        <v>7626</v>
      </c>
      <c r="G51" s="127">
        <v>1205.4000000000001</v>
      </c>
      <c r="H51" s="127">
        <v>299.3</v>
      </c>
      <c r="I51" s="127"/>
      <c r="J51" s="127"/>
      <c r="K51" s="127"/>
      <c r="L51" s="127"/>
      <c r="M51" s="127">
        <v>57.4</v>
      </c>
      <c r="N51" s="127"/>
      <c r="O51" s="127">
        <v>24.6</v>
      </c>
      <c r="P51" s="127">
        <v>565.79999999999995</v>
      </c>
      <c r="Q51" s="164"/>
      <c r="R51" s="24">
        <f t="shared" si="24"/>
        <v>9967.0999999999985</v>
      </c>
      <c r="S51" s="127">
        <f t="shared" si="5"/>
        <v>9144.1284403669706</v>
      </c>
      <c r="T51" s="5">
        <f t="shared" si="25"/>
        <v>822.97155963302794</v>
      </c>
      <c r="U51" s="94">
        <f t="shared" si="26"/>
        <v>243.09999999999997</v>
      </c>
      <c r="V51" s="71"/>
      <c r="W51" s="61"/>
      <c r="X51" s="13"/>
      <c r="Y51" s="112"/>
      <c r="Z51" s="112"/>
    </row>
    <row r="52" spans="1:26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/>
      <c r="F52" s="123">
        <v>848.7</v>
      </c>
      <c r="G52" s="123">
        <v>145.55000000000001</v>
      </c>
      <c r="H52" s="123">
        <v>20.5</v>
      </c>
      <c r="I52" s="123"/>
      <c r="J52" s="123"/>
      <c r="K52" s="123"/>
      <c r="L52" s="127"/>
      <c r="M52" s="127"/>
      <c r="N52" s="127"/>
      <c r="O52" s="127"/>
      <c r="P52" s="123">
        <v>12.3</v>
      </c>
      <c r="Q52" s="164"/>
      <c r="R52" s="24">
        <f t="shared" si="24"/>
        <v>1027.05</v>
      </c>
      <c r="S52" s="127">
        <f t="shared" si="5"/>
        <v>942.24770642201827</v>
      </c>
      <c r="T52" s="5">
        <f t="shared" si="25"/>
        <v>84.802293577981686</v>
      </c>
      <c r="U52" s="94">
        <f t="shared" si="26"/>
        <v>50.099999999999994</v>
      </c>
      <c r="V52" s="71"/>
      <c r="W52" s="61">
        <v>20.5</v>
      </c>
      <c r="X52" s="13">
        <f t="shared" ref="X52:X53" si="29">+U52*W52</f>
        <v>1027.05</v>
      </c>
      <c r="Y52" s="112"/>
      <c r="Z52" s="112"/>
    </row>
    <row r="53" spans="1:26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62.32</v>
      </c>
      <c r="F53" s="199">
        <v>1506.34</v>
      </c>
      <c r="G53" s="199">
        <v>313.24</v>
      </c>
      <c r="H53" s="199">
        <v>47.56</v>
      </c>
      <c r="I53" s="199"/>
      <c r="J53" s="199"/>
      <c r="K53" s="199"/>
      <c r="L53" s="199"/>
      <c r="M53" s="148">
        <v>7.38</v>
      </c>
      <c r="N53" s="148"/>
      <c r="O53" s="148">
        <v>6.56</v>
      </c>
      <c r="P53" s="199">
        <f>3.28+492.82</f>
        <v>496.09999999999997</v>
      </c>
      <c r="Q53" s="353"/>
      <c r="R53" s="359">
        <f t="shared" si="24"/>
        <v>2439.5</v>
      </c>
      <c r="S53" s="140">
        <f t="shared" si="5"/>
        <v>2238.0733944954127</v>
      </c>
      <c r="T53" s="6">
        <f t="shared" si="25"/>
        <v>201.42660550458731</v>
      </c>
      <c r="U53" s="22">
        <f t="shared" si="26"/>
        <v>297.5</v>
      </c>
      <c r="V53" s="71"/>
      <c r="W53" s="61">
        <v>32.799999999999997</v>
      </c>
      <c r="X53" s="13">
        <f t="shared" si="29"/>
        <v>9758</v>
      </c>
      <c r="Y53" s="112"/>
      <c r="Z53" s="112"/>
    </row>
    <row r="54" spans="1:26" x14ac:dyDescent="0.25">
      <c r="F54" s="2"/>
      <c r="G54" s="2"/>
      <c r="H54" s="2"/>
      <c r="I54" s="2"/>
      <c r="J54" s="2"/>
      <c r="K54" s="2"/>
      <c r="L54" s="2"/>
      <c r="R54" s="2"/>
      <c r="S54" s="2"/>
      <c r="T54" s="2"/>
      <c r="U54" s="2"/>
    </row>
    <row r="66" spans="2:2" x14ac:dyDescent="0.25">
      <c r="B66" s="1"/>
    </row>
  </sheetData>
  <mergeCells count="19">
    <mergeCell ref="F3:F4"/>
    <mergeCell ref="A3:A4"/>
    <mergeCell ref="B3:B4"/>
    <mergeCell ref="C3:C4"/>
    <mergeCell ref="D3:D4"/>
    <mergeCell ref="E3:E4"/>
    <mergeCell ref="X3:X4"/>
    <mergeCell ref="G3:G4"/>
    <mergeCell ref="H3:H4"/>
    <mergeCell ref="I3:I4"/>
    <mergeCell ref="J3:J4"/>
    <mergeCell ref="K3:L3"/>
    <mergeCell ref="M3:M4"/>
    <mergeCell ref="P3:Q3"/>
    <mergeCell ref="R3:R4"/>
    <mergeCell ref="S3:S4"/>
    <mergeCell ref="T3:T4"/>
    <mergeCell ref="U3:U4"/>
    <mergeCell ref="N3:O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AA74"/>
  <sheetViews>
    <sheetView zoomScaleNormal="100" workbookViewId="0">
      <pane xSplit="4" ySplit="5" topLeftCell="N21" activePane="bottomRight" state="frozen"/>
      <selection pane="topRight" activeCell="E1" sqref="E1"/>
      <selection pane="bottomLeft" activeCell="A6" sqref="A6"/>
      <selection pane="bottomRight" activeCell="O28" sqref="O28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4.6640625" style="1" customWidth="1"/>
    <col min="16" max="16" width="13" style="1" customWidth="1"/>
    <col min="17" max="17" width="13" style="1" hidden="1" customWidth="1" outlineLevel="1"/>
    <col min="18" max="18" width="12.33203125" style="1" bestFit="1" customWidth="1" collapsed="1"/>
    <col min="19" max="20" width="12.33203125" style="1" customWidth="1"/>
    <col min="21" max="21" width="12.33203125" style="1" bestFit="1" customWidth="1"/>
    <col min="22" max="22" width="3.109375" style="1" customWidth="1"/>
    <col min="23" max="23" width="5.109375" style="1" customWidth="1"/>
    <col min="24" max="24" width="13.109375" style="2" customWidth="1"/>
    <col min="25" max="25" width="11.33203125" style="1" bestFit="1" customWidth="1"/>
    <col min="26" max="26" width="8.88671875" style="141"/>
    <col min="27" max="16384" width="8.88671875" style="1"/>
  </cols>
  <sheetData>
    <row r="1" spans="1:27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27" s="141" customFormat="1" ht="19.2" customHeight="1" x14ac:dyDescent="0.3">
      <c r="A2" s="40" t="s">
        <v>376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"/>
      <c r="S2" s="1"/>
      <c r="T2" s="1"/>
      <c r="U2" s="1"/>
      <c r="V2" s="1"/>
      <c r="W2" s="1"/>
      <c r="X2" s="2"/>
      <c r="Y2" s="1"/>
      <c r="AA2" s="1"/>
    </row>
    <row r="3" spans="1:27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"/>
      <c r="S3" s="3"/>
      <c r="T3" s="1"/>
      <c r="U3" s="3"/>
      <c r="V3" s="1"/>
      <c r="W3" s="1"/>
      <c r="X3" s="2"/>
      <c r="Y3" s="1"/>
      <c r="AA3" s="1"/>
    </row>
    <row r="4" spans="1:27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99" t="s">
        <v>387</v>
      </c>
      <c r="O4" s="599"/>
      <c r="P4" s="586" t="s">
        <v>178</v>
      </c>
      <c r="Q4" s="598"/>
      <c r="R4" s="590" t="s">
        <v>43</v>
      </c>
      <c r="S4" s="590" t="s">
        <v>44</v>
      </c>
      <c r="T4" s="590" t="s">
        <v>41</v>
      </c>
      <c r="U4" s="590" t="s">
        <v>149</v>
      </c>
      <c r="V4" s="1"/>
      <c r="W4" s="61"/>
      <c r="X4" s="584" t="s">
        <v>148</v>
      </c>
      <c r="Y4" s="1"/>
      <c r="AA4" s="1"/>
    </row>
    <row r="5" spans="1:27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378</v>
      </c>
      <c r="M5" s="575"/>
      <c r="N5" s="254" t="s">
        <v>203</v>
      </c>
      <c r="O5" s="254" t="s">
        <v>388</v>
      </c>
      <c r="P5" s="254" t="s">
        <v>203</v>
      </c>
      <c r="Q5" s="254" t="s">
        <v>379</v>
      </c>
      <c r="R5" s="591"/>
      <c r="S5" s="592"/>
      <c r="T5" s="592"/>
      <c r="U5" s="592"/>
      <c r="V5" s="1"/>
      <c r="W5" s="87"/>
      <c r="X5" s="585"/>
      <c r="Y5" s="1"/>
      <c r="AA5" s="1"/>
    </row>
    <row r="6" spans="1:27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U6" si="0">+E7+E19+E45</f>
        <v>97301.112831050239</v>
      </c>
      <c r="F6" s="82">
        <f t="shared" si="0"/>
        <v>4054717.7616895004</v>
      </c>
      <c r="G6" s="82">
        <f t="shared" si="0"/>
        <v>615915.0199999999</v>
      </c>
      <c r="H6" s="82">
        <f t="shared" si="0"/>
        <v>88908.29</v>
      </c>
      <c r="I6" s="82">
        <f t="shared" si="0"/>
        <v>766746.75</v>
      </c>
      <c r="J6" s="187">
        <f t="shared" si="0"/>
        <v>730169.65</v>
      </c>
      <c r="K6" s="187">
        <f t="shared" si="0"/>
        <v>939259.77999999991</v>
      </c>
      <c r="L6" s="187">
        <f t="shared" si="0"/>
        <v>1485.6799999999184</v>
      </c>
      <c r="M6" s="187">
        <f t="shared" si="0"/>
        <v>39285.299999999996</v>
      </c>
      <c r="N6" s="192">
        <f>+N7+N19+N45</f>
        <v>7830.01</v>
      </c>
      <c r="O6" s="192">
        <f>+O7+O19+O45</f>
        <v>9116.2900000000009</v>
      </c>
      <c r="P6" s="19">
        <f t="shared" si="0"/>
        <v>393991.3</v>
      </c>
      <c r="Q6" s="19">
        <f t="shared" si="0"/>
        <v>0</v>
      </c>
      <c r="R6" s="42">
        <f>+SUM(E6:Q6)</f>
        <v>7744726.9445205498</v>
      </c>
      <c r="S6" s="42">
        <f t="shared" si="0"/>
        <v>7105254.07754179</v>
      </c>
      <c r="T6" s="42">
        <f t="shared" si="0"/>
        <v>639472.86697876139</v>
      </c>
      <c r="U6" s="42">
        <f t="shared" si="0"/>
        <v>2270724.7131464994</v>
      </c>
      <c r="V6" s="71"/>
      <c r="W6" s="87"/>
      <c r="X6" s="135">
        <f>+X8+X19+X45</f>
        <v>3648866.7033333308</v>
      </c>
      <c r="Y6" s="1"/>
      <c r="AA6" s="1"/>
    </row>
    <row r="7" spans="1:27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U7" si="1">+E8+E12</f>
        <v>37224.92</v>
      </c>
      <c r="F7" s="82">
        <f t="shared" si="1"/>
        <v>1616740.48</v>
      </c>
      <c r="G7" s="82">
        <f t="shared" si="1"/>
        <v>243624.81999999992</v>
      </c>
      <c r="H7" s="82">
        <f t="shared" si="1"/>
        <v>33080.68</v>
      </c>
      <c r="I7" s="82">
        <f t="shared" si="1"/>
        <v>766746.75</v>
      </c>
      <c r="J7" s="187">
        <f t="shared" si="1"/>
        <v>730169.65</v>
      </c>
      <c r="K7" s="187">
        <f t="shared" si="1"/>
        <v>939259.77999999991</v>
      </c>
      <c r="L7" s="187">
        <f t="shared" si="1"/>
        <v>1485.6799999999184</v>
      </c>
      <c r="M7" s="187">
        <f t="shared" si="1"/>
        <v>16300.54</v>
      </c>
      <c r="N7" s="192">
        <f>+N8+N12</f>
        <v>7087.52</v>
      </c>
      <c r="O7" s="192">
        <f>+O8+O12</f>
        <v>5307.84</v>
      </c>
      <c r="P7" s="19">
        <f t="shared" si="1"/>
        <v>148378.79999999999</v>
      </c>
      <c r="Q7" s="19">
        <f t="shared" si="1"/>
        <v>0</v>
      </c>
      <c r="R7" s="42">
        <f t="shared" ref="R7:R8" si="2">+SUM(E7:Q7)</f>
        <v>4545407.4599999981</v>
      </c>
      <c r="S7" s="42">
        <f t="shared" si="1"/>
        <v>4170098.5871559628</v>
      </c>
      <c r="T7" s="42">
        <f t="shared" si="1"/>
        <v>375308.87284403684</v>
      </c>
      <c r="U7" s="44">
        <f t="shared" si="1"/>
        <v>2180055</v>
      </c>
      <c r="V7" s="1"/>
      <c r="W7" s="61"/>
      <c r="X7" s="13"/>
      <c r="Y7" s="1"/>
      <c r="AA7" s="1"/>
    </row>
    <row r="8" spans="1:27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766746.75</v>
      </c>
      <c r="J8" s="126">
        <f t="shared" si="3"/>
        <v>730169.65</v>
      </c>
      <c r="K8" s="79">
        <f t="shared" si="3"/>
        <v>0</v>
      </c>
      <c r="L8" s="79">
        <f t="shared" si="3"/>
        <v>0</v>
      </c>
      <c r="M8" s="79">
        <f t="shared" ref="M8:U8" si="4">+SUM(M9:M11)</f>
        <v>0</v>
      </c>
      <c r="N8" s="79">
        <f t="shared" si="4"/>
        <v>0</v>
      </c>
      <c r="O8" s="79">
        <f t="shared" si="4"/>
        <v>0</v>
      </c>
      <c r="P8" s="354">
        <f t="shared" si="4"/>
        <v>0</v>
      </c>
      <c r="Q8" s="354">
        <f t="shared" si="4"/>
        <v>0</v>
      </c>
      <c r="R8" s="43">
        <f t="shared" si="2"/>
        <v>1496916.4</v>
      </c>
      <c r="S8" s="43">
        <f t="shared" si="4"/>
        <v>1373317.7981651374</v>
      </c>
      <c r="T8" s="43">
        <f t="shared" si="4"/>
        <v>123598.60183486246</v>
      </c>
      <c r="U8" s="45">
        <f t="shared" si="4"/>
        <v>556650</v>
      </c>
      <c r="V8" s="71"/>
      <c r="W8" s="134"/>
      <c r="X8" s="105">
        <f>+SUM(X9:X18)</f>
        <v>1038853.54</v>
      </c>
      <c r="Z8" s="138"/>
    </row>
    <row r="9" spans="1:27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554533</v>
      </c>
      <c r="J9" s="127">
        <v>511514.5</v>
      </c>
      <c r="K9" s="36"/>
      <c r="L9" s="36"/>
      <c r="M9" s="36"/>
      <c r="N9" s="127"/>
      <c r="O9" s="127"/>
      <c r="P9" s="36"/>
      <c r="Q9" s="355"/>
      <c r="R9" s="24">
        <f>+SUM(E9:Q9)</f>
        <v>1066047.5</v>
      </c>
      <c r="S9" s="5">
        <f t="shared" ref="S9:S11" si="5">+R9/1.09</f>
        <v>978025.22935779812</v>
      </c>
      <c r="T9" s="5">
        <f t="shared" ref="T9:T11" si="6">+R9-S9</f>
        <v>88022.270642201882</v>
      </c>
      <c r="U9" s="21">
        <f>R9/D9</f>
        <v>304585</v>
      </c>
      <c r="V9" s="71"/>
      <c r="W9" s="61"/>
      <c r="X9" s="13"/>
      <c r="Y9" s="2"/>
      <c r="AA9" s="1"/>
    </row>
    <row r="10" spans="1:27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208871.25</v>
      </c>
      <c r="J10" s="127">
        <v>215167.75</v>
      </c>
      <c r="K10" s="143"/>
      <c r="L10" s="143"/>
      <c r="M10" s="143"/>
      <c r="N10" s="127"/>
      <c r="O10" s="127"/>
      <c r="P10" s="143"/>
      <c r="Q10" s="350"/>
      <c r="R10" s="24">
        <f t="shared" ref="R10:R54" si="8">+SUM(E10:Q10)</f>
        <v>424039</v>
      </c>
      <c r="S10" s="5">
        <f t="shared" si="5"/>
        <v>389026.60550458712</v>
      </c>
      <c r="T10" s="5">
        <f t="shared" si="6"/>
        <v>35012.394495412882</v>
      </c>
      <c r="U10" s="21">
        <f>R10/D10</f>
        <v>242308</v>
      </c>
      <c r="V10" s="71"/>
      <c r="W10" s="61">
        <v>1.75</v>
      </c>
      <c r="X10" s="13">
        <f>+U10*W10</f>
        <v>424039</v>
      </c>
      <c r="Y10" s="1"/>
      <c r="AA10" s="1"/>
    </row>
    <row r="11" spans="1:27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3342.5</v>
      </c>
      <c r="J11" s="144">
        <v>3487.3999999999996</v>
      </c>
      <c r="K11" s="144"/>
      <c r="L11" s="144"/>
      <c r="M11" s="144"/>
      <c r="N11" s="144"/>
      <c r="O11" s="144"/>
      <c r="P11" s="144"/>
      <c r="Q11" s="350"/>
      <c r="R11" s="24">
        <f t="shared" si="8"/>
        <v>6829.9</v>
      </c>
      <c r="S11" s="243">
        <f t="shared" si="5"/>
        <v>6265.9633027522932</v>
      </c>
      <c r="T11" s="243">
        <f t="shared" si="6"/>
        <v>563.93669724770643</v>
      </c>
      <c r="U11" s="244">
        <f>R11/D11</f>
        <v>9757</v>
      </c>
      <c r="V11" s="71"/>
      <c r="W11" s="107">
        <v>2.8</v>
      </c>
      <c r="X11" s="13">
        <f>+U11*W11</f>
        <v>27319.599999999999</v>
      </c>
      <c r="Y11" s="2"/>
      <c r="Z11" s="138"/>
      <c r="AA11" s="2"/>
    </row>
    <row r="12" spans="1:27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09">
        <f t="shared" ref="E12:U12" si="9">+SUM(E13:E18)</f>
        <v>37224.92</v>
      </c>
      <c r="F12" s="84">
        <f t="shared" si="9"/>
        <v>1616740.48</v>
      </c>
      <c r="G12" s="84">
        <f t="shared" si="9"/>
        <v>243624.81999999992</v>
      </c>
      <c r="H12" s="84">
        <f t="shared" si="9"/>
        <v>33080.68</v>
      </c>
      <c r="I12" s="84">
        <f t="shared" si="9"/>
        <v>0</v>
      </c>
      <c r="J12" s="74">
        <f t="shared" si="9"/>
        <v>0</v>
      </c>
      <c r="K12" s="101">
        <f t="shared" si="9"/>
        <v>939259.77999999991</v>
      </c>
      <c r="L12" s="101">
        <f t="shared" si="9"/>
        <v>1485.6799999999184</v>
      </c>
      <c r="M12" s="101">
        <f t="shared" si="9"/>
        <v>16300.54</v>
      </c>
      <c r="N12" s="101">
        <f t="shared" ref="N12:O12" si="10">+SUM(N13:N18)</f>
        <v>7087.52</v>
      </c>
      <c r="O12" s="101">
        <f t="shared" si="10"/>
        <v>5307.84</v>
      </c>
      <c r="P12" s="101">
        <f t="shared" si="9"/>
        <v>148378.79999999999</v>
      </c>
      <c r="Q12" s="101">
        <f t="shared" si="9"/>
        <v>0</v>
      </c>
      <c r="R12" s="43">
        <f t="shared" ref="R12" si="11">+SUM(R13:R18)</f>
        <v>3048491.06</v>
      </c>
      <c r="S12" s="43">
        <f t="shared" si="9"/>
        <v>2796780.7889908254</v>
      </c>
      <c r="T12" s="43">
        <f t="shared" si="9"/>
        <v>251710.27100917438</v>
      </c>
      <c r="U12" s="45">
        <f t="shared" si="9"/>
        <v>1623404.9999999998</v>
      </c>
      <c r="V12" s="71"/>
      <c r="W12" s="61"/>
      <c r="X12" s="13"/>
      <c r="Y12" s="1"/>
      <c r="AA12" s="1"/>
    </row>
    <row r="13" spans="1:27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29183</v>
      </c>
      <c r="F13" s="13">
        <v>1224139.3999999999</v>
      </c>
      <c r="G13" s="13">
        <v>176215.59999999998</v>
      </c>
      <c r="H13" s="13">
        <v>25075.599999999999</v>
      </c>
      <c r="I13" s="13"/>
      <c r="J13" s="33"/>
      <c r="K13" s="33">
        <v>720086.4</v>
      </c>
      <c r="L13" s="305">
        <v>1163.7999999999302</v>
      </c>
      <c r="M13" s="33">
        <v>11006.6</v>
      </c>
      <c r="N13" s="127">
        <v>5739.8</v>
      </c>
      <c r="O13" s="127">
        <f>4274.6-6.6</f>
        <v>4268</v>
      </c>
      <c r="P13" s="127">
        <v>130981.4</v>
      </c>
      <c r="Q13" s="164"/>
      <c r="R13" s="24">
        <f t="shared" si="8"/>
        <v>2327859.5999999996</v>
      </c>
      <c r="S13" s="5">
        <f t="shared" ref="S13:S18" si="12">+R13/1.09</f>
        <v>2135651.0091743115</v>
      </c>
      <c r="T13" s="5">
        <f t="shared" ref="T13:T18" si="13">+R13-S13</f>
        <v>192208.59082568809</v>
      </c>
      <c r="U13" s="21">
        <f t="shared" ref="U13:U18" si="14">R13/D13</f>
        <v>1058117.9999999998</v>
      </c>
      <c r="V13" s="2"/>
      <c r="W13" s="61"/>
      <c r="X13" s="13"/>
    </row>
    <row r="14" spans="1:27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7235.8</v>
      </c>
      <c r="F14" s="13">
        <v>363090.2</v>
      </c>
      <c r="G14" s="13">
        <v>62036.69999999999</v>
      </c>
      <c r="H14" s="13">
        <v>7572.4</v>
      </c>
      <c r="I14" s="13"/>
      <c r="J14" s="33"/>
      <c r="K14" s="33">
        <v>78222.100000000006</v>
      </c>
      <c r="L14" s="306">
        <v>114.39999999999418</v>
      </c>
      <c r="M14" s="33">
        <v>4893.9000000000005</v>
      </c>
      <c r="N14" s="127">
        <v>220</v>
      </c>
      <c r="O14" s="127">
        <v>116.6</v>
      </c>
      <c r="P14" s="127">
        <v>9642.6</v>
      </c>
      <c r="Q14" s="164"/>
      <c r="R14" s="24">
        <f t="shared" si="8"/>
        <v>533144.70000000007</v>
      </c>
      <c r="S14" s="5">
        <f t="shared" si="12"/>
        <v>489123.57798165141</v>
      </c>
      <c r="T14" s="5">
        <f t="shared" si="13"/>
        <v>44021.122018348658</v>
      </c>
      <c r="U14" s="21">
        <f t="shared" si="14"/>
        <v>484677</v>
      </c>
      <c r="V14" s="71"/>
      <c r="W14" s="107">
        <v>1.1000000000000001</v>
      </c>
      <c r="X14" s="13">
        <f t="shared" ref="X14:X15" si="15">+U14*W14</f>
        <v>533144.70000000007</v>
      </c>
    </row>
    <row r="15" spans="1:27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92.84</v>
      </c>
      <c r="F15" s="13">
        <v>4275.04</v>
      </c>
      <c r="G15" s="13">
        <v>691.24</v>
      </c>
      <c r="H15" s="13">
        <v>78.760000000000005</v>
      </c>
      <c r="I15" s="13"/>
      <c r="J15" s="33"/>
      <c r="K15" s="33">
        <v>1243.44</v>
      </c>
      <c r="L15" s="306">
        <v>0.44000000000005457</v>
      </c>
      <c r="M15" s="33">
        <v>121</v>
      </c>
      <c r="N15" s="127">
        <v>113.96</v>
      </c>
      <c r="O15" s="127">
        <v>381.48</v>
      </c>
      <c r="P15" s="127">
        <v>92.4</v>
      </c>
      <c r="Q15" s="164"/>
      <c r="R15" s="24">
        <f t="shared" si="8"/>
        <v>7090.6</v>
      </c>
      <c r="S15" s="5">
        <f t="shared" si="12"/>
        <v>6505.1376146788989</v>
      </c>
      <c r="T15" s="5">
        <f t="shared" si="13"/>
        <v>585.46238532110146</v>
      </c>
      <c r="U15" s="21">
        <f t="shared" si="14"/>
        <v>16115</v>
      </c>
      <c r="V15" s="71"/>
      <c r="W15" s="61">
        <v>1.76</v>
      </c>
      <c r="X15" s="13">
        <f t="shared" si="15"/>
        <v>28362.400000000001</v>
      </c>
    </row>
    <row r="16" spans="1:27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630.4</v>
      </c>
      <c r="F16" s="13">
        <v>20041.599999999999</v>
      </c>
      <c r="G16" s="13">
        <v>3500.8</v>
      </c>
      <c r="H16" s="13">
        <v>172.8</v>
      </c>
      <c r="I16" s="13"/>
      <c r="J16" s="33"/>
      <c r="K16" s="33">
        <v>122825.60000000001</v>
      </c>
      <c r="L16" s="306">
        <v>182.39999999999418</v>
      </c>
      <c r="M16" s="33">
        <v>224</v>
      </c>
      <c r="N16" s="127">
        <v>956.8</v>
      </c>
      <c r="O16" s="127">
        <v>492.8</v>
      </c>
      <c r="P16" s="127">
        <v>6780.8</v>
      </c>
      <c r="Q16" s="164"/>
      <c r="R16" s="24">
        <f t="shared" si="8"/>
        <v>155807.99999999997</v>
      </c>
      <c r="S16" s="5">
        <f t="shared" si="12"/>
        <v>142943.119266055</v>
      </c>
      <c r="T16" s="5">
        <f t="shared" si="13"/>
        <v>12864.88073394497</v>
      </c>
      <c r="U16" s="21">
        <f t="shared" si="14"/>
        <v>48689.999999999985</v>
      </c>
      <c r="V16" s="71"/>
      <c r="W16" s="61"/>
      <c r="X16" s="13"/>
    </row>
    <row r="17" spans="1:27" ht="14.4" x14ac:dyDescent="0.3">
      <c r="A17" s="58" t="s">
        <v>59</v>
      </c>
      <c r="B17" s="53" t="s">
        <v>193</v>
      </c>
      <c r="C17" s="59" t="s">
        <v>94</v>
      </c>
      <c r="D17" s="62">
        <v>1.6</v>
      </c>
      <c r="E17" s="130">
        <v>81.599999999999994</v>
      </c>
      <c r="F17" s="13">
        <v>5075.2</v>
      </c>
      <c r="G17" s="13">
        <v>1172.8</v>
      </c>
      <c r="H17" s="13">
        <v>176</v>
      </c>
      <c r="I17" s="13"/>
      <c r="J17" s="33"/>
      <c r="K17" s="33">
        <v>16593.599999999999</v>
      </c>
      <c r="L17" s="306">
        <v>24</v>
      </c>
      <c r="M17" s="33">
        <v>41.6</v>
      </c>
      <c r="N17" s="127">
        <v>41.6</v>
      </c>
      <c r="O17" s="127">
        <v>33.6</v>
      </c>
      <c r="P17" s="127">
        <v>881.6</v>
      </c>
      <c r="Q17" s="164"/>
      <c r="R17" s="24">
        <f t="shared" si="8"/>
        <v>24121.599999999991</v>
      </c>
      <c r="S17" s="5">
        <f t="shared" si="12"/>
        <v>22129.908256880724</v>
      </c>
      <c r="T17" s="5">
        <f t="shared" si="13"/>
        <v>1991.6917431192669</v>
      </c>
      <c r="U17" s="21">
        <f t="shared" si="14"/>
        <v>15075.999999999995</v>
      </c>
      <c r="V17" s="71"/>
      <c r="W17" s="107">
        <v>1.6</v>
      </c>
      <c r="X17" s="13">
        <f t="shared" ref="X17:X18" si="16">+U17*W17</f>
        <v>24121.599999999991</v>
      </c>
    </row>
    <row r="18" spans="1:27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2">
        <v>1.28</v>
      </c>
      <c r="F18" s="14">
        <v>119.04</v>
      </c>
      <c r="G18" s="13">
        <v>7.68</v>
      </c>
      <c r="H18" s="14">
        <v>5.12</v>
      </c>
      <c r="I18" s="14"/>
      <c r="J18" s="76"/>
      <c r="K18" s="76">
        <v>288.64</v>
      </c>
      <c r="L18" s="307">
        <v>0.63999999999998636</v>
      </c>
      <c r="M18" s="76">
        <v>13.44</v>
      </c>
      <c r="N18" s="127">
        <v>15.36</v>
      </c>
      <c r="O18" s="127">
        <v>15.36</v>
      </c>
      <c r="P18" s="127"/>
      <c r="Q18" s="164"/>
      <c r="R18" s="24">
        <f t="shared" si="8"/>
        <v>466.56</v>
      </c>
      <c r="S18" s="5">
        <f t="shared" si="12"/>
        <v>428.0366972477064</v>
      </c>
      <c r="T18" s="5">
        <f t="shared" si="13"/>
        <v>38.523302752293603</v>
      </c>
      <c r="U18" s="22">
        <f t="shared" si="14"/>
        <v>729</v>
      </c>
      <c r="V18" s="71"/>
      <c r="W18" s="61">
        <v>2.56</v>
      </c>
      <c r="X18" s="13">
        <f t="shared" si="16"/>
        <v>1866.24</v>
      </c>
    </row>
    <row r="19" spans="1:27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55963.352831050237</v>
      </c>
      <c r="F19" s="118">
        <f t="shared" ref="F19:U19" si="17">+SUM(F20:F44)</f>
        <v>2253280.7016895004</v>
      </c>
      <c r="G19" s="118">
        <f t="shared" si="17"/>
        <v>341960.27999999997</v>
      </c>
      <c r="H19" s="118">
        <f t="shared" si="17"/>
        <v>51064.03</v>
      </c>
      <c r="I19" s="118">
        <f t="shared" si="17"/>
        <v>0</v>
      </c>
      <c r="J19" s="118">
        <f t="shared" si="17"/>
        <v>0</v>
      </c>
      <c r="K19" s="118">
        <f t="shared" si="17"/>
        <v>0</v>
      </c>
      <c r="L19" s="118">
        <f t="shared" si="17"/>
        <v>0</v>
      </c>
      <c r="M19" s="118">
        <f t="shared" si="17"/>
        <v>21649.24</v>
      </c>
      <c r="N19" s="231">
        <f t="shared" ref="N19:O19" si="18">+SUM(N20:N44)</f>
        <v>432.67</v>
      </c>
      <c r="O19" s="231">
        <f t="shared" si="18"/>
        <v>3238.01</v>
      </c>
      <c r="P19" s="118">
        <f t="shared" si="17"/>
        <v>225693.21000000002</v>
      </c>
      <c r="Q19" s="118">
        <f t="shared" si="17"/>
        <v>0</v>
      </c>
      <c r="R19" s="42">
        <f>+SUM(R20:R44)</f>
        <v>2953281.4945205506</v>
      </c>
      <c r="S19" s="118">
        <f t="shared" si="17"/>
        <v>2709432.5637803222</v>
      </c>
      <c r="T19" s="118">
        <f t="shared" si="17"/>
        <v>243848.93074022909</v>
      </c>
      <c r="U19" s="253">
        <f t="shared" si="17"/>
        <v>51835.846479832573</v>
      </c>
      <c r="V19" s="71"/>
      <c r="W19" s="61"/>
      <c r="X19" s="105">
        <f>+SUM(X20:X43)</f>
        <v>2204209.9533333308</v>
      </c>
    </row>
    <row r="20" spans="1:27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34740.000000000007</v>
      </c>
      <c r="F20" s="92">
        <v>1358823.3333333393</v>
      </c>
      <c r="G20" s="92">
        <v>197163.33</v>
      </c>
      <c r="H20" s="92">
        <v>28853.33</v>
      </c>
      <c r="I20" s="23"/>
      <c r="J20" s="34"/>
      <c r="K20" s="34"/>
      <c r="L20" s="34"/>
      <c r="M20" s="34">
        <v>13600</v>
      </c>
      <c r="N20" s="127">
        <v>333.33</v>
      </c>
      <c r="O20" s="127">
        <f>2290</f>
        <v>2290</v>
      </c>
      <c r="P20" s="367">
        <v>121680</v>
      </c>
      <c r="Q20" s="356"/>
      <c r="R20" s="24">
        <f t="shared" si="8"/>
        <v>1757483.3233333395</v>
      </c>
      <c r="S20" s="99">
        <f t="shared" ref="S20:S44" si="19">+R20/1.09</f>
        <v>1612370.0214067334</v>
      </c>
      <c r="T20" s="24">
        <f>+R20-S20</f>
        <v>145113.3019266061</v>
      </c>
      <c r="U20" s="94">
        <f t="shared" ref="U20:U43" si="20">R20/D20</f>
        <v>17574.833233333396</v>
      </c>
      <c r="V20" s="41"/>
      <c r="W20" s="61"/>
      <c r="X20" s="106"/>
      <c r="Y20"/>
      <c r="Z20" s="142"/>
      <c r="AA20"/>
    </row>
    <row r="21" spans="1:27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7155.0000000000009</v>
      </c>
      <c r="F21" s="48">
        <v>376211.66666666331</v>
      </c>
      <c r="G21" s="48">
        <v>54225</v>
      </c>
      <c r="H21" s="48">
        <v>10383.33</v>
      </c>
      <c r="I21" s="13"/>
      <c r="J21" s="33"/>
      <c r="K21" s="33"/>
      <c r="L21" s="33"/>
      <c r="M21" s="33">
        <v>4570</v>
      </c>
      <c r="N21" s="127">
        <v>1.67</v>
      </c>
      <c r="O21" s="127"/>
      <c r="P21" s="36">
        <v>6270</v>
      </c>
      <c r="Q21" s="357"/>
      <c r="R21" s="24">
        <f t="shared" si="8"/>
        <v>458816.66666666331</v>
      </c>
      <c r="S21" s="5">
        <f t="shared" si="19"/>
        <v>420932.72171253513</v>
      </c>
      <c r="T21" s="5">
        <f t="shared" ref="T21:T44" si="21">+R21-S21</f>
        <v>37883.944954128179</v>
      </c>
      <c r="U21" s="21">
        <f t="shared" si="20"/>
        <v>9176.3333333332666</v>
      </c>
      <c r="V21" s="41"/>
      <c r="W21" s="61">
        <v>50</v>
      </c>
      <c r="X21" s="13">
        <f t="shared" ref="X21:X22" si="22">+U21*W21</f>
        <v>458816.66666666331</v>
      </c>
      <c r="Z21" s="142"/>
    </row>
    <row r="22" spans="1:27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8397.33</v>
      </c>
      <c r="F22" s="95">
        <v>318851.33</v>
      </c>
      <c r="G22" s="95">
        <f>555.33+55450</f>
        <v>56005.33</v>
      </c>
      <c r="H22" s="95">
        <v>4380</v>
      </c>
      <c r="I22" s="13"/>
      <c r="J22" s="33"/>
      <c r="K22" s="33"/>
      <c r="L22" s="33"/>
      <c r="M22" s="33">
        <f>152.67+1902.67</f>
        <v>2055.34</v>
      </c>
      <c r="N22" s="127">
        <v>52.67</v>
      </c>
      <c r="O22" s="127">
        <v>619.34</v>
      </c>
      <c r="P22" s="36">
        <f>356+36304.67</f>
        <v>36660.67</v>
      </c>
      <c r="Q22" s="357"/>
      <c r="R22" s="24">
        <f t="shared" si="8"/>
        <v>427022.01000000007</v>
      </c>
      <c r="S22" s="5">
        <f t="shared" si="19"/>
        <v>391763.31192660553</v>
      </c>
      <c r="T22" s="5">
        <f t="shared" si="21"/>
        <v>35258.698073394538</v>
      </c>
      <c r="U22" s="21">
        <f t="shared" si="20"/>
        <v>21351.100500000004</v>
      </c>
      <c r="V22" s="41"/>
      <c r="W22" s="61">
        <v>80</v>
      </c>
      <c r="X22" s="13">
        <f t="shared" si="22"/>
        <v>1708088.0400000003</v>
      </c>
      <c r="Y22" s="112"/>
      <c r="Z22" s="142"/>
    </row>
    <row r="23" spans="1:27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5172</v>
      </c>
      <c r="F23" s="95">
        <v>184101</v>
      </c>
      <c r="G23" s="95">
        <v>32358</v>
      </c>
      <c r="H23" s="95">
        <v>6402</v>
      </c>
      <c r="I23" s="13"/>
      <c r="J23" s="33"/>
      <c r="K23" s="33"/>
      <c r="L23" s="33"/>
      <c r="M23" s="33">
        <v>1320</v>
      </c>
      <c r="N23" s="127">
        <v>45</v>
      </c>
      <c r="O23" s="127">
        <v>318</v>
      </c>
      <c r="P23" s="33">
        <v>51711</v>
      </c>
      <c r="Q23" s="357"/>
      <c r="R23" s="24">
        <f t="shared" si="8"/>
        <v>281427</v>
      </c>
      <c r="S23" s="5">
        <f t="shared" si="19"/>
        <v>258189.90825688071</v>
      </c>
      <c r="T23" s="5">
        <f t="shared" si="21"/>
        <v>23237.091743119294</v>
      </c>
      <c r="U23" s="21">
        <f t="shared" si="20"/>
        <v>3126.9666666666667</v>
      </c>
      <c r="V23" s="41"/>
      <c r="W23" s="61"/>
      <c r="X23" s="13"/>
      <c r="Z23" s="142"/>
    </row>
    <row r="24" spans="1:27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213</v>
      </c>
      <c r="F24" s="95">
        <v>10339.5</v>
      </c>
      <c r="G24" s="95">
        <v>1585.5</v>
      </c>
      <c r="H24" s="95">
        <v>562.5</v>
      </c>
      <c r="I24" s="13"/>
      <c r="J24" s="33"/>
      <c r="K24" s="33"/>
      <c r="L24" s="33"/>
      <c r="M24" s="33">
        <v>27</v>
      </c>
      <c r="N24" s="127"/>
      <c r="O24" s="127"/>
      <c r="P24" s="33">
        <v>1425</v>
      </c>
      <c r="Q24" s="357"/>
      <c r="R24" s="24">
        <f t="shared" si="8"/>
        <v>14152.5</v>
      </c>
      <c r="S24" s="5">
        <f t="shared" si="19"/>
        <v>12983.944954128439</v>
      </c>
      <c r="T24" s="5">
        <f t="shared" si="21"/>
        <v>1168.5550458715607</v>
      </c>
      <c r="U24" s="21">
        <f t="shared" si="20"/>
        <v>314.5</v>
      </c>
      <c r="V24" s="35"/>
      <c r="W24" s="61">
        <v>45</v>
      </c>
      <c r="X24" s="13">
        <f t="shared" ref="X24:X25" si="23">+U24*W24</f>
        <v>14152.5</v>
      </c>
      <c r="Z24" s="142"/>
    </row>
    <row r="25" spans="1:27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225</v>
      </c>
      <c r="F25" s="95">
        <v>2136.6</v>
      </c>
      <c r="G25" s="95">
        <f>26.4+448.8</f>
        <v>475.2</v>
      </c>
      <c r="H25" s="95">
        <v>63.6</v>
      </c>
      <c r="I25" s="13"/>
      <c r="J25" s="33"/>
      <c r="K25" s="33"/>
      <c r="L25" s="33"/>
      <c r="M25" s="33">
        <v>57</v>
      </c>
      <c r="N25" s="127"/>
      <c r="O25" s="127"/>
      <c r="P25" s="33">
        <f>18+764.4</f>
        <v>782.4</v>
      </c>
      <c r="Q25" s="357"/>
      <c r="R25" s="24">
        <f t="shared" si="8"/>
        <v>3739.7999999999997</v>
      </c>
      <c r="S25" s="5">
        <f t="shared" si="19"/>
        <v>3431.009174311926</v>
      </c>
      <c r="T25" s="5">
        <f t="shared" si="21"/>
        <v>308.79082568807371</v>
      </c>
      <c r="U25" s="21">
        <f t="shared" si="20"/>
        <v>207.76666666666665</v>
      </c>
      <c r="V25" s="35"/>
      <c r="W25" s="61">
        <v>72</v>
      </c>
      <c r="X25" s="13">
        <f t="shared" si="23"/>
        <v>14959.199999999999</v>
      </c>
      <c r="Z25" s="142"/>
    </row>
    <row r="26" spans="1:27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>
        <v>46.666666666666657</v>
      </c>
      <c r="F26" s="95">
        <v>766.66666666666652</v>
      </c>
      <c r="G26" s="95">
        <v>16.670000000000002</v>
      </c>
      <c r="H26" s="95">
        <v>146.66999999999999</v>
      </c>
      <c r="I26" s="13"/>
      <c r="J26" s="33"/>
      <c r="K26" s="33"/>
      <c r="L26" s="33"/>
      <c r="M26" s="33"/>
      <c r="N26" s="127"/>
      <c r="O26" s="127"/>
      <c r="P26" s="33">
        <v>1160</v>
      </c>
      <c r="Q26" s="357"/>
      <c r="R26" s="24">
        <f t="shared" si="8"/>
        <v>2136.6733333333332</v>
      </c>
      <c r="S26" s="5">
        <f t="shared" si="19"/>
        <v>1960.2507645259936</v>
      </c>
      <c r="T26" s="5">
        <f t="shared" si="21"/>
        <v>176.42256880733953</v>
      </c>
      <c r="U26" s="21">
        <f t="shared" si="20"/>
        <v>7.1222444444444442</v>
      </c>
      <c r="V26" s="35"/>
      <c r="W26" s="61"/>
      <c r="X26" s="13"/>
      <c r="Z26" s="142"/>
    </row>
    <row r="27" spans="1:27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914.99999999999989</v>
      </c>
      <c r="G27" s="95">
        <v>8.33</v>
      </c>
      <c r="H27" s="95">
        <v>140</v>
      </c>
      <c r="I27" s="13"/>
      <c r="J27" s="33"/>
      <c r="K27" s="33"/>
      <c r="L27" s="33"/>
      <c r="M27" s="33"/>
      <c r="N27" s="127"/>
      <c r="O27" s="127"/>
      <c r="P27" s="33">
        <v>220</v>
      </c>
      <c r="Q27" s="357"/>
      <c r="R27" s="24">
        <f t="shared" si="8"/>
        <v>1283.33</v>
      </c>
      <c r="S27" s="5">
        <f t="shared" si="19"/>
        <v>1177.3669724770641</v>
      </c>
      <c r="T27" s="5">
        <f t="shared" si="21"/>
        <v>105.96302752293582</v>
      </c>
      <c r="U27" s="21">
        <f t="shared" si="20"/>
        <v>8.555533333333333</v>
      </c>
      <c r="V27" s="35"/>
      <c r="W27" s="61">
        <v>150</v>
      </c>
      <c r="X27" s="13">
        <f t="shared" ref="X27:X43" si="24">+U27*W27</f>
        <v>1283.33</v>
      </c>
      <c r="Z27" s="142"/>
    </row>
    <row r="28" spans="1:27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9.3333333333333339</v>
      </c>
      <c r="F28" s="95">
        <v>718</v>
      </c>
      <c r="G28" s="95">
        <v>96.67</v>
      </c>
      <c r="H28" s="95">
        <v>18</v>
      </c>
      <c r="I28" s="13"/>
      <c r="J28" s="33"/>
      <c r="K28" s="33"/>
      <c r="L28" s="33"/>
      <c r="M28" s="33"/>
      <c r="N28" s="127"/>
      <c r="O28" s="127">
        <v>10.67</v>
      </c>
      <c r="P28" s="33">
        <f>28.67+634</f>
        <v>662.67</v>
      </c>
      <c r="Q28" s="357"/>
      <c r="R28" s="24">
        <f t="shared" si="8"/>
        <v>1515.3433333333332</v>
      </c>
      <c r="S28" s="5">
        <f t="shared" si="19"/>
        <v>1390.2232415902138</v>
      </c>
      <c r="T28" s="5">
        <f t="shared" si="21"/>
        <v>125.12009174311947</v>
      </c>
      <c r="U28" s="21">
        <f t="shared" si="20"/>
        <v>25.255722222222222</v>
      </c>
      <c r="V28" s="35"/>
      <c r="W28" s="61">
        <v>240</v>
      </c>
      <c r="X28" s="13">
        <f t="shared" si="24"/>
        <v>6061.373333333333</v>
      </c>
      <c r="Z28" s="142"/>
    </row>
    <row r="29" spans="1:27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138</v>
      </c>
      <c r="G29" s="95"/>
      <c r="H29" s="95"/>
      <c r="I29" s="13"/>
      <c r="J29" s="33"/>
      <c r="K29" s="33"/>
      <c r="L29" s="33"/>
      <c r="M29" s="33"/>
      <c r="N29" s="127"/>
      <c r="O29" s="127"/>
      <c r="P29" s="33">
        <v>5013</v>
      </c>
      <c r="Q29" s="357"/>
      <c r="R29" s="24">
        <f t="shared" si="8"/>
        <v>5151</v>
      </c>
      <c r="S29" s="5">
        <f t="shared" si="19"/>
        <v>4725.6880733944954</v>
      </c>
      <c r="T29" s="5">
        <f t="shared" si="21"/>
        <v>425.3119266055046</v>
      </c>
      <c r="U29" s="21">
        <f t="shared" si="20"/>
        <v>19.077777777777779</v>
      </c>
      <c r="V29" s="35"/>
      <c r="W29" s="61"/>
      <c r="X29" s="13"/>
      <c r="Z29" s="142"/>
    </row>
    <row r="30" spans="1:27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1.5</v>
      </c>
      <c r="G30" s="95"/>
      <c r="H30" s="95"/>
      <c r="I30" s="13"/>
      <c r="J30" s="33"/>
      <c r="K30" s="33"/>
      <c r="L30" s="33"/>
      <c r="M30" s="33"/>
      <c r="N30" s="127"/>
      <c r="O30" s="127"/>
      <c r="P30" s="33"/>
      <c r="Q30" s="357"/>
      <c r="R30" s="24">
        <f t="shared" si="8"/>
        <v>1.5</v>
      </c>
      <c r="S30" s="5">
        <f t="shared" si="19"/>
        <v>1.3761467889908257</v>
      </c>
      <c r="T30" s="5">
        <f t="shared" si="21"/>
        <v>0.12385321100917435</v>
      </c>
      <c r="U30" s="21">
        <f t="shared" si="20"/>
        <v>1.1111111111111112E-2</v>
      </c>
      <c r="V30" s="35"/>
      <c r="W30" s="61">
        <v>135</v>
      </c>
      <c r="X30" s="13">
        <f t="shared" si="24"/>
        <v>1.5</v>
      </c>
      <c r="Z30" s="142"/>
    </row>
    <row r="31" spans="1:27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/>
      <c r="F31" s="95"/>
      <c r="G31" s="95"/>
      <c r="H31" s="95"/>
      <c r="I31" s="13"/>
      <c r="J31" s="33"/>
      <c r="K31" s="33"/>
      <c r="L31" s="33"/>
      <c r="M31" s="33">
        <v>16.2</v>
      </c>
      <c r="N31" s="127"/>
      <c r="O31" s="127"/>
      <c r="P31" s="33">
        <v>1.2</v>
      </c>
      <c r="Q31" s="357"/>
      <c r="R31" s="24">
        <f t="shared" si="8"/>
        <v>17.399999999999999</v>
      </c>
      <c r="S31" s="5">
        <f t="shared" si="19"/>
        <v>15.963302752293576</v>
      </c>
      <c r="T31" s="5">
        <f t="shared" si="21"/>
        <v>1.436697247706423</v>
      </c>
      <c r="U31" s="21">
        <f t="shared" si="20"/>
        <v>0.32222222222222219</v>
      </c>
      <c r="V31" s="35"/>
      <c r="W31" s="61">
        <v>216</v>
      </c>
      <c r="X31" s="13">
        <f t="shared" si="24"/>
        <v>69.599999999999994</v>
      </c>
      <c r="Z31" s="142"/>
    </row>
    <row r="32" spans="1:27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/>
      <c r="G32" s="95"/>
      <c r="H32" s="95"/>
      <c r="I32" s="13"/>
      <c r="J32" s="33"/>
      <c r="K32" s="33"/>
      <c r="L32" s="33"/>
      <c r="M32" s="33"/>
      <c r="N32" s="127"/>
      <c r="O32" s="127"/>
      <c r="P32" s="33"/>
      <c r="Q32" s="357"/>
      <c r="R32" s="24">
        <f t="shared" si="8"/>
        <v>0</v>
      </c>
      <c r="S32" s="5">
        <f t="shared" si="19"/>
        <v>0</v>
      </c>
      <c r="T32" s="5">
        <f t="shared" si="21"/>
        <v>0</v>
      </c>
      <c r="U32" s="21">
        <f t="shared" si="20"/>
        <v>0</v>
      </c>
      <c r="V32" s="35"/>
      <c r="W32" s="61"/>
      <c r="X32" s="13"/>
      <c r="Z32" s="142"/>
    </row>
    <row r="33" spans="1:27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41.666666666666657</v>
      </c>
      <c r="G33" s="95">
        <v>8.33</v>
      </c>
      <c r="H33" s="95"/>
      <c r="I33" s="13"/>
      <c r="J33" s="33"/>
      <c r="K33" s="33"/>
      <c r="L33" s="33"/>
      <c r="M33" s="33"/>
      <c r="N33" s="127"/>
      <c r="O33" s="127"/>
      <c r="P33" s="33"/>
      <c r="Q33" s="357"/>
      <c r="R33" s="24">
        <f t="shared" si="8"/>
        <v>49.996666666666655</v>
      </c>
      <c r="S33" s="5">
        <f t="shared" si="19"/>
        <v>45.868501529051976</v>
      </c>
      <c r="T33" s="5">
        <f t="shared" si="21"/>
        <v>4.1281651376146797</v>
      </c>
      <c r="U33" s="21">
        <f t="shared" si="20"/>
        <v>0.16665555555555553</v>
      </c>
      <c r="V33" s="35"/>
      <c r="W33" s="61">
        <v>300</v>
      </c>
      <c r="X33" s="13">
        <f t="shared" si="24"/>
        <v>49.996666666666655</v>
      </c>
      <c r="Z33" s="142"/>
    </row>
    <row r="34" spans="1:27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0.66666666666666674</v>
      </c>
      <c r="F34" s="95">
        <v>74</v>
      </c>
      <c r="G34" s="95"/>
      <c r="H34" s="95"/>
      <c r="I34" s="13"/>
      <c r="J34" s="33"/>
      <c r="K34" s="33"/>
      <c r="L34" s="33"/>
      <c r="M34" s="33"/>
      <c r="N34" s="127"/>
      <c r="O34" s="127"/>
      <c r="P34" s="33">
        <v>56.67</v>
      </c>
      <c r="Q34" s="357"/>
      <c r="R34" s="24">
        <f t="shared" si="8"/>
        <v>131.33666666666667</v>
      </c>
      <c r="S34" s="5">
        <f t="shared" si="19"/>
        <v>120.49235474006116</v>
      </c>
      <c r="T34" s="5">
        <f t="shared" si="21"/>
        <v>10.844311926605513</v>
      </c>
      <c r="U34" s="21">
        <f t="shared" si="20"/>
        <v>1.0944722222222223</v>
      </c>
      <c r="V34" s="35"/>
      <c r="W34" s="61">
        <v>480</v>
      </c>
      <c r="X34" s="13">
        <f t="shared" si="24"/>
        <v>525.34666666666669</v>
      </c>
      <c r="Z34" s="142"/>
    </row>
    <row r="35" spans="1:27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127"/>
      <c r="O35" s="127"/>
      <c r="P35" s="33"/>
      <c r="Q35" s="357"/>
      <c r="R35" s="24">
        <f t="shared" si="8"/>
        <v>0</v>
      </c>
      <c r="S35" s="5">
        <f t="shared" si="19"/>
        <v>0</v>
      </c>
      <c r="T35" s="5">
        <f t="shared" si="21"/>
        <v>0</v>
      </c>
      <c r="U35" s="21">
        <f t="shared" si="20"/>
        <v>0</v>
      </c>
      <c r="V35" s="35"/>
      <c r="W35" s="61"/>
      <c r="X35" s="13"/>
      <c r="Z35" s="142"/>
    </row>
    <row r="36" spans="1:27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127"/>
      <c r="O36" s="127"/>
      <c r="P36" s="33"/>
      <c r="Q36" s="357"/>
      <c r="R36" s="24">
        <f t="shared" si="8"/>
        <v>0</v>
      </c>
      <c r="S36" s="5">
        <f t="shared" si="19"/>
        <v>0</v>
      </c>
      <c r="T36" s="5">
        <f t="shared" si="21"/>
        <v>0</v>
      </c>
      <c r="U36" s="21">
        <f t="shared" si="20"/>
        <v>0</v>
      </c>
      <c r="V36" s="35"/>
      <c r="W36" s="61">
        <v>270</v>
      </c>
      <c r="X36" s="13">
        <f t="shared" si="24"/>
        <v>0</v>
      </c>
      <c r="Z36" s="142"/>
    </row>
    <row r="37" spans="1:27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/>
      <c r="I37" s="13"/>
      <c r="J37" s="33"/>
      <c r="K37" s="33"/>
      <c r="L37" s="33"/>
      <c r="M37" s="33"/>
      <c r="N37" s="127"/>
      <c r="O37" s="127"/>
      <c r="P37" s="33">
        <v>17.399999999999999</v>
      </c>
      <c r="Q37" s="357"/>
      <c r="R37" s="24">
        <f t="shared" si="8"/>
        <v>17.399999999999999</v>
      </c>
      <c r="S37" s="5">
        <f t="shared" si="19"/>
        <v>15.963302752293576</v>
      </c>
      <c r="T37" s="5">
        <f t="shared" si="21"/>
        <v>1.436697247706423</v>
      </c>
      <c r="U37" s="21">
        <f t="shared" si="20"/>
        <v>0.16111111111111109</v>
      </c>
      <c r="V37" s="35"/>
      <c r="W37" s="61">
        <v>432</v>
      </c>
      <c r="X37" s="13">
        <f t="shared" si="24"/>
        <v>69.599999999999994</v>
      </c>
      <c r="Z37" s="142"/>
    </row>
    <row r="38" spans="1:27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>
        <v>80</v>
      </c>
      <c r="I38" s="13"/>
      <c r="J38" s="33"/>
      <c r="K38" s="33"/>
      <c r="L38" s="33"/>
      <c r="M38" s="33"/>
      <c r="N38" s="127"/>
      <c r="O38" s="127"/>
      <c r="P38" s="33"/>
      <c r="Q38" s="357"/>
      <c r="R38" s="24">
        <f t="shared" si="8"/>
        <v>80</v>
      </c>
      <c r="S38" s="5">
        <f t="shared" si="19"/>
        <v>73.394495412844037</v>
      </c>
      <c r="T38" s="5">
        <f t="shared" si="21"/>
        <v>6.6055045871559628</v>
      </c>
      <c r="U38" s="21">
        <f t="shared" si="20"/>
        <v>8.8888888888888892E-2</v>
      </c>
      <c r="V38" s="35"/>
      <c r="W38" s="61"/>
      <c r="X38" s="13"/>
      <c r="Z38" s="142"/>
    </row>
    <row r="39" spans="1:27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/>
      <c r="G39" s="95"/>
      <c r="H39" s="95"/>
      <c r="I39" s="13"/>
      <c r="J39" s="33"/>
      <c r="K39" s="33"/>
      <c r="L39" s="33"/>
      <c r="M39" s="33"/>
      <c r="N39" s="127"/>
      <c r="O39" s="127"/>
      <c r="P39" s="33"/>
      <c r="Q39" s="357"/>
      <c r="R39" s="24">
        <f t="shared" si="8"/>
        <v>0</v>
      </c>
      <c r="S39" s="5">
        <f t="shared" si="19"/>
        <v>0</v>
      </c>
      <c r="T39" s="5">
        <f t="shared" si="21"/>
        <v>0</v>
      </c>
      <c r="U39" s="21">
        <f t="shared" si="20"/>
        <v>0</v>
      </c>
      <c r="V39" s="35"/>
      <c r="W39" s="61">
        <v>450</v>
      </c>
      <c r="X39" s="13">
        <f t="shared" si="24"/>
        <v>0</v>
      </c>
      <c r="Z39" s="142"/>
    </row>
    <row r="40" spans="1:27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95"/>
      <c r="G40" s="95"/>
      <c r="H40" s="95"/>
      <c r="I40" s="13"/>
      <c r="J40" s="33"/>
      <c r="K40" s="33"/>
      <c r="L40" s="33"/>
      <c r="M40" s="33"/>
      <c r="N40" s="127"/>
      <c r="O40" s="127"/>
      <c r="P40" s="33">
        <v>26</v>
      </c>
      <c r="Q40" s="357"/>
      <c r="R40" s="24">
        <f t="shared" si="8"/>
        <v>26</v>
      </c>
      <c r="S40" s="5">
        <f t="shared" si="19"/>
        <v>23.853211009174309</v>
      </c>
      <c r="T40" s="5">
        <f t="shared" si="21"/>
        <v>2.1467889908256907</v>
      </c>
      <c r="U40" s="21">
        <f t="shared" si="20"/>
        <v>0.14444444444444443</v>
      </c>
      <c r="V40" s="35"/>
      <c r="W40" s="61">
        <v>720</v>
      </c>
      <c r="X40" s="13">
        <f t="shared" si="24"/>
        <v>103.99999999999999</v>
      </c>
      <c r="Z40" s="142"/>
    </row>
    <row r="41" spans="1:27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127"/>
      <c r="O41" s="127"/>
      <c r="P41" s="33"/>
      <c r="Q41" s="357"/>
      <c r="R41" s="24">
        <f t="shared" si="8"/>
        <v>0</v>
      </c>
      <c r="S41" s="5">
        <f t="shared" si="19"/>
        <v>0</v>
      </c>
      <c r="T41" s="5">
        <f t="shared" si="21"/>
        <v>0</v>
      </c>
      <c r="U41" s="21">
        <f t="shared" si="20"/>
        <v>0</v>
      </c>
      <c r="V41" s="71"/>
      <c r="W41" s="61"/>
      <c r="X41" s="13"/>
      <c r="Z41" s="142"/>
    </row>
    <row r="42" spans="1:27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127"/>
      <c r="O42" s="127"/>
      <c r="P42" s="33"/>
      <c r="Q42" s="357"/>
      <c r="R42" s="24">
        <f t="shared" si="8"/>
        <v>0</v>
      </c>
      <c r="S42" s="5">
        <f t="shared" si="19"/>
        <v>0</v>
      </c>
      <c r="T42" s="5">
        <f t="shared" si="21"/>
        <v>0</v>
      </c>
      <c r="U42" s="21">
        <f t="shared" si="20"/>
        <v>0</v>
      </c>
      <c r="V42" s="71"/>
      <c r="W42" s="61">
        <v>405</v>
      </c>
      <c r="X42" s="13">
        <f t="shared" si="24"/>
        <v>0</v>
      </c>
      <c r="Z42" s="142"/>
    </row>
    <row r="43" spans="1:27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21"/>
      <c r="O43" s="221"/>
      <c r="P43" s="239">
        <v>7.2</v>
      </c>
      <c r="Q43" s="358"/>
      <c r="R43" s="24">
        <f t="shared" si="8"/>
        <v>7.2</v>
      </c>
      <c r="S43" s="26">
        <f t="shared" si="19"/>
        <v>6.6055045871559628</v>
      </c>
      <c r="T43" s="26">
        <f t="shared" si="21"/>
        <v>0.5944954128440374</v>
      </c>
      <c r="U43" s="39">
        <f t="shared" si="20"/>
        <v>4.4444444444444446E-2</v>
      </c>
      <c r="V43" s="71"/>
      <c r="W43" s="61">
        <v>648</v>
      </c>
      <c r="X43" s="13">
        <f t="shared" si="24"/>
        <v>28.8</v>
      </c>
      <c r="Z43" s="142"/>
    </row>
    <row r="44" spans="1:27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4.3561643835616444</v>
      </c>
      <c r="F44" s="124">
        <v>162.43835616438358</v>
      </c>
      <c r="G44" s="124">
        <v>17.920000000000002</v>
      </c>
      <c r="H44" s="124">
        <v>34.6</v>
      </c>
      <c r="I44" s="124"/>
      <c r="J44" s="124"/>
      <c r="K44" s="124"/>
      <c r="L44" s="124"/>
      <c r="M44" s="124">
        <v>3.7</v>
      </c>
      <c r="N44" s="124"/>
      <c r="O44" s="124"/>
      <c r="P44" s="124"/>
      <c r="Q44" s="352"/>
      <c r="R44" s="24">
        <f t="shared" si="8"/>
        <v>223.01452054794518</v>
      </c>
      <c r="S44" s="124">
        <f t="shared" si="19"/>
        <v>204.60047756692217</v>
      </c>
      <c r="T44" s="6">
        <f t="shared" si="21"/>
        <v>18.414042981023016</v>
      </c>
      <c r="U44" s="22">
        <f>+R44/D44</f>
        <v>22.301452054794517</v>
      </c>
      <c r="V44" s="71"/>
      <c r="W44" s="61"/>
      <c r="X44" s="13"/>
      <c r="Y44" s="2"/>
      <c r="Z44" s="1"/>
    </row>
    <row r="45" spans="1:27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4112.84</v>
      </c>
      <c r="F45" s="82">
        <f>+SUM(F46:F54)</f>
        <v>184696.58</v>
      </c>
      <c r="G45" s="82">
        <f>+SUM(G46:G54)</f>
        <v>30329.920000000002</v>
      </c>
      <c r="H45" s="82">
        <f>+SUM(H46:H54)</f>
        <v>4763.58</v>
      </c>
      <c r="I45" s="82">
        <f t="shared" ref="I45:U45" si="25">+SUM(I46:I54)</f>
        <v>0</v>
      </c>
      <c r="J45" s="82">
        <f t="shared" si="25"/>
        <v>0</v>
      </c>
      <c r="K45" s="100">
        <f t="shared" si="25"/>
        <v>0</v>
      </c>
      <c r="L45" s="100">
        <f t="shared" si="25"/>
        <v>0</v>
      </c>
      <c r="M45" s="100">
        <f t="shared" si="25"/>
        <v>1335.52</v>
      </c>
      <c r="N45" s="100">
        <f t="shared" si="25"/>
        <v>309.82</v>
      </c>
      <c r="O45" s="100">
        <f t="shared" si="25"/>
        <v>570.44000000000005</v>
      </c>
      <c r="P45" s="100">
        <f t="shared" si="25"/>
        <v>19919.289999999997</v>
      </c>
      <c r="Q45" s="100">
        <f t="shared" si="25"/>
        <v>0</v>
      </c>
      <c r="R45" s="42">
        <f>+SUM(R46:R54)</f>
        <v>246037.99000000005</v>
      </c>
      <c r="S45" s="82">
        <f t="shared" si="25"/>
        <v>225722.92660550456</v>
      </c>
      <c r="T45" s="82">
        <f t="shared" si="25"/>
        <v>20315.063394495428</v>
      </c>
      <c r="U45" s="19">
        <f t="shared" si="25"/>
        <v>38833.866666666669</v>
      </c>
      <c r="V45" s="71"/>
      <c r="W45" s="61"/>
      <c r="X45" s="105">
        <f>+SUM(X46:X69)</f>
        <v>405803.21</v>
      </c>
    </row>
    <row r="46" spans="1:27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432</v>
      </c>
      <c r="F46" s="23">
        <v>16992</v>
      </c>
      <c r="G46" s="28">
        <v>2676</v>
      </c>
      <c r="H46" s="347">
        <v>384</v>
      </c>
      <c r="I46" s="83"/>
      <c r="J46" s="75"/>
      <c r="K46" s="75"/>
      <c r="L46" s="75"/>
      <c r="M46" s="75">
        <v>144</v>
      </c>
      <c r="N46" s="127">
        <v>36</v>
      </c>
      <c r="O46" s="127">
        <v>12</v>
      </c>
      <c r="P46" s="75">
        <v>1368</v>
      </c>
      <c r="Q46" s="356"/>
      <c r="R46" s="24">
        <f t="shared" si="8"/>
        <v>22044</v>
      </c>
      <c r="S46" s="99">
        <f t="shared" ref="S46:S54" si="26">+R46/1.09</f>
        <v>20223.853211009173</v>
      </c>
      <c r="T46" s="64">
        <f t="shared" ref="T46:T54" si="27">+R46-S46</f>
        <v>1820.1467889908272</v>
      </c>
      <c r="U46" s="85">
        <f t="shared" ref="U46:U54" si="28">R46/D46</f>
        <v>1837</v>
      </c>
      <c r="V46" s="71"/>
      <c r="W46" s="61"/>
      <c r="X46" s="13"/>
      <c r="Y46"/>
      <c r="Z46" s="142"/>
      <c r="AA46"/>
    </row>
    <row r="47" spans="1:27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168</v>
      </c>
      <c r="F47" s="13">
        <v>1944</v>
      </c>
      <c r="G47" s="17">
        <v>312</v>
      </c>
      <c r="H47" s="347">
        <v>12</v>
      </c>
      <c r="I47" s="13"/>
      <c r="J47" s="33"/>
      <c r="K47" s="33"/>
      <c r="L47" s="33"/>
      <c r="M47" s="33">
        <v>12</v>
      </c>
      <c r="N47" s="127">
        <v>6</v>
      </c>
      <c r="O47" s="127"/>
      <c r="P47" s="33">
        <v>258</v>
      </c>
      <c r="Q47" s="357"/>
      <c r="R47" s="24">
        <f t="shared" si="8"/>
        <v>2712</v>
      </c>
      <c r="S47" s="5">
        <f t="shared" si="26"/>
        <v>2488.0733944954127</v>
      </c>
      <c r="T47" s="5">
        <f t="shared" si="27"/>
        <v>223.92660550458731</v>
      </c>
      <c r="U47" s="31">
        <f t="shared" si="28"/>
        <v>452</v>
      </c>
      <c r="V47" s="71"/>
      <c r="W47" s="61">
        <v>6</v>
      </c>
      <c r="X47" s="13">
        <f t="shared" ref="X47:X48" si="29">+U47*W47</f>
        <v>2712</v>
      </c>
      <c r="Z47" s="142"/>
    </row>
    <row r="48" spans="1:27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1036.8</v>
      </c>
      <c r="F48" s="13">
        <v>48564</v>
      </c>
      <c r="G48" s="17">
        <v>9009.6</v>
      </c>
      <c r="H48" s="347">
        <v>355.2</v>
      </c>
      <c r="I48" s="13"/>
      <c r="J48" s="33"/>
      <c r="K48" s="33"/>
      <c r="L48" s="33"/>
      <c r="M48" s="33">
        <v>266.39999999999998</v>
      </c>
      <c r="N48" s="127">
        <v>64.8</v>
      </c>
      <c r="O48" s="127">
        <v>444</v>
      </c>
      <c r="P48" s="33">
        <v>3564</v>
      </c>
      <c r="Q48" s="357"/>
      <c r="R48" s="24">
        <f t="shared" si="8"/>
        <v>63304.800000000003</v>
      </c>
      <c r="S48" s="5">
        <f t="shared" si="26"/>
        <v>58077.79816513761</v>
      </c>
      <c r="T48" s="5">
        <f t="shared" si="27"/>
        <v>5227.0018348623926</v>
      </c>
      <c r="U48" s="31">
        <f t="shared" si="28"/>
        <v>26377.000000000004</v>
      </c>
      <c r="V48" s="71"/>
      <c r="W48" s="61">
        <v>9.6</v>
      </c>
      <c r="X48" s="13">
        <f t="shared" si="29"/>
        <v>253219.20000000001</v>
      </c>
      <c r="Z48" s="142"/>
    </row>
    <row r="49" spans="1:26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308</v>
      </c>
      <c r="F49" s="13">
        <v>21945</v>
      </c>
      <c r="G49" s="13">
        <v>3115</v>
      </c>
      <c r="H49" s="348">
        <v>1365</v>
      </c>
      <c r="I49" s="13"/>
      <c r="J49" s="33"/>
      <c r="K49" s="33"/>
      <c r="L49" s="33"/>
      <c r="M49" s="33">
        <v>105</v>
      </c>
      <c r="N49" s="127">
        <v>7</v>
      </c>
      <c r="O49" s="127">
        <v>63</v>
      </c>
      <c r="P49" s="33">
        <v>3584</v>
      </c>
      <c r="Q49" s="357"/>
      <c r="R49" s="24">
        <f t="shared" si="8"/>
        <v>30492</v>
      </c>
      <c r="S49" s="5">
        <f t="shared" si="26"/>
        <v>27974.311926605504</v>
      </c>
      <c r="T49" s="5">
        <f t="shared" si="27"/>
        <v>2517.6880733944963</v>
      </c>
      <c r="U49" s="31">
        <f t="shared" si="28"/>
        <v>1452</v>
      </c>
      <c r="V49" s="71"/>
      <c r="W49" s="61"/>
      <c r="X49" s="13"/>
      <c r="Z49" s="142"/>
    </row>
    <row r="50" spans="1:26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42</v>
      </c>
      <c r="F50" s="13">
        <v>1848</v>
      </c>
      <c r="G50" s="13">
        <v>273</v>
      </c>
      <c r="H50" s="348">
        <v>119</v>
      </c>
      <c r="I50" s="13"/>
      <c r="J50" s="33"/>
      <c r="K50" s="33"/>
      <c r="L50" s="33"/>
      <c r="M50" s="33">
        <v>42</v>
      </c>
      <c r="N50" s="127">
        <v>21</v>
      </c>
      <c r="O50" s="127"/>
      <c r="P50" s="33">
        <v>189</v>
      </c>
      <c r="Q50" s="357"/>
      <c r="R50" s="24">
        <f t="shared" si="8"/>
        <v>2534</v>
      </c>
      <c r="S50" s="5">
        <f t="shared" si="26"/>
        <v>2324.7706422018346</v>
      </c>
      <c r="T50" s="5">
        <f t="shared" si="27"/>
        <v>209.22935779816544</v>
      </c>
      <c r="U50" s="21">
        <f t="shared" si="28"/>
        <v>241.33333333333334</v>
      </c>
      <c r="V50" s="71"/>
      <c r="W50" s="61">
        <v>10.5</v>
      </c>
      <c r="X50" s="13">
        <f t="shared" ref="X50:X51" si="30">+U50*W50</f>
        <v>2534</v>
      </c>
      <c r="Z50" s="142"/>
    </row>
    <row r="51" spans="1:26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197.4</v>
      </c>
      <c r="F51" s="13">
        <v>11519.2</v>
      </c>
      <c r="G51" s="13">
        <v>1565.2</v>
      </c>
      <c r="H51" s="348">
        <v>208.6</v>
      </c>
      <c r="I51" s="13"/>
      <c r="J51" s="33"/>
      <c r="K51" s="33"/>
      <c r="L51" s="33"/>
      <c r="M51" s="33">
        <v>56</v>
      </c>
      <c r="N51" s="127">
        <v>26.6</v>
      </c>
      <c r="O51" s="127">
        <v>25.2</v>
      </c>
      <c r="P51" s="33">
        <f>8.4+2178.4</f>
        <v>2186.8000000000002</v>
      </c>
      <c r="Q51" s="357"/>
      <c r="R51" s="24">
        <f t="shared" si="8"/>
        <v>15785.000000000004</v>
      </c>
      <c r="S51" s="5">
        <f t="shared" si="26"/>
        <v>14481.65137614679</v>
      </c>
      <c r="T51" s="5">
        <f t="shared" si="27"/>
        <v>1303.3486238532132</v>
      </c>
      <c r="U51" s="21">
        <f t="shared" si="28"/>
        <v>3758.3333333333339</v>
      </c>
      <c r="V51" s="71"/>
      <c r="W51" s="61">
        <v>16.8</v>
      </c>
      <c r="X51" s="13">
        <f t="shared" si="30"/>
        <v>63140.000000000015</v>
      </c>
      <c r="Z51" s="142"/>
    </row>
    <row r="52" spans="1:26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1558</v>
      </c>
      <c r="F52" s="13">
        <v>62365.1</v>
      </c>
      <c r="G52" s="13">
        <v>10459.1</v>
      </c>
      <c r="H52" s="348">
        <v>1840.9</v>
      </c>
      <c r="I52" s="13"/>
      <c r="J52" s="33"/>
      <c r="K52" s="33"/>
      <c r="L52" s="33"/>
      <c r="M52" s="33">
        <v>516.6</v>
      </c>
      <c r="N52" s="127">
        <v>147.6</v>
      </c>
      <c r="O52" s="127">
        <v>16.399999999999999</v>
      </c>
      <c r="P52" s="33">
        <v>5448.9</v>
      </c>
      <c r="Q52" s="357"/>
      <c r="R52" s="24">
        <f t="shared" si="8"/>
        <v>82352.599999999991</v>
      </c>
      <c r="S52" s="5">
        <f t="shared" si="26"/>
        <v>75552.844036697235</v>
      </c>
      <c r="T52" s="5">
        <f t="shared" si="27"/>
        <v>6799.7559633027558</v>
      </c>
      <c r="U52" s="21">
        <f t="shared" si="28"/>
        <v>2008.5999999999997</v>
      </c>
      <c r="V52" s="71"/>
      <c r="W52" s="61"/>
      <c r="X52" s="13"/>
      <c r="Z52" s="142"/>
    </row>
    <row r="53" spans="1:26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94.3</v>
      </c>
      <c r="F53" s="13">
        <v>6063.9</v>
      </c>
      <c r="G53" s="13">
        <v>934.8</v>
      </c>
      <c r="H53" s="348">
        <v>180.4</v>
      </c>
      <c r="I53" s="13"/>
      <c r="J53" s="33"/>
      <c r="K53" s="33"/>
      <c r="L53" s="33"/>
      <c r="M53" s="33">
        <v>102.5</v>
      </c>
      <c r="N53" s="127"/>
      <c r="O53" s="127"/>
      <c r="P53" s="33">
        <v>309.55</v>
      </c>
      <c r="Q53" s="357"/>
      <c r="R53" s="24">
        <f t="shared" si="8"/>
        <v>7685.45</v>
      </c>
      <c r="S53" s="5">
        <f t="shared" si="26"/>
        <v>7050.8715596330267</v>
      </c>
      <c r="T53" s="5">
        <f t="shared" si="27"/>
        <v>634.57844036697315</v>
      </c>
      <c r="U53" s="21">
        <f t="shared" si="28"/>
        <v>374.9</v>
      </c>
      <c r="V53" s="71"/>
      <c r="W53" s="61">
        <v>20.5</v>
      </c>
      <c r="X53" s="13">
        <f t="shared" ref="X53:X54" si="31">+U53*W53</f>
        <v>7685.45</v>
      </c>
      <c r="Z53" s="142"/>
    </row>
    <row r="54" spans="1:26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276.33999999999997</v>
      </c>
      <c r="F54" s="14">
        <v>13455.38</v>
      </c>
      <c r="G54" s="14">
        <v>1985.22</v>
      </c>
      <c r="H54" s="349">
        <v>298.48</v>
      </c>
      <c r="I54" s="14"/>
      <c r="J54" s="76"/>
      <c r="K54" s="76"/>
      <c r="L54" s="76"/>
      <c r="M54" s="76">
        <f>8.2+82.82</f>
        <v>91.02</v>
      </c>
      <c r="N54" s="148">
        <v>0.82</v>
      </c>
      <c r="O54" s="148">
        <v>9.84</v>
      </c>
      <c r="P54" s="76">
        <f>32.8+2978.24</f>
        <v>3011.04</v>
      </c>
      <c r="Q54" s="224"/>
      <c r="R54" s="359">
        <f t="shared" si="8"/>
        <v>19128.14</v>
      </c>
      <c r="S54" s="6">
        <f t="shared" si="26"/>
        <v>17548.752293577982</v>
      </c>
      <c r="T54" s="6">
        <f t="shared" si="27"/>
        <v>1579.3877064220178</v>
      </c>
      <c r="U54" s="22">
        <f t="shared" si="28"/>
        <v>2332.7000000000003</v>
      </c>
      <c r="V54" s="35"/>
      <c r="W54" s="61">
        <v>32.799999999999997</v>
      </c>
      <c r="X54" s="13">
        <f t="shared" si="31"/>
        <v>76512.56</v>
      </c>
      <c r="Z54" s="142"/>
    </row>
    <row r="55" spans="1:26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R55" s="2"/>
      <c r="S55" s="2"/>
      <c r="T55" s="2"/>
    </row>
    <row r="56" spans="1:26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R56" s="2"/>
      <c r="S56" s="2"/>
      <c r="T56" s="2"/>
    </row>
    <row r="58" spans="1:26" x14ac:dyDescent="0.25">
      <c r="P58" s="137"/>
      <c r="Q58" s="137"/>
    </row>
    <row r="74" spans="2:2" x14ac:dyDescent="0.25">
      <c r="B74" s="1"/>
    </row>
  </sheetData>
  <mergeCells count="19">
    <mergeCell ref="F4:F5"/>
    <mergeCell ref="A4:A5"/>
    <mergeCell ref="B4:B5"/>
    <mergeCell ref="C4:C5"/>
    <mergeCell ref="D4:D5"/>
    <mergeCell ref="E4:E5"/>
    <mergeCell ref="X4:X5"/>
    <mergeCell ref="G4:G5"/>
    <mergeCell ref="H4:H5"/>
    <mergeCell ref="I4:I5"/>
    <mergeCell ref="J4:J5"/>
    <mergeCell ref="K4:L4"/>
    <mergeCell ref="M4:M5"/>
    <mergeCell ref="P4:Q4"/>
    <mergeCell ref="R4:R5"/>
    <mergeCell ref="S4:S5"/>
    <mergeCell ref="T4:T5"/>
    <mergeCell ref="U4:U5"/>
    <mergeCell ref="N4:O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AA73"/>
  <sheetViews>
    <sheetView zoomScaleNormal="100" workbookViewId="0">
      <pane xSplit="4" ySplit="4" topLeftCell="L15" activePane="bottomRight" state="frozen"/>
      <selection pane="topRight" activeCell="E1" sqref="E1"/>
      <selection pane="bottomLeft" activeCell="A5" sqref="A5"/>
      <selection pane="bottomRight" activeCell="O27" sqref="O27"/>
    </sheetView>
  </sheetViews>
  <sheetFormatPr defaultColWidth="8.88671875" defaultRowHeight="13.2" outlineLevelCol="1" x14ac:dyDescent="0.25"/>
  <cols>
    <col min="1" max="1" width="10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2.44140625" style="1" customWidth="1"/>
    <col min="16" max="16" width="13" style="1" customWidth="1"/>
    <col min="17" max="17" width="12.6640625" style="1" hidden="1" customWidth="1" outlineLevel="1"/>
    <col min="18" max="18" width="12.33203125" style="1" bestFit="1" customWidth="1" collapsed="1"/>
    <col min="19" max="20" width="12.33203125" style="1" customWidth="1"/>
    <col min="21" max="21" width="12.33203125" style="1" bestFit="1" customWidth="1"/>
    <col min="22" max="22" width="3.109375" style="1" customWidth="1"/>
    <col min="23" max="23" width="5.109375" style="1" customWidth="1"/>
    <col min="24" max="24" width="13.5546875" style="2" customWidth="1"/>
    <col min="25" max="25" width="11.33203125" style="1" bestFit="1" customWidth="1"/>
    <col min="26" max="26" width="8.88671875" style="141"/>
    <col min="27" max="16384" width="8.88671875" style="1"/>
  </cols>
  <sheetData>
    <row r="1" spans="1:25" ht="22.2" customHeight="1" x14ac:dyDescent="0.3">
      <c r="A1" s="40" t="s">
        <v>376</v>
      </c>
      <c r="K1" s="2"/>
      <c r="L1" s="2"/>
      <c r="M1" s="2"/>
      <c r="N1" s="2"/>
      <c r="O1" s="2"/>
      <c r="P1" s="2"/>
      <c r="Q1" s="2"/>
    </row>
    <row r="2" spans="1:25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S2" s="3"/>
      <c r="U2" s="3"/>
    </row>
    <row r="3" spans="1:25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99" t="s">
        <v>387</v>
      </c>
      <c r="O3" s="599"/>
      <c r="P3" s="586" t="s">
        <v>178</v>
      </c>
      <c r="Q3" s="598"/>
      <c r="R3" s="590" t="s">
        <v>43</v>
      </c>
      <c r="S3" s="590" t="s">
        <v>44</v>
      </c>
      <c r="T3" s="590" t="s">
        <v>41</v>
      </c>
      <c r="U3" s="590" t="s">
        <v>149</v>
      </c>
      <c r="W3" s="61"/>
      <c r="X3" s="584" t="s">
        <v>148</v>
      </c>
    </row>
    <row r="4" spans="1:25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254" t="s">
        <v>203</v>
      </c>
      <c r="O4" s="254" t="s">
        <v>388</v>
      </c>
      <c r="P4" s="254" t="s">
        <v>203</v>
      </c>
      <c r="Q4" s="254" t="s">
        <v>379</v>
      </c>
      <c r="R4" s="591"/>
      <c r="S4" s="592"/>
      <c r="T4" s="592"/>
      <c r="U4" s="592"/>
      <c r="W4" s="87"/>
      <c r="X4" s="585"/>
    </row>
    <row r="5" spans="1:25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49975.707168949753</v>
      </c>
      <c r="F5" s="82">
        <f t="shared" si="0"/>
        <v>1765246.9183104995</v>
      </c>
      <c r="G5" s="82">
        <f t="shared" si="0"/>
        <v>275782.80000000005</v>
      </c>
      <c r="H5" s="82">
        <f t="shared" si="0"/>
        <v>43164.090000000004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U5" si="1">+M6+M18+M44</f>
        <v>20668.84</v>
      </c>
      <c r="N5" s="192">
        <f>+N6+N18+N44</f>
        <v>1897.31</v>
      </c>
      <c r="O5" s="192">
        <f>+O6+O18+O44</f>
        <v>2573.1499999999996</v>
      </c>
      <c r="P5" s="187">
        <f t="shared" si="1"/>
        <v>200343.09999999998</v>
      </c>
      <c r="Q5" s="77">
        <f t="shared" si="1"/>
        <v>0</v>
      </c>
      <c r="R5" s="42">
        <f>+SUM(E5:Q5)</f>
        <v>2359651.9154794491</v>
      </c>
      <c r="S5" s="42">
        <f t="shared" si="1"/>
        <v>2164818.2710820632</v>
      </c>
      <c r="T5" s="42">
        <f t="shared" si="1"/>
        <v>194833.64439738588</v>
      </c>
      <c r="U5" s="42">
        <f t="shared" si="1"/>
        <v>40834.286853500766</v>
      </c>
      <c r="V5" s="71"/>
      <c r="W5" s="87"/>
      <c r="X5" s="135">
        <f>+X7+X18+X44</f>
        <v>1654170.4366666698</v>
      </c>
    </row>
    <row r="6" spans="1:25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2">+E7+E11</f>
        <v>0</v>
      </c>
      <c r="F6" s="82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187">
        <f t="shared" si="2"/>
        <v>0</v>
      </c>
      <c r="K6" s="187">
        <f t="shared" si="2"/>
        <v>0</v>
      </c>
      <c r="L6" s="187"/>
      <c r="M6" s="192">
        <f t="shared" ref="M6:U6" si="3">+M7+M11</f>
        <v>0</v>
      </c>
      <c r="N6" s="192">
        <f>+N7+N11</f>
        <v>0</v>
      </c>
      <c r="O6" s="192">
        <f>+O7+O11</f>
        <v>0</v>
      </c>
      <c r="P6" s="187">
        <f t="shared" si="3"/>
        <v>0</v>
      </c>
      <c r="Q6" s="77">
        <f t="shared" si="3"/>
        <v>0</v>
      </c>
      <c r="R6" s="42">
        <f t="shared" ref="R6:R7" si="4">+SUM(E6:Q6)</f>
        <v>0</v>
      </c>
      <c r="S6" s="42">
        <f t="shared" si="3"/>
        <v>0</v>
      </c>
      <c r="T6" s="42">
        <f t="shared" si="3"/>
        <v>0</v>
      </c>
      <c r="U6" s="44">
        <f t="shared" si="3"/>
        <v>0</v>
      </c>
      <c r="W6" s="61"/>
      <c r="X6" s="13"/>
    </row>
    <row r="7" spans="1:25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:U7" si="6">+SUM(M8:M10)</f>
        <v>0</v>
      </c>
      <c r="N7" s="79">
        <f t="shared" si="6"/>
        <v>0</v>
      </c>
      <c r="O7" s="79">
        <f t="shared" si="6"/>
        <v>0</v>
      </c>
      <c r="P7" s="219">
        <f t="shared" si="6"/>
        <v>0</v>
      </c>
      <c r="Q7" s="109">
        <f t="shared" si="6"/>
        <v>0</v>
      </c>
      <c r="R7" s="43">
        <f t="shared" si="4"/>
        <v>0</v>
      </c>
      <c r="S7" s="79">
        <f t="shared" si="6"/>
        <v>0</v>
      </c>
      <c r="T7" s="79">
        <f t="shared" si="6"/>
        <v>0</v>
      </c>
      <c r="U7" s="226">
        <f t="shared" si="6"/>
        <v>0</v>
      </c>
      <c r="V7" s="71"/>
      <c r="W7" s="134"/>
      <c r="X7" s="105">
        <f>+SUM(X8:X17)</f>
        <v>0</v>
      </c>
    </row>
    <row r="8" spans="1:25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27"/>
      <c r="O8" s="127"/>
      <c r="P8" s="17"/>
      <c r="Q8" s="355"/>
      <c r="R8" s="24">
        <f>+SUM(E8:Q8)</f>
        <v>0</v>
      </c>
      <c r="S8" s="5">
        <f t="shared" ref="S8:S10" si="7">+R8/1.09</f>
        <v>0</v>
      </c>
      <c r="T8" s="5">
        <f t="shared" ref="T8:T10" si="8">+R8-S8</f>
        <v>0</v>
      </c>
      <c r="U8" s="21">
        <f>R8/D8</f>
        <v>0</v>
      </c>
      <c r="V8" s="71"/>
      <c r="W8" s="61"/>
      <c r="X8" s="13"/>
      <c r="Y8" s="2"/>
    </row>
    <row r="9" spans="1:25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9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27"/>
      <c r="O9" s="127"/>
      <c r="P9" s="196"/>
      <c r="Q9" s="350"/>
      <c r="R9" s="24">
        <f t="shared" ref="R9:R53" si="10">+SUM(E9:Q9)</f>
        <v>0</v>
      </c>
      <c r="S9" s="26">
        <f t="shared" si="7"/>
        <v>0</v>
      </c>
      <c r="T9" s="26">
        <f t="shared" si="8"/>
        <v>0</v>
      </c>
      <c r="U9" s="39">
        <f>R9/D9</f>
        <v>0</v>
      </c>
      <c r="V9" s="71"/>
      <c r="W9" s="61">
        <v>1.75</v>
      </c>
      <c r="X9" s="13">
        <f>+U9*W9</f>
        <v>0</v>
      </c>
    </row>
    <row r="10" spans="1:25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44"/>
      <c r="P10" s="18"/>
      <c r="Q10" s="360"/>
      <c r="R10" s="24">
        <f t="shared" si="10"/>
        <v>0</v>
      </c>
      <c r="S10" s="6">
        <f t="shared" si="7"/>
        <v>0</v>
      </c>
      <c r="T10" s="6">
        <f t="shared" si="8"/>
        <v>0</v>
      </c>
      <c r="U10" s="22">
        <f>R10/D10</f>
        <v>0</v>
      </c>
      <c r="V10" s="71"/>
      <c r="W10" s="107">
        <v>2.8</v>
      </c>
      <c r="X10" s="13">
        <f>+U10*W10</f>
        <v>0</v>
      </c>
    </row>
    <row r="11" spans="1:25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1">+SUM(E12:E17)</f>
        <v>0</v>
      </c>
      <c r="F11" s="84">
        <f t="shared" si="11"/>
        <v>0</v>
      </c>
      <c r="G11" s="84">
        <f t="shared" si="11"/>
        <v>0</v>
      </c>
      <c r="H11" s="84">
        <f t="shared" si="11"/>
        <v>0</v>
      </c>
      <c r="I11" s="84">
        <f t="shared" si="11"/>
        <v>0</v>
      </c>
      <c r="J11" s="74">
        <f t="shared" si="11"/>
        <v>0</v>
      </c>
      <c r="K11" s="101">
        <f t="shared" si="11"/>
        <v>0</v>
      </c>
      <c r="L11" s="101"/>
      <c r="M11" s="101">
        <f t="shared" ref="M11:U11" si="12">+SUM(M12:M17)</f>
        <v>0</v>
      </c>
      <c r="N11" s="101">
        <f t="shared" ref="N11:O11" si="13">+SUM(N12:N17)</f>
        <v>0</v>
      </c>
      <c r="O11" s="101">
        <f t="shared" si="13"/>
        <v>0</v>
      </c>
      <c r="P11" s="16">
        <f t="shared" si="12"/>
        <v>0</v>
      </c>
      <c r="Q11" s="74">
        <f t="shared" si="12"/>
        <v>0</v>
      </c>
      <c r="R11" s="43">
        <f t="shared" si="12"/>
        <v>0</v>
      </c>
      <c r="S11" s="43">
        <f t="shared" si="12"/>
        <v>0</v>
      </c>
      <c r="T11" s="43">
        <f t="shared" si="12"/>
        <v>0</v>
      </c>
      <c r="U11" s="45">
        <f t="shared" si="12"/>
        <v>0</v>
      </c>
      <c r="V11" s="71"/>
      <c r="W11" s="61"/>
      <c r="X11" s="13"/>
    </row>
    <row r="12" spans="1:25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27"/>
      <c r="O12" s="127"/>
      <c r="P12" s="13"/>
      <c r="Q12" s="357"/>
      <c r="R12" s="24">
        <f t="shared" si="10"/>
        <v>0</v>
      </c>
      <c r="S12" s="5">
        <f t="shared" ref="S12:S17" si="14">+R12/1.09</f>
        <v>0</v>
      </c>
      <c r="T12" s="5">
        <f t="shared" ref="T12:T17" si="15">+R12-S12</f>
        <v>0</v>
      </c>
      <c r="U12" s="21">
        <f t="shared" ref="U12:U17" si="16">R12/D12</f>
        <v>0</v>
      </c>
      <c r="V12" s="2"/>
      <c r="W12" s="61"/>
      <c r="X12" s="13"/>
    </row>
    <row r="13" spans="1:25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27"/>
      <c r="O13" s="127"/>
      <c r="P13" s="13"/>
      <c r="Q13" s="357"/>
      <c r="R13" s="24">
        <f t="shared" si="10"/>
        <v>0</v>
      </c>
      <c r="S13" s="5">
        <f t="shared" si="14"/>
        <v>0</v>
      </c>
      <c r="T13" s="5">
        <f t="shared" si="15"/>
        <v>0</v>
      </c>
      <c r="U13" s="21">
        <f t="shared" si="16"/>
        <v>0</v>
      </c>
      <c r="V13" s="71"/>
      <c r="W13" s="107">
        <v>1.1000000000000001</v>
      </c>
      <c r="X13" s="13">
        <f t="shared" ref="X13:X14" si="17">+U13*W13</f>
        <v>0</v>
      </c>
    </row>
    <row r="14" spans="1:25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27"/>
      <c r="O14" s="127"/>
      <c r="P14" s="13"/>
      <c r="Q14" s="357"/>
      <c r="R14" s="24">
        <f t="shared" si="10"/>
        <v>0</v>
      </c>
      <c r="S14" s="5">
        <f t="shared" si="14"/>
        <v>0</v>
      </c>
      <c r="T14" s="5">
        <f t="shared" si="15"/>
        <v>0</v>
      </c>
      <c r="U14" s="21">
        <f t="shared" si="16"/>
        <v>0</v>
      </c>
      <c r="V14" s="71"/>
      <c r="W14" s="61">
        <v>1.76</v>
      </c>
      <c r="X14" s="13">
        <f t="shared" si="17"/>
        <v>0</v>
      </c>
    </row>
    <row r="15" spans="1:25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27"/>
      <c r="O15" s="127"/>
      <c r="P15" s="13"/>
      <c r="Q15" s="357"/>
      <c r="R15" s="24">
        <f t="shared" si="10"/>
        <v>0</v>
      </c>
      <c r="S15" s="5">
        <f t="shared" si="14"/>
        <v>0</v>
      </c>
      <c r="T15" s="5">
        <f t="shared" si="15"/>
        <v>0</v>
      </c>
      <c r="U15" s="21">
        <f t="shared" si="16"/>
        <v>0</v>
      </c>
      <c r="V15" s="71"/>
      <c r="W15" s="61"/>
      <c r="X15" s="13"/>
    </row>
    <row r="16" spans="1:2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27"/>
      <c r="O16" s="127"/>
      <c r="P16" s="13"/>
      <c r="Q16" s="357"/>
      <c r="R16" s="24">
        <f t="shared" si="10"/>
        <v>0</v>
      </c>
      <c r="S16" s="5">
        <f t="shared" si="14"/>
        <v>0</v>
      </c>
      <c r="T16" s="5">
        <f t="shared" si="15"/>
        <v>0</v>
      </c>
      <c r="U16" s="21">
        <f t="shared" si="16"/>
        <v>0</v>
      </c>
      <c r="V16" s="71"/>
      <c r="W16" s="107">
        <v>1.6</v>
      </c>
      <c r="X16" s="13">
        <f t="shared" ref="X16:X17" si="18">+U16*W16</f>
        <v>0</v>
      </c>
    </row>
    <row r="17" spans="1:27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27"/>
      <c r="O17" s="127"/>
      <c r="P17" s="14"/>
      <c r="Q17" s="358"/>
      <c r="R17" s="24">
        <f t="shared" si="10"/>
        <v>0</v>
      </c>
      <c r="S17" s="5">
        <f t="shared" si="14"/>
        <v>0</v>
      </c>
      <c r="T17" s="5">
        <f t="shared" si="15"/>
        <v>0</v>
      </c>
      <c r="U17" s="22">
        <f t="shared" si="16"/>
        <v>0</v>
      </c>
      <c r="V17" s="71"/>
      <c r="W17" s="61">
        <v>2.56</v>
      </c>
      <c r="X17" s="13">
        <f t="shared" si="18"/>
        <v>0</v>
      </c>
    </row>
    <row r="18" spans="1:27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49473.647168949756</v>
      </c>
      <c r="F18" s="118">
        <f t="shared" ref="F18:U18" si="19">+SUM(F19:F43)</f>
        <v>1748841.2983104994</v>
      </c>
      <c r="G18" s="118">
        <f t="shared" si="19"/>
        <v>273106.72000000003</v>
      </c>
      <c r="H18" s="118">
        <f t="shared" si="19"/>
        <v>42793.97</v>
      </c>
      <c r="I18" s="118">
        <f t="shared" si="19"/>
        <v>0</v>
      </c>
      <c r="J18" s="118">
        <f t="shared" si="19"/>
        <v>0</v>
      </c>
      <c r="K18" s="118">
        <f t="shared" si="19"/>
        <v>0</v>
      </c>
      <c r="L18" s="118"/>
      <c r="M18" s="118">
        <f t="shared" si="19"/>
        <v>20621.759999999998</v>
      </c>
      <c r="N18" s="231">
        <f t="shared" ref="N18:O18" si="20">+SUM(N19:N43)</f>
        <v>1807.33</v>
      </c>
      <c r="O18" s="231">
        <f t="shared" si="20"/>
        <v>2541.9899999999998</v>
      </c>
      <c r="P18" s="231">
        <f t="shared" si="19"/>
        <v>198415.78999999998</v>
      </c>
      <c r="Q18" s="118">
        <f t="shared" si="19"/>
        <v>0</v>
      </c>
      <c r="R18" s="42">
        <f>+SUM(R19:R43)</f>
        <v>2337602.5054794499</v>
      </c>
      <c r="S18" s="118">
        <f t="shared" si="19"/>
        <v>2144589.4545683018</v>
      </c>
      <c r="T18" s="118">
        <f t="shared" si="19"/>
        <v>193013.05091114735</v>
      </c>
      <c r="U18" s="118">
        <f t="shared" si="19"/>
        <v>39879.153520167434</v>
      </c>
      <c r="V18" s="71"/>
      <c r="W18" s="61"/>
      <c r="X18" s="105">
        <f>+SUM(X19:X42)</f>
        <v>1640766.0466666699</v>
      </c>
    </row>
    <row r="19" spans="1:27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31659.999999999989</v>
      </c>
      <c r="F19" s="92">
        <v>1050976.6666666607</v>
      </c>
      <c r="G19" s="92">
        <v>160436.67000000001</v>
      </c>
      <c r="H19" s="92">
        <v>22246.67</v>
      </c>
      <c r="I19" s="23"/>
      <c r="J19" s="34"/>
      <c r="K19" s="34"/>
      <c r="L19" s="34"/>
      <c r="M19" s="34">
        <v>13700</v>
      </c>
      <c r="N19" s="127">
        <v>1166.67</v>
      </c>
      <c r="O19" s="127">
        <v>1810</v>
      </c>
      <c r="P19" s="23">
        <v>101720</v>
      </c>
      <c r="Q19" s="356"/>
      <c r="R19" s="24">
        <f t="shared" si="10"/>
        <v>1383716.6766666605</v>
      </c>
      <c r="S19" s="99">
        <f t="shared" ref="S19:S43" si="21">+R19/1.09</f>
        <v>1269464.8409785875</v>
      </c>
      <c r="T19" s="24">
        <f>+R19-S19</f>
        <v>114251.83568807296</v>
      </c>
      <c r="U19" s="94">
        <f t="shared" ref="U19:U42" si="22">R19/D19</f>
        <v>13837.166766666605</v>
      </c>
      <c r="V19" s="41"/>
      <c r="W19" s="61"/>
      <c r="X19" s="106"/>
      <c r="Y19"/>
      <c r="Z19" s="142"/>
      <c r="AA19"/>
    </row>
    <row r="20" spans="1:27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7394.9999999999991</v>
      </c>
      <c r="F20" s="48">
        <v>323438.33333333669</v>
      </c>
      <c r="G20" s="48">
        <v>48225</v>
      </c>
      <c r="H20" s="48">
        <v>9266.67</v>
      </c>
      <c r="I20" s="13"/>
      <c r="J20" s="33"/>
      <c r="K20" s="33"/>
      <c r="L20" s="33"/>
      <c r="M20" s="33">
        <v>4280</v>
      </c>
      <c r="N20" s="127">
        <v>48.33</v>
      </c>
      <c r="O20" s="127"/>
      <c r="P20" s="13">
        <v>6630</v>
      </c>
      <c r="Q20" s="357"/>
      <c r="R20" s="24">
        <f t="shared" si="10"/>
        <v>399283.33333333669</v>
      </c>
      <c r="S20" s="5">
        <f t="shared" si="21"/>
        <v>366314.98470948316</v>
      </c>
      <c r="T20" s="5">
        <f t="shared" ref="T20:T43" si="23">+R20-S20</f>
        <v>32968.348623853526</v>
      </c>
      <c r="U20" s="21">
        <f t="shared" si="22"/>
        <v>7985.6666666667334</v>
      </c>
      <c r="V20" s="41"/>
      <c r="W20" s="61">
        <v>50</v>
      </c>
      <c r="X20" s="13">
        <f t="shared" ref="X20:X21" si="24">+U20*W20</f>
        <v>399283.33333333669</v>
      </c>
      <c r="Z20" s="142"/>
    </row>
    <row r="21" spans="1:27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5942.67</v>
      </c>
      <c r="F21" s="95">
        <v>217788.67</v>
      </c>
      <c r="G21" s="95">
        <f>564.67+39470</f>
        <v>40034.67</v>
      </c>
      <c r="H21" s="95">
        <v>3040</v>
      </c>
      <c r="I21" s="13"/>
      <c r="J21" s="33"/>
      <c r="K21" s="33"/>
      <c r="L21" s="33"/>
      <c r="M21" s="33">
        <f>107.33+1277.33</f>
        <v>1384.6599999999999</v>
      </c>
      <c r="N21" s="127">
        <v>367.33</v>
      </c>
      <c r="O21" s="127">
        <v>460.66</v>
      </c>
      <c r="P21" s="13">
        <f>304+25555.33</f>
        <v>25859.33</v>
      </c>
      <c r="Q21" s="357"/>
      <c r="R21" s="24">
        <f t="shared" si="10"/>
        <v>294877.99</v>
      </c>
      <c r="S21" s="5">
        <f t="shared" si="21"/>
        <v>270530.26605504582</v>
      </c>
      <c r="T21" s="5">
        <f t="shared" si="23"/>
        <v>24347.723944954167</v>
      </c>
      <c r="U21" s="21">
        <f t="shared" si="22"/>
        <v>14743.8995</v>
      </c>
      <c r="V21" s="41"/>
      <c r="W21" s="61">
        <v>80</v>
      </c>
      <c r="X21" s="13">
        <f t="shared" si="24"/>
        <v>1179511.96</v>
      </c>
      <c r="Z21" s="142"/>
    </row>
    <row r="22" spans="1:27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3648</v>
      </c>
      <c r="F22" s="48">
        <v>131799</v>
      </c>
      <c r="G22" s="95">
        <v>21282</v>
      </c>
      <c r="H22" s="95">
        <v>4128</v>
      </c>
      <c r="I22" s="13"/>
      <c r="J22" s="33"/>
      <c r="K22" s="33"/>
      <c r="L22" s="33"/>
      <c r="M22" s="33">
        <v>1110</v>
      </c>
      <c r="N22" s="127">
        <v>225</v>
      </c>
      <c r="O22" s="127">
        <v>222</v>
      </c>
      <c r="P22" s="13">
        <v>36399</v>
      </c>
      <c r="Q22" s="357"/>
      <c r="R22" s="24">
        <f t="shared" si="10"/>
        <v>198813</v>
      </c>
      <c r="S22" s="5">
        <f t="shared" si="21"/>
        <v>182397.247706422</v>
      </c>
      <c r="T22" s="5">
        <f t="shared" si="23"/>
        <v>16415.752293578</v>
      </c>
      <c r="U22" s="21">
        <f t="shared" si="22"/>
        <v>2209.0333333333333</v>
      </c>
      <c r="V22" s="41"/>
      <c r="W22" s="61"/>
      <c r="X22" s="13"/>
      <c r="Z22" s="142"/>
    </row>
    <row r="23" spans="1:27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192</v>
      </c>
      <c r="F23" s="95">
        <v>7165.5</v>
      </c>
      <c r="G23" s="95">
        <v>1429.5</v>
      </c>
      <c r="H23" s="95">
        <v>337.5</v>
      </c>
      <c r="I23" s="13"/>
      <c r="J23" s="33"/>
      <c r="K23" s="33"/>
      <c r="L23" s="33"/>
      <c r="M23" s="33">
        <v>18</v>
      </c>
      <c r="N23" s="127"/>
      <c r="O23" s="127"/>
      <c r="P23" s="13">
        <v>1770</v>
      </c>
      <c r="Q23" s="357"/>
      <c r="R23" s="24">
        <f t="shared" si="10"/>
        <v>10912.5</v>
      </c>
      <c r="S23" s="5">
        <f t="shared" si="21"/>
        <v>10011.467889908256</v>
      </c>
      <c r="T23" s="5">
        <f t="shared" si="23"/>
        <v>901.03211009174447</v>
      </c>
      <c r="U23" s="21">
        <f t="shared" si="22"/>
        <v>242.5</v>
      </c>
      <c r="V23" s="35"/>
      <c r="W23" s="61">
        <v>45</v>
      </c>
      <c r="X23" s="13">
        <f t="shared" ref="X23:X24" si="25">+U23*W23</f>
        <v>10912.5</v>
      </c>
      <c r="Z23" s="142"/>
    </row>
    <row r="24" spans="1:27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117</v>
      </c>
      <c r="F24" s="95">
        <v>905.4</v>
      </c>
      <c r="G24" s="95">
        <f>9.6+217.2</f>
        <v>226.79999999999998</v>
      </c>
      <c r="H24" s="95">
        <v>44.4</v>
      </c>
      <c r="I24" s="13"/>
      <c r="J24" s="33"/>
      <c r="K24" s="33"/>
      <c r="L24" s="33"/>
      <c r="M24" s="33">
        <v>15</v>
      </c>
      <c r="N24" s="127"/>
      <c r="O24" s="127"/>
      <c r="P24" s="13">
        <f>18+459.6</f>
        <v>477.6</v>
      </c>
      <c r="Q24" s="357"/>
      <c r="R24" s="24">
        <f t="shared" si="10"/>
        <v>1786.2000000000003</v>
      </c>
      <c r="S24" s="5">
        <f t="shared" si="21"/>
        <v>1638.7155963302753</v>
      </c>
      <c r="T24" s="5">
        <f t="shared" si="23"/>
        <v>147.484403669725</v>
      </c>
      <c r="U24" s="21">
        <f t="shared" si="22"/>
        <v>99.233333333333348</v>
      </c>
      <c r="V24" s="35"/>
      <c r="W24" s="61">
        <v>72</v>
      </c>
      <c r="X24" s="13">
        <f t="shared" si="25"/>
        <v>7144.8000000000011</v>
      </c>
      <c r="Z24" s="142"/>
    </row>
    <row r="25" spans="1:27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>
        <v>253.33333333333337</v>
      </c>
      <c r="F25" s="95">
        <v>2533.3333333333335</v>
      </c>
      <c r="G25" s="95">
        <v>283.33</v>
      </c>
      <c r="H25" s="95">
        <v>453.33</v>
      </c>
      <c r="I25" s="13"/>
      <c r="J25" s="33"/>
      <c r="K25" s="33"/>
      <c r="L25" s="33"/>
      <c r="M25" s="33"/>
      <c r="N25" s="127"/>
      <c r="O25" s="127"/>
      <c r="P25" s="13">
        <v>6340</v>
      </c>
      <c r="Q25" s="357"/>
      <c r="R25" s="24">
        <f t="shared" si="10"/>
        <v>9863.3266666666677</v>
      </c>
      <c r="S25" s="5">
        <f t="shared" si="21"/>
        <v>9048.9235474006127</v>
      </c>
      <c r="T25" s="5">
        <f t="shared" si="23"/>
        <v>814.403119266055</v>
      </c>
      <c r="U25" s="21">
        <f t="shared" si="22"/>
        <v>32.877755555555559</v>
      </c>
      <c r="V25" s="35"/>
      <c r="W25" s="61"/>
      <c r="X25" s="13"/>
      <c r="Z25" s="142"/>
    </row>
    <row r="26" spans="1:27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4785</v>
      </c>
      <c r="G26" s="95">
        <v>141.66999999999999</v>
      </c>
      <c r="H26" s="95">
        <v>760</v>
      </c>
      <c r="I26" s="13"/>
      <c r="J26" s="33"/>
      <c r="K26" s="33"/>
      <c r="L26" s="33"/>
      <c r="M26" s="33"/>
      <c r="N26" s="127"/>
      <c r="O26" s="127"/>
      <c r="P26" s="13">
        <v>830</v>
      </c>
      <c r="Q26" s="357"/>
      <c r="R26" s="24">
        <f t="shared" si="10"/>
        <v>6516.67</v>
      </c>
      <c r="S26" s="5">
        <f t="shared" si="21"/>
        <v>5978.5963302752289</v>
      </c>
      <c r="T26" s="5">
        <f t="shared" si="23"/>
        <v>538.07366972477121</v>
      </c>
      <c r="U26" s="21">
        <f t="shared" si="22"/>
        <v>43.444466666666671</v>
      </c>
      <c r="V26" s="35"/>
      <c r="W26" s="61">
        <v>150</v>
      </c>
      <c r="X26" s="13">
        <f t="shared" ref="X26:X42" si="26">+U26*W26</f>
        <v>6516.670000000001</v>
      </c>
      <c r="Z26" s="142"/>
    </row>
    <row r="27" spans="1:27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50.666666666666671</v>
      </c>
      <c r="F27" s="95">
        <v>3422</v>
      </c>
      <c r="G27" s="95">
        <v>383.33</v>
      </c>
      <c r="H27" s="95">
        <v>42</v>
      </c>
      <c r="I27" s="13"/>
      <c r="J27" s="33"/>
      <c r="K27" s="33"/>
      <c r="L27" s="33"/>
      <c r="M27" s="33"/>
      <c r="N27" s="127"/>
      <c r="O27" s="127">
        <v>49.33</v>
      </c>
      <c r="P27" s="13">
        <f>151.33+2606</f>
        <v>2757.33</v>
      </c>
      <c r="Q27" s="357"/>
      <c r="R27" s="24">
        <f t="shared" si="10"/>
        <v>6704.6566666666658</v>
      </c>
      <c r="S27" s="5">
        <f t="shared" si="21"/>
        <v>6151.0611620795098</v>
      </c>
      <c r="T27" s="5">
        <f t="shared" si="23"/>
        <v>553.59550458715603</v>
      </c>
      <c r="U27" s="21">
        <f t="shared" si="22"/>
        <v>111.74427777777777</v>
      </c>
      <c r="V27" s="35"/>
      <c r="W27" s="61">
        <v>240</v>
      </c>
      <c r="X27" s="13">
        <f t="shared" si="26"/>
        <v>26818.626666666663</v>
      </c>
      <c r="Z27" s="142"/>
    </row>
    <row r="28" spans="1:27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20"/>
      <c r="F28" s="95">
        <v>942</v>
      </c>
      <c r="G28" s="95"/>
      <c r="H28" s="95"/>
      <c r="I28" s="13"/>
      <c r="J28" s="33"/>
      <c r="K28" s="33"/>
      <c r="L28" s="33"/>
      <c r="M28" s="33"/>
      <c r="N28" s="127"/>
      <c r="O28" s="127"/>
      <c r="P28" s="13">
        <v>14157</v>
      </c>
      <c r="Q28" s="357"/>
      <c r="R28" s="24">
        <f t="shared" si="10"/>
        <v>15099</v>
      </c>
      <c r="S28" s="5">
        <f t="shared" si="21"/>
        <v>13852.293577981651</v>
      </c>
      <c r="T28" s="5">
        <f t="shared" si="23"/>
        <v>1246.7064220183493</v>
      </c>
      <c r="U28" s="21">
        <f t="shared" si="22"/>
        <v>55.922222222222224</v>
      </c>
      <c r="V28" s="35"/>
      <c r="W28" s="61"/>
      <c r="X28" s="13"/>
      <c r="Z28" s="142"/>
    </row>
    <row r="29" spans="1:27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20"/>
      <c r="F29" s="95">
        <v>133.5</v>
      </c>
      <c r="G29" s="95"/>
      <c r="H29" s="95"/>
      <c r="I29" s="13"/>
      <c r="J29" s="33"/>
      <c r="K29" s="33"/>
      <c r="L29" s="33"/>
      <c r="M29" s="33"/>
      <c r="N29" s="127"/>
      <c r="O29" s="127"/>
      <c r="P29" s="13"/>
      <c r="Q29" s="357"/>
      <c r="R29" s="24">
        <f t="shared" si="10"/>
        <v>133.5</v>
      </c>
      <c r="S29" s="5">
        <f t="shared" si="21"/>
        <v>122.47706422018348</v>
      </c>
      <c r="T29" s="5">
        <f t="shared" si="23"/>
        <v>11.022935779816521</v>
      </c>
      <c r="U29" s="21">
        <f t="shared" si="22"/>
        <v>0.98888888888888893</v>
      </c>
      <c r="V29" s="35"/>
      <c r="W29" s="61">
        <v>135</v>
      </c>
      <c r="X29" s="13">
        <f t="shared" si="26"/>
        <v>133.5</v>
      </c>
      <c r="Z29" s="142"/>
    </row>
    <row r="30" spans="1:27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20"/>
      <c r="F30" s="95"/>
      <c r="G30" s="95"/>
      <c r="H30" s="95"/>
      <c r="I30" s="13"/>
      <c r="J30" s="33"/>
      <c r="K30" s="33"/>
      <c r="L30" s="33"/>
      <c r="M30" s="33">
        <v>37.799999999999997</v>
      </c>
      <c r="N30" s="127"/>
      <c r="O30" s="127"/>
      <c r="P30" s="13">
        <v>52.8</v>
      </c>
      <c r="Q30" s="357"/>
      <c r="R30" s="24">
        <f t="shared" si="10"/>
        <v>90.6</v>
      </c>
      <c r="S30" s="5">
        <f t="shared" si="21"/>
        <v>83.119266055045856</v>
      </c>
      <c r="T30" s="5">
        <f t="shared" si="23"/>
        <v>7.4807339449541388</v>
      </c>
      <c r="U30" s="21">
        <f t="shared" si="22"/>
        <v>1.6777777777777776</v>
      </c>
      <c r="V30" s="35"/>
      <c r="W30" s="61">
        <v>216</v>
      </c>
      <c r="X30" s="13">
        <f t="shared" si="26"/>
        <v>362.4</v>
      </c>
      <c r="Z30" s="142"/>
    </row>
    <row r="31" spans="1:27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/>
      <c r="G31" s="95"/>
      <c r="H31" s="95"/>
      <c r="I31" s="13"/>
      <c r="J31" s="33"/>
      <c r="K31" s="33"/>
      <c r="L31" s="33"/>
      <c r="M31" s="33"/>
      <c r="N31" s="127"/>
      <c r="O31" s="127"/>
      <c r="P31" s="13"/>
      <c r="Q31" s="357"/>
      <c r="R31" s="24">
        <f t="shared" si="10"/>
        <v>0</v>
      </c>
      <c r="S31" s="5">
        <f t="shared" si="21"/>
        <v>0</v>
      </c>
      <c r="T31" s="5">
        <f t="shared" si="23"/>
        <v>0</v>
      </c>
      <c r="U31" s="21">
        <f t="shared" si="22"/>
        <v>0</v>
      </c>
      <c r="V31" s="35"/>
      <c r="W31" s="61"/>
      <c r="X31" s="13"/>
      <c r="Z31" s="142"/>
    </row>
    <row r="32" spans="1:27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558.33333333333337</v>
      </c>
      <c r="G32" s="95">
        <v>291.67</v>
      </c>
      <c r="H32" s="95"/>
      <c r="I32" s="13"/>
      <c r="J32" s="33"/>
      <c r="K32" s="33"/>
      <c r="L32" s="33"/>
      <c r="M32" s="33"/>
      <c r="N32" s="127"/>
      <c r="O32" s="127"/>
      <c r="P32" s="13"/>
      <c r="Q32" s="357"/>
      <c r="R32" s="24">
        <f t="shared" si="10"/>
        <v>850.00333333333333</v>
      </c>
      <c r="S32" s="5">
        <f t="shared" si="21"/>
        <v>779.81957186544332</v>
      </c>
      <c r="T32" s="5">
        <f t="shared" si="23"/>
        <v>70.183761467890008</v>
      </c>
      <c r="U32" s="21">
        <f t="shared" si="22"/>
        <v>2.8333444444444442</v>
      </c>
      <c r="V32" s="35"/>
      <c r="W32" s="61">
        <v>300</v>
      </c>
      <c r="X32" s="13">
        <f t="shared" si="26"/>
        <v>850.00333333333322</v>
      </c>
      <c r="Z32" s="142"/>
    </row>
    <row r="33" spans="1:27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119.33333333333334</v>
      </c>
      <c r="F33" s="95">
        <v>766</v>
      </c>
      <c r="G33" s="95"/>
      <c r="H33" s="95"/>
      <c r="I33" s="13"/>
      <c r="J33" s="33"/>
      <c r="K33" s="33"/>
      <c r="L33" s="33"/>
      <c r="M33" s="33"/>
      <c r="N33" s="127"/>
      <c r="O33" s="127"/>
      <c r="P33" s="13">
        <v>663.33</v>
      </c>
      <c r="Q33" s="357"/>
      <c r="R33" s="24">
        <f t="shared" si="10"/>
        <v>1548.6633333333334</v>
      </c>
      <c r="S33" s="5">
        <f t="shared" si="21"/>
        <v>1420.7920489296637</v>
      </c>
      <c r="T33" s="5">
        <f t="shared" si="23"/>
        <v>127.87128440366973</v>
      </c>
      <c r="U33" s="21">
        <f t="shared" si="22"/>
        <v>12.905527777777779</v>
      </c>
      <c r="V33" s="35"/>
      <c r="W33" s="61">
        <v>480</v>
      </c>
      <c r="X33" s="13">
        <f t="shared" si="26"/>
        <v>6194.6533333333336</v>
      </c>
      <c r="Z33" s="142"/>
    </row>
    <row r="34" spans="1:27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127"/>
      <c r="O34" s="127"/>
      <c r="P34" s="13"/>
      <c r="Q34" s="357"/>
      <c r="R34" s="24">
        <f t="shared" si="10"/>
        <v>0</v>
      </c>
      <c r="S34" s="5">
        <f t="shared" si="21"/>
        <v>0</v>
      </c>
      <c r="T34" s="5">
        <f t="shared" si="23"/>
        <v>0</v>
      </c>
      <c r="U34" s="21">
        <f t="shared" si="22"/>
        <v>0</v>
      </c>
      <c r="V34" s="35"/>
      <c r="W34" s="61"/>
      <c r="X34" s="13"/>
      <c r="Z34" s="142"/>
    </row>
    <row r="35" spans="1:27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127"/>
      <c r="O35" s="127"/>
      <c r="P35" s="13"/>
      <c r="Q35" s="357"/>
      <c r="R35" s="24">
        <f t="shared" si="10"/>
        <v>0</v>
      </c>
      <c r="S35" s="5">
        <f t="shared" si="21"/>
        <v>0</v>
      </c>
      <c r="T35" s="5">
        <f t="shared" si="23"/>
        <v>0</v>
      </c>
      <c r="U35" s="21">
        <f t="shared" si="22"/>
        <v>0</v>
      </c>
      <c r="V35" s="35"/>
      <c r="W35" s="61">
        <v>270</v>
      </c>
      <c r="X35" s="13">
        <f t="shared" si="26"/>
        <v>0</v>
      </c>
      <c r="Z35" s="142"/>
    </row>
    <row r="36" spans="1:27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127"/>
      <c r="O36" s="127"/>
      <c r="P36" s="13">
        <v>90.6</v>
      </c>
      <c r="Q36" s="357"/>
      <c r="R36" s="24">
        <f t="shared" si="10"/>
        <v>90.6</v>
      </c>
      <c r="S36" s="5">
        <f t="shared" si="21"/>
        <v>83.119266055045856</v>
      </c>
      <c r="T36" s="5">
        <f t="shared" si="23"/>
        <v>7.4807339449541388</v>
      </c>
      <c r="U36" s="21">
        <f t="shared" si="22"/>
        <v>0.8388888888888888</v>
      </c>
      <c r="V36" s="35"/>
      <c r="W36" s="61">
        <v>432</v>
      </c>
      <c r="X36" s="13">
        <f t="shared" si="26"/>
        <v>362.4</v>
      </c>
      <c r="Z36" s="142"/>
    </row>
    <row r="37" spans="1:27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>
        <v>1720</v>
      </c>
      <c r="I37" s="13"/>
      <c r="J37" s="33"/>
      <c r="K37" s="33"/>
      <c r="L37" s="33"/>
      <c r="M37" s="33"/>
      <c r="N37" s="127"/>
      <c r="O37" s="127"/>
      <c r="P37" s="13"/>
      <c r="Q37" s="357"/>
      <c r="R37" s="24">
        <f t="shared" si="10"/>
        <v>1720</v>
      </c>
      <c r="S37" s="5">
        <f t="shared" si="21"/>
        <v>1577.9816513761466</v>
      </c>
      <c r="T37" s="5">
        <f t="shared" si="23"/>
        <v>142.0183486238534</v>
      </c>
      <c r="U37" s="21">
        <f t="shared" si="22"/>
        <v>1.9111111111111112</v>
      </c>
      <c r="V37" s="35"/>
      <c r="W37" s="61"/>
      <c r="X37" s="13"/>
      <c r="Z37" s="142"/>
    </row>
    <row r="38" spans="1:27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127"/>
      <c r="O38" s="127"/>
      <c r="P38" s="13"/>
      <c r="Q38" s="357"/>
      <c r="R38" s="24">
        <f t="shared" si="10"/>
        <v>0</v>
      </c>
      <c r="S38" s="5">
        <f t="shared" si="21"/>
        <v>0</v>
      </c>
      <c r="T38" s="5">
        <f t="shared" si="23"/>
        <v>0</v>
      </c>
      <c r="U38" s="21">
        <f t="shared" si="22"/>
        <v>0</v>
      </c>
      <c r="V38" s="35"/>
      <c r="W38" s="61">
        <v>450</v>
      </c>
      <c r="X38" s="13">
        <f t="shared" si="26"/>
        <v>0</v>
      </c>
      <c r="Z38" s="142"/>
    </row>
    <row r="39" spans="1:27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/>
      <c r="G39" s="95"/>
      <c r="H39" s="95"/>
      <c r="I39" s="13"/>
      <c r="J39" s="33"/>
      <c r="K39" s="33"/>
      <c r="L39" s="33"/>
      <c r="M39" s="33"/>
      <c r="N39" s="127"/>
      <c r="O39" s="127"/>
      <c r="P39" s="13">
        <v>514</v>
      </c>
      <c r="Q39" s="357"/>
      <c r="R39" s="24">
        <f t="shared" si="10"/>
        <v>514</v>
      </c>
      <c r="S39" s="5">
        <f t="shared" si="21"/>
        <v>471.55963302752292</v>
      </c>
      <c r="T39" s="5">
        <f t="shared" si="23"/>
        <v>42.440366972477079</v>
      </c>
      <c r="U39" s="21">
        <f t="shared" si="22"/>
        <v>2.8555555555555556</v>
      </c>
      <c r="V39" s="35"/>
      <c r="W39" s="61">
        <v>720</v>
      </c>
      <c r="X39" s="13">
        <f t="shared" si="26"/>
        <v>2056</v>
      </c>
      <c r="Z39" s="142"/>
    </row>
    <row r="40" spans="1:27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127"/>
      <c r="O40" s="127"/>
      <c r="P40" s="13"/>
      <c r="Q40" s="357"/>
      <c r="R40" s="24">
        <f t="shared" si="10"/>
        <v>0</v>
      </c>
      <c r="S40" s="5">
        <f t="shared" si="21"/>
        <v>0</v>
      </c>
      <c r="T40" s="5">
        <f t="shared" si="23"/>
        <v>0</v>
      </c>
      <c r="U40" s="21">
        <f t="shared" si="22"/>
        <v>0</v>
      </c>
      <c r="V40" s="71"/>
      <c r="W40" s="61"/>
      <c r="X40" s="13"/>
      <c r="Z40" s="142"/>
    </row>
    <row r="41" spans="1:27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127"/>
      <c r="O41" s="127"/>
      <c r="P41" s="13"/>
      <c r="Q41" s="357"/>
      <c r="R41" s="24">
        <f t="shared" si="10"/>
        <v>0</v>
      </c>
      <c r="S41" s="5">
        <f t="shared" si="21"/>
        <v>0</v>
      </c>
      <c r="T41" s="5">
        <f t="shared" si="23"/>
        <v>0</v>
      </c>
      <c r="U41" s="21">
        <f t="shared" si="22"/>
        <v>0</v>
      </c>
      <c r="V41" s="71"/>
      <c r="W41" s="61">
        <v>405</v>
      </c>
      <c r="X41" s="13">
        <f t="shared" si="26"/>
        <v>0</v>
      </c>
      <c r="Z41" s="142"/>
    </row>
    <row r="42" spans="1:27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21"/>
      <c r="O42" s="221"/>
      <c r="P42" s="25">
        <v>154.80000000000001</v>
      </c>
      <c r="Q42" s="358"/>
      <c r="R42" s="24">
        <f t="shared" si="10"/>
        <v>154.80000000000001</v>
      </c>
      <c r="S42" s="26">
        <f t="shared" si="21"/>
        <v>142.0183486238532</v>
      </c>
      <c r="T42" s="26">
        <f t="shared" si="23"/>
        <v>12.781651376146812</v>
      </c>
      <c r="U42" s="39">
        <f t="shared" si="22"/>
        <v>0.9555555555555556</v>
      </c>
      <c r="V42" s="71"/>
      <c r="W42" s="61">
        <v>648</v>
      </c>
      <c r="X42" s="13">
        <f t="shared" si="26"/>
        <v>619.20000000000005</v>
      </c>
      <c r="Z42" s="142"/>
    </row>
    <row r="43" spans="1:27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95.643835616438352</v>
      </c>
      <c r="F43" s="124">
        <v>3627.5616438356165</v>
      </c>
      <c r="G43" s="124">
        <v>372.08</v>
      </c>
      <c r="H43" s="124">
        <v>755.4</v>
      </c>
      <c r="I43" s="124"/>
      <c r="J43" s="124"/>
      <c r="K43" s="124"/>
      <c r="L43" s="124"/>
      <c r="M43" s="124">
        <v>76.3</v>
      </c>
      <c r="N43" s="124"/>
      <c r="O43" s="124"/>
      <c r="P43" s="148"/>
      <c r="Q43" s="352"/>
      <c r="R43" s="24">
        <f t="shared" si="10"/>
        <v>4926.9854794520552</v>
      </c>
      <c r="S43" s="124">
        <f t="shared" si="21"/>
        <v>4520.1701646349129</v>
      </c>
      <c r="T43" s="6">
        <f t="shared" si="23"/>
        <v>406.81531481714228</v>
      </c>
      <c r="U43" s="22">
        <f>+R43/D43</f>
        <v>492.69854794520552</v>
      </c>
      <c r="V43" s="71"/>
      <c r="W43" s="61"/>
      <c r="X43" s="13"/>
      <c r="Y43" s="2"/>
      <c r="Z43" s="1"/>
    </row>
    <row r="44" spans="1:27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502.05999999999995</v>
      </c>
      <c r="F44" s="82">
        <f>+SUM(F45:F53)</f>
        <v>16405.62</v>
      </c>
      <c r="G44" s="82">
        <f>+SUM(G45:G53)</f>
        <v>2676.08</v>
      </c>
      <c r="H44" s="82">
        <f>+SUM(H45:H53)</f>
        <v>370.12000000000006</v>
      </c>
      <c r="I44" s="82">
        <f t="shared" ref="I44:U44" si="27">+SUM(I45:I53)</f>
        <v>0</v>
      </c>
      <c r="J44" s="82">
        <f t="shared" si="27"/>
        <v>0</v>
      </c>
      <c r="K44" s="100">
        <f t="shared" si="27"/>
        <v>0</v>
      </c>
      <c r="L44" s="100"/>
      <c r="M44" s="100">
        <f t="shared" si="27"/>
        <v>47.080000000000005</v>
      </c>
      <c r="N44" s="100">
        <f t="shared" si="27"/>
        <v>89.97999999999999</v>
      </c>
      <c r="O44" s="100">
        <f t="shared" si="27"/>
        <v>31.16</v>
      </c>
      <c r="P44" s="187">
        <f t="shared" si="27"/>
        <v>1927.31</v>
      </c>
      <c r="Q44" s="100">
        <f t="shared" si="27"/>
        <v>0</v>
      </c>
      <c r="R44" s="42">
        <f>+SUM(R45:R53)</f>
        <v>22049.409999999996</v>
      </c>
      <c r="S44" s="82">
        <f t="shared" si="27"/>
        <v>20228.816513761463</v>
      </c>
      <c r="T44" s="82">
        <f t="shared" si="27"/>
        <v>1820.5934862385345</v>
      </c>
      <c r="U44" s="19">
        <f t="shared" si="27"/>
        <v>955.13333333333321</v>
      </c>
      <c r="V44" s="71"/>
      <c r="W44" s="61"/>
      <c r="X44" s="105">
        <f>+SUM(X45:X68)</f>
        <v>13404.39</v>
      </c>
    </row>
    <row r="45" spans="1:27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127"/>
      <c r="O45" s="127"/>
      <c r="P45" s="308"/>
      <c r="Q45" s="356"/>
      <c r="R45" s="24">
        <f t="shared" si="10"/>
        <v>0</v>
      </c>
      <c r="S45" s="99">
        <f t="shared" ref="S45:S53" si="28">+R45/1.09</f>
        <v>0</v>
      </c>
      <c r="T45" s="64">
        <f t="shared" ref="T45:T53" si="29">+R45-S45</f>
        <v>0</v>
      </c>
      <c r="U45" s="85">
        <f t="shared" ref="U45:U53" si="30">R45/D45</f>
        <v>0</v>
      </c>
      <c r="V45" s="71"/>
      <c r="W45" s="61"/>
      <c r="X45" s="13"/>
      <c r="Y45"/>
      <c r="Z45" s="142"/>
      <c r="AA45"/>
    </row>
    <row r="46" spans="1:27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127"/>
      <c r="O46" s="127"/>
      <c r="P46" s="13"/>
      <c r="Q46" s="357"/>
      <c r="R46" s="24">
        <f t="shared" si="10"/>
        <v>0</v>
      </c>
      <c r="S46" s="5">
        <f t="shared" si="28"/>
        <v>0</v>
      </c>
      <c r="T46" s="5">
        <f t="shared" si="29"/>
        <v>0</v>
      </c>
      <c r="U46" s="31">
        <f t="shared" si="30"/>
        <v>0</v>
      </c>
      <c r="V46" s="71"/>
      <c r="W46" s="61">
        <v>6</v>
      </c>
      <c r="X46" s="13">
        <f t="shared" ref="X46:X47" si="31">+U46*W46</f>
        <v>0</v>
      </c>
      <c r="Z46" s="142"/>
    </row>
    <row r="47" spans="1:27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127"/>
      <c r="O47" s="127"/>
      <c r="P47" s="13"/>
      <c r="Q47" s="357"/>
      <c r="R47" s="24">
        <f t="shared" si="10"/>
        <v>0</v>
      </c>
      <c r="S47" s="5">
        <f t="shared" si="28"/>
        <v>0</v>
      </c>
      <c r="T47" s="5">
        <f t="shared" si="29"/>
        <v>0</v>
      </c>
      <c r="U47" s="31">
        <f t="shared" si="30"/>
        <v>0</v>
      </c>
      <c r="V47" s="71"/>
      <c r="W47" s="61">
        <v>9.6</v>
      </c>
      <c r="X47" s="13">
        <f t="shared" si="31"/>
        <v>0</v>
      </c>
      <c r="Z47" s="142"/>
    </row>
    <row r="48" spans="1:27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28</v>
      </c>
      <c r="F48" s="13">
        <v>756</v>
      </c>
      <c r="G48" s="13">
        <v>140</v>
      </c>
      <c r="H48" s="13"/>
      <c r="I48" s="13"/>
      <c r="J48" s="33"/>
      <c r="K48" s="33"/>
      <c r="L48" s="33"/>
      <c r="M48" s="33"/>
      <c r="N48" s="127">
        <v>14</v>
      </c>
      <c r="O48" s="127"/>
      <c r="P48" s="13">
        <v>91</v>
      </c>
      <c r="Q48" s="357"/>
      <c r="R48" s="24">
        <f t="shared" si="10"/>
        <v>1029</v>
      </c>
      <c r="S48" s="5">
        <f t="shared" si="28"/>
        <v>944.03669724770634</v>
      </c>
      <c r="T48" s="5">
        <f t="shared" si="29"/>
        <v>84.963302752293657</v>
      </c>
      <c r="U48" s="31">
        <f t="shared" si="30"/>
        <v>49</v>
      </c>
      <c r="V48" s="71"/>
      <c r="W48" s="61"/>
      <c r="X48" s="13"/>
      <c r="Z48" s="142"/>
    </row>
    <row r="49" spans="1:26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21</v>
      </c>
      <c r="G49" s="13">
        <v>21</v>
      </c>
      <c r="H49" s="13">
        <v>7</v>
      </c>
      <c r="I49" s="13"/>
      <c r="J49" s="33"/>
      <c r="K49" s="33"/>
      <c r="L49" s="33"/>
      <c r="M49" s="33"/>
      <c r="N49" s="127"/>
      <c r="O49" s="127"/>
      <c r="P49" s="13"/>
      <c r="Q49" s="357"/>
      <c r="R49" s="24">
        <f t="shared" si="10"/>
        <v>49</v>
      </c>
      <c r="S49" s="5">
        <f t="shared" si="28"/>
        <v>44.954128440366972</v>
      </c>
      <c r="T49" s="5">
        <f t="shared" si="29"/>
        <v>4.0458715596330279</v>
      </c>
      <c r="U49" s="21">
        <f t="shared" si="30"/>
        <v>4.666666666666667</v>
      </c>
      <c r="V49" s="71"/>
      <c r="W49" s="61">
        <v>10.5</v>
      </c>
      <c r="X49" s="13">
        <f t="shared" ref="X49:X50" si="32">+U49*W49</f>
        <v>49</v>
      </c>
      <c r="Z49" s="142"/>
    </row>
    <row r="50" spans="1:26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4.2</v>
      </c>
      <c r="F50" s="13">
        <v>400.4</v>
      </c>
      <c r="G50" s="13">
        <v>51.8</v>
      </c>
      <c r="H50" s="13">
        <v>5.6</v>
      </c>
      <c r="I50" s="13"/>
      <c r="J50" s="33"/>
      <c r="K50" s="33"/>
      <c r="L50" s="33"/>
      <c r="M50" s="33">
        <v>2.8</v>
      </c>
      <c r="N50" s="127">
        <v>11.2</v>
      </c>
      <c r="O50" s="127"/>
      <c r="P50" s="13">
        <v>77</v>
      </c>
      <c r="Q50" s="357"/>
      <c r="R50" s="24">
        <f t="shared" si="10"/>
        <v>553</v>
      </c>
      <c r="S50" s="5">
        <f t="shared" si="28"/>
        <v>507.33944954128435</v>
      </c>
      <c r="T50" s="5">
        <f t="shared" si="29"/>
        <v>45.660550458715647</v>
      </c>
      <c r="U50" s="21">
        <f t="shared" si="30"/>
        <v>131.66666666666666</v>
      </c>
      <c r="V50" s="71"/>
      <c r="W50" s="61">
        <v>16.8</v>
      </c>
      <c r="X50" s="13">
        <f t="shared" si="32"/>
        <v>2212</v>
      </c>
      <c r="Z50" s="142"/>
    </row>
    <row r="51" spans="1:26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410</v>
      </c>
      <c r="F51" s="13">
        <v>12500.9</v>
      </c>
      <c r="G51" s="13">
        <v>1881.9</v>
      </c>
      <c r="H51" s="13">
        <v>291.10000000000002</v>
      </c>
      <c r="I51" s="13"/>
      <c r="J51" s="33"/>
      <c r="K51" s="33"/>
      <c r="L51" s="33"/>
      <c r="M51" s="33">
        <v>16.399999999999999</v>
      </c>
      <c r="N51" s="127">
        <v>57.4</v>
      </c>
      <c r="O51" s="127">
        <v>24.6</v>
      </c>
      <c r="P51" s="13">
        <v>1357.1</v>
      </c>
      <c r="Q51" s="357"/>
      <c r="R51" s="24">
        <f t="shared" si="10"/>
        <v>16539.399999999998</v>
      </c>
      <c r="S51" s="5">
        <f t="shared" si="28"/>
        <v>15173.761467889904</v>
      </c>
      <c r="T51" s="5">
        <f t="shared" si="29"/>
        <v>1365.6385321100934</v>
      </c>
      <c r="U51" s="21">
        <f t="shared" si="30"/>
        <v>403.39999999999992</v>
      </c>
      <c r="V51" s="71"/>
      <c r="W51" s="61"/>
      <c r="X51" s="13"/>
      <c r="Z51" s="142"/>
    </row>
    <row r="52" spans="1:26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8.1999999999999993</v>
      </c>
      <c r="F52" s="13">
        <v>1070.0999999999999</v>
      </c>
      <c r="G52" s="13">
        <v>254.2</v>
      </c>
      <c r="H52" s="13">
        <v>45.1</v>
      </c>
      <c r="I52" s="13"/>
      <c r="J52" s="33"/>
      <c r="K52" s="33"/>
      <c r="L52" s="33"/>
      <c r="M52" s="33">
        <v>20.5</v>
      </c>
      <c r="N52" s="127"/>
      <c r="O52" s="127"/>
      <c r="P52" s="13">
        <v>59.45</v>
      </c>
      <c r="Q52" s="357"/>
      <c r="R52" s="24">
        <f t="shared" si="10"/>
        <v>1457.55</v>
      </c>
      <c r="S52" s="5">
        <f t="shared" si="28"/>
        <v>1337.2018348623851</v>
      </c>
      <c r="T52" s="5">
        <f t="shared" si="29"/>
        <v>120.34816513761484</v>
      </c>
      <c r="U52" s="21">
        <f t="shared" si="30"/>
        <v>71.099999999999994</v>
      </c>
      <c r="V52" s="71"/>
      <c r="W52" s="61">
        <v>20.5</v>
      </c>
      <c r="X52" s="13">
        <f t="shared" ref="X52:X53" si="33">+U52*W52</f>
        <v>1457.55</v>
      </c>
      <c r="Z52" s="142"/>
    </row>
    <row r="53" spans="1:26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51.66</v>
      </c>
      <c r="F53" s="14">
        <v>1657.22</v>
      </c>
      <c r="G53" s="14">
        <v>327.18</v>
      </c>
      <c r="H53" s="14">
        <v>21.32</v>
      </c>
      <c r="I53" s="14"/>
      <c r="J53" s="76"/>
      <c r="K53" s="76"/>
      <c r="L53" s="76"/>
      <c r="M53" s="76">
        <v>7.38</v>
      </c>
      <c r="N53" s="148">
        <v>7.38</v>
      </c>
      <c r="O53" s="148">
        <v>6.56</v>
      </c>
      <c r="P53" s="14">
        <v>342.76</v>
      </c>
      <c r="Q53" s="224"/>
      <c r="R53" s="359">
        <f t="shared" si="10"/>
        <v>2421.46</v>
      </c>
      <c r="S53" s="6">
        <f t="shared" si="28"/>
        <v>2221.5229357798162</v>
      </c>
      <c r="T53" s="6">
        <f t="shared" si="29"/>
        <v>199.93706422018386</v>
      </c>
      <c r="U53" s="22">
        <f t="shared" si="30"/>
        <v>295.3</v>
      </c>
      <c r="V53" s="35"/>
      <c r="W53" s="61">
        <v>32.799999999999997</v>
      </c>
      <c r="X53" s="13">
        <f t="shared" si="33"/>
        <v>9685.84</v>
      </c>
      <c r="Z53" s="142"/>
    </row>
    <row r="54" spans="1:26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R54" s="2"/>
      <c r="S54" s="2"/>
      <c r="T54" s="2"/>
    </row>
    <row r="55" spans="1:26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R55" s="2"/>
      <c r="S55" s="2"/>
      <c r="T55" s="2"/>
    </row>
    <row r="57" spans="1:26" x14ac:dyDescent="0.25">
      <c r="P57" s="137"/>
      <c r="Q57" s="137"/>
    </row>
    <row r="73" spans="2:2" x14ac:dyDescent="0.25">
      <c r="B73" s="1"/>
    </row>
  </sheetData>
  <mergeCells count="19">
    <mergeCell ref="F3:F4"/>
    <mergeCell ref="A3:A4"/>
    <mergeCell ref="B3:B4"/>
    <mergeCell ref="C3:C4"/>
    <mergeCell ref="D3:D4"/>
    <mergeCell ref="E3:E4"/>
    <mergeCell ref="X3:X4"/>
    <mergeCell ref="G3:G4"/>
    <mergeCell ref="H3:H4"/>
    <mergeCell ref="I3:I4"/>
    <mergeCell ref="J3:J4"/>
    <mergeCell ref="K3:L3"/>
    <mergeCell ref="M3:M4"/>
    <mergeCell ref="P3:Q3"/>
    <mergeCell ref="R3:R4"/>
    <mergeCell ref="S3:S4"/>
    <mergeCell ref="T3:T4"/>
    <mergeCell ref="U3:U4"/>
    <mergeCell ref="N3:O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A73"/>
  <sheetViews>
    <sheetView zoomScaleNormal="100" workbookViewId="0">
      <selection activeCell="E1" sqref="E1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3.33203125" style="1" customWidth="1"/>
    <col min="16" max="16" width="11.88671875" style="1" customWidth="1"/>
    <col min="17" max="17" width="11.88671875" style="1" hidden="1" customWidth="1" outlineLevel="1"/>
    <col min="18" max="18" width="12.33203125" style="1" bestFit="1" customWidth="1" collapsed="1"/>
    <col min="19" max="19" width="12.33203125" style="1" customWidth="1"/>
    <col min="20" max="20" width="13.109375" style="1" bestFit="1" customWidth="1"/>
    <col min="21" max="21" width="12.33203125" style="1" bestFit="1" customWidth="1"/>
    <col min="22" max="22" width="7.5546875" style="1" customWidth="1"/>
    <col min="23" max="23" width="6.44140625" style="1" customWidth="1" outlineLevel="1"/>
    <col min="24" max="24" width="13.33203125" style="2" customWidth="1" outlineLevel="1"/>
    <col min="25" max="25" width="4.33203125" style="1" customWidth="1" outlineLevel="1"/>
    <col min="26" max="27" width="12.33203125" style="1" bestFit="1" customWidth="1"/>
    <col min="28" max="16384" width="8.88671875" style="1"/>
  </cols>
  <sheetData>
    <row r="1" spans="1:27" ht="16.95" customHeight="1" x14ac:dyDescent="0.3">
      <c r="A1" s="40" t="s">
        <v>325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f>+X5/1.09</f>
        <v>5353297.2905198736</v>
      </c>
    </row>
    <row r="2" spans="1:27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7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99" t="s">
        <v>387</v>
      </c>
      <c r="O3" s="599"/>
      <c r="P3" s="586" t="s">
        <v>178</v>
      </c>
      <c r="Q3" s="598"/>
      <c r="R3" s="590" t="s">
        <v>43</v>
      </c>
      <c r="S3" s="590" t="s">
        <v>44</v>
      </c>
      <c r="T3" s="590" t="s">
        <v>41</v>
      </c>
      <c r="U3" s="590" t="s">
        <v>149</v>
      </c>
      <c r="W3" s="270"/>
      <c r="X3" s="584" t="s">
        <v>148</v>
      </c>
    </row>
    <row r="4" spans="1:27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254" t="s">
        <v>203</v>
      </c>
      <c r="O4" s="254" t="s">
        <v>388</v>
      </c>
      <c r="P4" s="254" t="s">
        <v>203</v>
      </c>
      <c r="Q4" s="254" t="s">
        <v>379</v>
      </c>
      <c r="R4" s="591"/>
      <c r="S4" s="592"/>
      <c r="T4" s="592"/>
      <c r="U4" s="592"/>
      <c r="W4" s="87"/>
      <c r="X4" s="585"/>
    </row>
    <row r="5" spans="1:27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U5" si="0">+E6+E18+E44</f>
        <v>147148.03936073062</v>
      </c>
      <c r="F5" s="82">
        <f t="shared" si="0"/>
        <v>6041150.3555707876</v>
      </c>
      <c r="G5" s="82">
        <f t="shared" si="0"/>
        <v>914868.82999999984</v>
      </c>
      <c r="H5" s="82">
        <f t="shared" si="0"/>
        <v>136988.69</v>
      </c>
      <c r="I5" s="187">
        <f t="shared" si="0"/>
        <v>766746.75</v>
      </c>
      <c r="J5" s="187">
        <f t="shared" si="0"/>
        <v>730169.65</v>
      </c>
      <c r="K5" s="192">
        <f t="shared" si="0"/>
        <v>939259.77999999991</v>
      </c>
      <c r="L5" s="192">
        <f t="shared" si="0"/>
        <v>1485.6799999999184</v>
      </c>
      <c r="M5" s="187">
        <f t="shared" si="0"/>
        <v>58260.800000000003</v>
      </c>
      <c r="N5" s="187">
        <f t="shared" ref="N5:O5" si="1">+N6+N18+N44</f>
        <v>8479.02</v>
      </c>
      <c r="O5" s="187">
        <f t="shared" si="1"/>
        <v>11040.44</v>
      </c>
      <c r="P5" s="187">
        <f t="shared" si="0"/>
        <v>585810.17000000004</v>
      </c>
      <c r="Q5" s="187">
        <f t="shared" si="0"/>
        <v>0</v>
      </c>
      <c r="R5" s="42">
        <f>+SUM(E5:Q5)</f>
        <v>10341408.204931518</v>
      </c>
      <c r="S5" s="42">
        <f t="shared" si="0"/>
        <v>9487530.4632399231</v>
      </c>
      <c r="T5" s="42">
        <f t="shared" si="0"/>
        <v>853877.74169159355</v>
      </c>
      <c r="U5" s="44">
        <f t="shared" si="0"/>
        <v>2319884.6209375951</v>
      </c>
      <c r="V5" s="71"/>
      <c r="W5" s="87"/>
      <c r="X5" s="135">
        <f>+X6+X18+X44</f>
        <v>5835094.0466666622</v>
      </c>
      <c r="Z5" s="2"/>
      <c r="AA5" s="2"/>
    </row>
    <row r="6" spans="1:27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U6" si="2">+E7+E11</f>
        <v>37224.92</v>
      </c>
      <c r="F6" s="82">
        <f t="shared" si="2"/>
        <v>1616740.48</v>
      </c>
      <c r="G6" s="82">
        <f t="shared" si="2"/>
        <v>243624.81999999992</v>
      </c>
      <c r="H6" s="82">
        <f t="shared" si="2"/>
        <v>33080.68</v>
      </c>
      <c r="I6" s="187">
        <f t="shared" si="2"/>
        <v>766746.75</v>
      </c>
      <c r="J6" s="187">
        <f t="shared" si="2"/>
        <v>730169.65</v>
      </c>
      <c r="K6" s="192">
        <f t="shared" si="2"/>
        <v>939259.77999999991</v>
      </c>
      <c r="L6" s="192">
        <f t="shared" si="2"/>
        <v>1485.6799999999184</v>
      </c>
      <c r="M6" s="187">
        <f t="shared" si="2"/>
        <v>16300.54</v>
      </c>
      <c r="N6" s="187">
        <f t="shared" ref="N6:O6" si="3">+N7+N11</f>
        <v>7087.52</v>
      </c>
      <c r="O6" s="187">
        <f t="shared" si="3"/>
        <v>5307.84</v>
      </c>
      <c r="P6" s="187">
        <f t="shared" si="2"/>
        <v>148378.79999999999</v>
      </c>
      <c r="Q6" s="187">
        <f t="shared" si="2"/>
        <v>0</v>
      </c>
      <c r="R6" s="42">
        <f t="shared" ref="R6:R7" si="4">+SUM(E6:Q6)</f>
        <v>4545407.4599999981</v>
      </c>
      <c r="S6" s="42">
        <f t="shared" si="2"/>
        <v>4170098.5871559628</v>
      </c>
      <c r="T6" s="42">
        <f t="shared" si="2"/>
        <v>375308.87284403684</v>
      </c>
      <c r="U6" s="44">
        <f t="shared" si="2"/>
        <v>2180055</v>
      </c>
      <c r="W6" s="61"/>
      <c r="X6" s="105">
        <f>+SUM(X8:X17)</f>
        <v>1038853.54</v>
      </c>
      <c r="Z6" s="2"/>
      <c r="AA6" s="2"/>
    </row>
    <row r="7" spans="1:27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U7" si="5">+SUM(E8:E10)</f>
        <v>0</v>
      </c>
      <c r="F7" s="269">
        <f t="shared" si="5"/>
        <v>0</v>
      </c>
      <c r="G7" s="126">
        <f t="shared" si="5"/>
        <v>0</v>
      </c>
      <c r="H7" s="126">
        <f t="shared" si="5"/>
        <v>0</v>
      </c>
      <c r="I7" s="126">
        <f t="shared" si="5"/>
        <v>766746.75</v>
      </c>
      <c r="J7" s="126">
        <f t="shared" si="5"/>
        <v>730169.65</v>
      </c>
      <c r="K7" s="126">
        <f t="shared" si="5"/>
        <v>0</v>
      </c>
      <c r="L7" s="126">
        <f t="shared" si="5"/>
        <v>0</v>
      </c>
      <c r="M7" s="269">
        <f t="shared" si="5"/>
        <v>0</v>
      </c>
      <c r="N7" s="269">
        <f t="shared" ref="N7:O7" si="6">+SUM(N8:N10)</f>
        <v>0</v>
      </c>
      <c r="O7" s="269">
        <f t="shared" si="6"/>
        <v>0</v>
      </c>
      <c r="P7" s="126">
        <f t="shared" si="5"/>
        <v>0</v>
      </c>
      <c r="Q7" s="126">
        <f t="shared" si="5"/>
        <v>0</v>
      </c>
      <c r="R7" s="43">
        <f t="shared" si="4"/>
        <v>1496916.4</v>
      </c>
      <c r="S7" s="43">
        <f t="shared" si="5"/>
        <v>1373317.7981651374</v>
      </c>
      <c r="T7" s="43">
        <f t="shared" si="5"/>
        <v>123598.60183486246</v>
      </c>
      <c r="U7" s="45">
        <f t="shared" si="5"/>
        <v>556650</v>
      </c>
      <c r="V7" s="71"/>
      <c r="W7" s="134"/>
      <c r="X7" s="105"/>
      <c r="Z7" s="2"/>
      <c r="AA7" s="2"/>
    </row>
    <row r="8" spans="1:27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+'R_2014_06_atkelta(viso)'!E8+R_2014_06_priskirta!E9</f>
        <v>0</v>
      </c>
      <c r="F8" s="127">
        <f>+'R_2014_06_atkelta(viso)'!F8+R_2014_06_priskirta!F9</f>
        <v>0</v>
      </c>
      <c r="G8" s="127">
        <f>+'R_2014_06_atkelta(viso)'!G8+R_2014_06_priskirta!G9</f>
        <v>0</v>
      </c>
      <c r="H8" s="127">
        <f>+'R_2014_06_atkelta(viso)'!H8+R_2014_06_priskirta!H9</f>
        <v>0</v>
      </c>
      <c r="I8" s="127">
        <f>+'R_2014_06_atkelta(viso)'!I8+R_2014_06_priskirta!I9</f>
        <v>554533</v>
      </c>
      <c r="J8" s="127">
        <f>+'R_2014_06_atkelta(viso)'!J8+R_2014_06_priskirta!J9</f>
        <v>511514.5</v>
      </c>
      <c r="K8" s="127">
        <f>+'R_2014_06_atkelta(viso)'!K8+R_2014_06_priskirta!K9</f>
        <v>0</v>
      </c>
      <c r="L8" s="127">
        <f>+'R_2014_06_atkelta(viso)'!L8+R_2014_06_priskirta!L9</f>
        <v>0</v>
      </c>
      <c r="M8" s="127">
        <f>+'R_2014_06_atkelta(viso)'!M8+R_2014_06_priskirta!M9</f>
        <v>0</v>
      </c>
      <c r="N8" s="127">
        <f>+'R_2014_06_atkelta(viso)'!N8+R_2014_06_priskirta!N9</f>
        <v>0</v>
      </c>
      <c r="O8" s="127">
        <f>+'R_2014_06_atkelta(viso)'!O8+R_2014_06_priskirta!O9</f>
        <v>0</v>
      </c>
      <c r="P8" s="127">
        <f>+'R_2014_06_atkelta(viso)'!P8+R_2014_06_priskirta!P9</f>
        <v>0</v>
      </c>
      <c r="Q8" s="127">
        <f>+'R_2014_06_atkelta(viso)'!Q8+R_2014_06_priskirta!Q9</f>
        <v>0</v>
      </c>
      <c r="R8" s="24">
        <f>+SUM(E8:Q8)</f>
        <v>1066047.5</v>
      </c>
      <c r="S8" s="229">
        <f>+R8/1.09</f>
        <v>978025.22935779812</v>
      </c>
      <c r="T8" s="73">
        <f t="shared" ref="T8:T10" si="7">+R8-S8</f>
        <v>88022.270642201882</v>
      </c>
      <c r="U8" s="39">
        <f>R8/D8</f>
        <v>304585</v>
      </c>
      <c r="V8" s="71"/>
      <c r="W8" s="61"/>
      <c r="X8" s="13"/>
      <c r="Y8" s="2"/>
      <c r="Z8" s="2"/>
      <c r="AA8" s="2"/>
    </row>
    <row r="9" spans="1:27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8">+D8*0.5</f>
        <v>1.75</v>
      </c>
      <c r="E9" s="127">
        <f>+'R_2014_06_atkelta(viso)'!E9+R_2014_06_priskirta!E10</f>
        <v>0</v>
      </c>
      <c r="F9" s="127">
        <f>+'R_2014_06_atkelta(viso)'!F9+R_2014_06_priskirta!F10</f>
        <v>0</v>
      </c>
      <c r="G9" s="127">
        <f>+'R_2014_06_atkelta(viso)'!G9+R_2014_06_priskirta!G10</f>
        <v>0</v>
      </c>
      <c r="H9" s="127">
        <f>+'R_2014_06_atkelta(viso)'!H9+R_2014_06_priskirta!H10</f>
        <v>0</v>
      </c>
      <c r="I9" s="127">
        <f>+'R_2014_06_atkelta(viso)'!I9+R_2014_06_priskirta!I10</f>
        <v>208871.25</v>
      </c>
      <c r="J9" s="127">
        <f>+'R_2014_06_atkelta(viso)'!J9+R_2014_06_priskirta!J10</f>
        <v>215167.75</v>
      </c>
      <c r="K9" s="127">
        <f>+'R_2014_06_atkelta(viso)'!K9+R_2014_06_priskirta!K10</f>
        <v>0</v>
      </c>
      <c r="L9" s="127">
        <f>+'R_2014_06_atkelta(viso)'!L9+R_2014_06_priskirta!L10</f>
        <v>0</v>
      </c>
      <c r="M9" s="127">
        <f>+'R_2014_06_atkelta(viso)'!M9+R_2014_06_priskirta!M10</f>
        <v>0</v>
      </c>
      <c r="N9" s="127">
        <f>+'R_2014_06_atkelta(viso)'!N9+R_2014_06_priskirta!N10</f>
        <v>0</v>
      </c>
      <c r="O9" s="127">
        <f>+'R_2014_06_atkelta(viso)'!O9+R_2014_06_priskirta!O10</f>
        <v>0</v>
      </c>
      <c r="P9" s="127">
        <f>+'R_2014_06_atkelta(viso)'!P9+R_2014_06_priskirta!P10</f>
        <v>0</v>
      </c>
      <c r="Q9" s="127">
        <f>+'R_2014_06_atkelta(viso)'!Q9+R_2014_06_priskirta!Q10</f>
        <v>0</v>
      </c>
      <c r="R9" s="24">
        <f t="shared" ref="R9:R53" si="9">+SUM(E9:Q9)</f>
        <v>424039</v>
      </c>
      <c r="S9" s="229">
        <f t="shared" ref="S9:S53" si="10">+R9/1.09</f>
        <v>389026.60550458712</v>
      </c>
      <c r="T9" s="207">
        <f t="shared" si="7"/>
        <v>35012.394495412882</v>
      </c>
      <c r="U9" s="39">
        <f>R9/D9</f>
        <v>242308</v>
      </c>
      <c r="V9" s="71"/>
      <c r="W9" s="61">
        <v>1.75</v>
      </c>
      <c r="X9" s="13">
        <f>+U9*W9</f>
        <v>424039</v>
      </c>
      <c r="Z9" s="2"/>
      <c r="AA9" s="2"/>
    </row>
    <row r="10" spans="1:27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+'R_2014_06_atkelta(viso)'!E10+R_2014_06_priskirta!E11</f>
        <v>0</v>
      </c>
      <c r="F10" s="127">
        <f>+'R_2014_06_atkelta(viso)'!F10+R_2014_06_priskirta!F11</f>
        <v>0</v>
      </c>
      <c r="G10" s="127">
        <f>+'R_2014_06_atkelta(viso)'!G10+R_2014_06_priskirta!G11</f>
        <v>0</v>
      </c>
      <c r="H10" s="127">
        <f>+'R_2014_06_atkelta(viso)'!H10+R_2014_06_priskirta!H11</f>
        <v>0</v>
      </c>
      <c r="I10" s="127">
        <f>+'R_2014_06_atkelta(viso)'!I10+R_2014_06_priskirta!I11</f>
        <v>3342.5</v>
      </c>
      <c r="J10" s="127">
        <f>+'R_2014_06_atkelta(viso)'!J10+R_2014_06_priskirta!J11</f>
        <v>3487.3999999999996</v>
      </c>
      <c r="K10" s="127">
        <f>+'R_2014_06_atkelta(viso)'!K10+R_2014_06_priskirta!K11</f>
        <v>0</v>
      </c>
      <c r="L10" s="127">
        <f>+'R_2014_06_atkelta(viso)'!L10+R_2014_06_priskirta!L11</f>
        <v>0</v>
      </c>
      <c r="M10" s="127">
        <f>+'R_2014_06_atkelta(viso)'!M10+R_2014_06_priskirta!M11</f>
        <v>0</v>
      </c>
      <c r="N10" s="127">
        <f>+'R_2014_06_atkelta(viso)'!N10+R_2014_06_priskirta!N11</f>
        <v>0</v>
      </c>
      <c r="O10" s="127">
        <f>+'R_2014_06_atkelta(viso)'!O10+R_2014_06_priskirta!O11</f>
        <v>0</v>
      </c>
      <c r="P10" s="127">
        <f>+'R_2014_06_atkelta(viso)'!P10+R_2014_06_priskirta!P11</f>
        <v>0</v>
      </c>
      <c r="Q10" s="127">
        <f>+'R_2014_06_atkelta(viso)'!Q10+R_2014_06_priskirta!Q11</f>
        <v>0</v>
      </c>
      <c r="R10" s="24">
        <f t="shared" si="9"/>
        <v>6829.9</v>
      </c>
      <c r="S10" s="229">
        <f t="shared" si="10"/>
        <v>6265.9633027522932</v>
      </c>
      <c r="T10" s="207">
        <f t="shared" si="7"/>
        <v>563.93669724770643</v>
      </c>
      <c r="U10" s="39">
        <f>R10/D10</f>
        <v>9757</v>
      </c>
      <c r="V10" s="71"/>
      <c r="W10" s="107">
        <v>2.8</v>
      </c>
      <c r="X10" s="13">
        <f>+U10*W10</f>
        <v>27319.599999999999</v>
      </c>
      <c r="Y10" s="2"/>
      <c r="Z10" s="2"/>
      <c r="AA10" s="2"/>
    </row>
    <row r="11" spans="1:27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11">+SUM(E12:E17)</f>
        <v>37224.92</v>
      </c>
      <c r="F11" s="84">
        <f t="shared" si="11"/>
        <v>1616740.48</v>
      </c>
      <c r="G11" s="84">
        <f t="shared" si="11"/>
        <v>243624.81999999992</v>
      </c>
      <c r="H11" s="84">
        <f t="shared" si="11"/>
        <v>33080.68</v>
      </c>
      <c r="I11" s="84">
        <f t="shared" si="11"/>
        <v>0</v>
      </c>
      <c r="J11" s="74">
        <f t="shared" si="11"/>
        <v>0</v>
      </c>
      <c r="K11" s="101">
        <f t="shared" si="11"/>
        <v>939259.77999999991</v>
      </c>
      <c r="L11" s="101">
        <f t="shared" si="11"/>
        <v>1485.6799999999184</v>
      </c>
      <c r="M11" s="101">
        <f t="shared" ref="M11:U11" si="12">+SUM(M12:M17)</f>
        <v>16300.54</v>
      </c>
      <c r="N11" s="101">
        <f t="shared" ref="N11:O11" si="13">+SUM(N12:N17)</f>
        <v>7087.52</v>
      </c>
      <c r="O11" s="101">
        <f t="shared" si="13"/>
        <v>5307.84</v>
      </c>
      <c r="P11" s="101">
        <f t="shared" si="12"/>
        <v>148378.79999999999</v>
      </c>
      <c r="Q11" s="101">
        <f t="shared" ref="Q11:R11" si="14">+SUM(Q12:Q17)</f>
        <v>0</v>
      </c>
      <c r="R11" s="43">
        <f t="shared" si="14"/>
        <v>3048491.06</v>
      </c>
      <c r="S11" s="43">
        <f t="shared" si="12"/>
        <v>2796780.7889908254</v>
      </c>
      <c r="T11" s="72">
        <f t="shared" si="12"/>
        <v>251710.27100917438</v>
      </c>
      <c r="U11" s="45">
        <f t="shared" si="12"/>
        <v>1623404.9999999998</v>
      </c>
      <c r="V11" s="71"/>
      <c r="W11" s="61"/>
      <c r="X11" s="13"/>
      <c r="Z11" s="2"/>
      <c r="AA11" s="2"/>
    </row>
    <row r="12" spans="1:27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+'R_2014_06_atkelta(viso)'!E12+R_2014_06_priskirta!E13</f>
        <v>29183</v>
      </c>
      <c r="F12" s="127">
        <f>+'R_2014_06_atkelta(viso)'!F12+R_2014_06_priskirta!F13</f>
        <v>1224139.3999999999</v>
      </c>
      <c r="G12" s="127">
        <f>+'R_2014_06_atkelta(viso)'!G12+R_2014_06_priskirta!G13</f>
        <v>176215.59999999998</v>
      </c>
      <c r="H12" s="127">
        <f>+'R_2014_06_atkelta(viso)'!H12+R_2014_06_priskirta!H13</f>
        <v>25075.599999999999</v>
      </c>
      <c r="I12" s="127">
        <f>+'R_2014_06_atkelta(viso)'!I12+R_2014_06_priskirta!I13</f>
        <v>0</v>
      </c>
      <c r="J12" s="127">
        <f>+'R_2014_06_atkelta(viso)'!J12+R_2014_06_priskirta!J13</f>
        <v>0</v>
      </c>
      <c r="K12" s="127">
        <f>+'R_2014_06_atkelta(viso)'!K12+R_2014_06_priskirta!K13</f>
        <v>720086.4</v>
      </c>
      <c r="L12" s="127">
        <f>+'R_2014_06_atkelta(viso)'!L12+R_2014_06_priskirta!L13</f>
        <v>1163.7999999999302</v>
      </c>
      <c r="M12" s="127">
        <f>+'R_2014_06_atkelta(viso)'!M12+R_2014_06_priskirta!M13</f>
        <v>11006.6</v>
      </c>
      <c r="N12" s="127">
        <f>+'R_2014_06_atkelta(viso)'!N12+R_2014_06_priskirta!N13</f>
        <v>5739.8</v>
      </c>
      <c r="O12" s="127">
        <f>+'R_2014_06_atkelta(viso)'!O12+R_2014_06_priskirta!O13</f>
        <v>4268</v>
      </c>
      <c r="P12" s="127">
        <f>+'R_2014_06_atkelta(viso)'!P12+R_2014_06_priskirta!P13</f>
        <v>130981.4</v>
      </c>
      <c r="Q12" s="127">
        <f>+'R_2014_06_atkelta(viso)'!Q12+R_2014_06_priskirta!Q13</f>
        <v>0</v>
      </c>
      <c r="R12" s="24">
        <f t="shared" si="9"/>
        <v>2327859.5999999996</v>
      </c>
      <c r="S12" s="229">
        <f t="shared" si="10"/>
        <v>2135651.0091743115</v>
      </c>
      <c r="T12" s="73">
        <f t="shared" ref="T12:T17" si="15">+R12-S12</f>
        <v>192208.59082568809</v>
      </c>
      <c r="U12" s="21">
        <f t="shared" ref="U12:U17" si="16">R12/D12</f>
        <v>1058117.9999999998</v>
      </c>
      <c r="V12" s="71"/>
      <c r="W12" s="61"/>
      <c r="X12" s="13"/>
      <c r="Z12" s="2"/>
      <c r="AA12" s="2"/>
    </row>
    <row r="13" spans="1:27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+'R_2014_06_atkelta(viso)'!E13+R_2014_06_priskirta!E14</f>
        <v>7235.8</v>
      </c>
      <c r="F13" s="127">
        <f>+'R_2014_06_atkelta(viso)'!F13+R_2014_06_priskirta!F14</f>
        <v>363090.2</v>
      </c>
      <c r="G13" s="127">
        <f>+'R_2014_06_atkelta(viso)'!G13+R_2014_06_priskirta!G14</f>
        <v>62036.69999999999</v>
      </c>
      <c r="H13" s="127">
        <f>+'R_2014_06_atkelta(viso)'!H13+R_2014_06_priskirta!H14</f>
        <v>7572.4</v>
      </c>
      <c r="I13" s="127">
        <f>+'R_2014_06_atkelta(viso)'!I13+R_2014_06_priskirta!I14</f>
        <v>0</v>
      </c>
      <c r="J13" s="127">
        <f>+'R_2014_06_atkelta(viso)'!J13+R_2014_06_priskirta!J14</f>
        <v>0</v>
      </c>
      <c r="K13" s="127">
        <f>+'R_2014_06_atkelta(viso)'!K13+R_2014_06_priskirta!K14</f>
        <v>78222.100000000006</v>
      </c>
      <c r="L13" s="127">
        <f>+'R_2014_06_atkelta(viso)'!L13+R_2014_06_priskirta!L14</f>
        <v>114.39999999999418</v>
      </c>
      <c r="M13" s="127">
        <f>+'R_2014_06_atkelta(viso)'!M13+R_2014_06_priskirta!M14</f>
        <v>4893.9000000000005</v>
      </c>
      <c r="N13" s="127">
        <f>+'R_2014_06_atkelta(viso)'!N13+R_2014_06_priskirta!N14</f>
        <v>220</v>
      </c>
      <c r="O13" s="127">
        <f>+'R_2014_06_atkelta(viso)'!O13+R_2014_06_priskirta!O14</f>
        <v>116.6</v>
      </c>
      <c r="P13" s="127">
        <f>+'R_2014_06_atkelta(viso)'!P13+R_2014_06_priskirta!P14</f>
        <v>9642.6</v>
      </c>
      <c r="Q13" s="127">
        <f>+'R_2014_06_atkelta(viso)'!Q13+R_2014_06_priskirta!Q14</f>
        <v>0</v>
      </c>
      <c r="R13" s="24">
        <f t="shared" si="9"/>
        <v>533144.70000000007</v>
      </c>
      <c r="S13" s="229">
        <f t="shared" si="10"/>
        <v>489123.57798165141</v>
      </c>
      <c r="T13" s="73">
        <f t="shared" si="15"/>
        <v>44021.122018348658</v>
      </c>
      <c r="U13" s="21">
        <f t="shared" si="16"/>
        <v>484677</v>
      </c>
      <c r="V13" s="71"/>
      <c r="W13" s="107">
        <v>1.1000000000000001</v>
      </c>
      <c r="X13" s="13">
        <f t="shared" ref="X13:X14" si="17">+U13*W13</f>
        <v>533144.70000000007</v>
      </c>
      <c r="Z13" s="2"/>
      <c r="AA13" s="2"/>
    </row>
    <row r="14" spans="1:27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+'R_2014_06_atkelta(viso)'!E14+R_2014_06_priskirta!E15</f>
        <v>92.84</v>
      </c>
      <c r="F14" s="127">
        <f>+'R_2014_06_atkelta(viso)'!F14+R_2014_06_priskirta!F15</f>
        <v>4275.04</v>
      </c>
      <c r="G14" s="127">
        <f>+'R_2014_06_atkelta(viso)'!G14+R_2014_06_priskirta!G15</f>
        <v>691.24</v>
      </c>
      <c r="H14" s="127">
        <f>+'R_2014_06_atkelta(viso)'!H14+R_2014_06_priskirta!H15</f>
        <v>78.760000000000005</v>
      </c>
      <c r="I14" s="127">
        <f>+'R_2014_06_atkelta(viso)'!I14+R_2014_06_priskirta!I15</f>
        <v>0</v>
      </c>
      <c r="J14" s="127">
        <f>+'R_2014_06_atkelta(viso)'!J14+R_2014_06_priskirta!J15</f>
        <v>0</v>
      </c>
      <c r="K14" s="127">
        <f>+'R_2014_06_atkelta(viso)'!K14+R_2014_06_priskirta!K15</f>
        <v>1243.44</v>
      </c>
      <c r="L14" s="127">
        <f>+'R_2014_06_atkelta(viso)'!L14+R_2014_06_priskirta!L15</f>
        <v>0.44000000000005457</v>
      </c>
      <c r="M14" s="127">
        <f>+'R_2014_06_atkelta(viso)'!M14+R_2014_06_priskirta!M15</f>
        <v>121</v>
      </c>
      <c r="N14" s="127">
        <f>+'R_2014_06_atkelta(viso)'!N14+R_2014_06_priskirta!N15</f>
        <v>113.96</v>
      </c>
      <c r="O14" s="127">
        <f>+'R_2014_06_atkelta(viso)'!O14+R_2014_06_priskirta!O15</f>
        <v>381.48</v>
      </c>
      <c r="P14" s="127">
        <f>+'R_2014_06_atkelta(viso)'!P14+R_2014_06_priskirta!P15</f>
        <v>92.4</v>
      </c>
      <c r="Q14" s="127">
        <f>+'R_2014_06_atkelta(viso)'!Q14+R_2014_06_priskirta!Q15</f>
        <v>0</v>
      </c>
      <c r="R14" s="24">
        <f t="shared" si="9"/>
        <v>7090.6</v>
      </c>
      <c r="S14" s="229">
        <f t="shared" si="10"/>
        <v>6505.1376146788989</v>
      </c>
      <c r="T14" s="73">
        <f t="shared" si="15"/>
        <v>585.46238532110146</v>
      </c>
      <c r="U14" s="21">
        <f t="shared" si="16"/>
        <v>16115</v>
      </c>
      <c r="V14" s="71"/>
      <c r="W14" s="61">
        <v>1.76</v>
      </c>
      <c r="X14" s="13">
        <f t="shared" si="17"/>
        <v>28362.400000000001</v>
      </c>
      <c r="Z14" s="2"/>
      <c r="AA14" s="2"/>
    </row>
    <row r="15" spans="1:27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+'R_2014_06_atkelta(viso)'!E15+R_2014_06_priskirta!E16</f>
        <v>630.4</v>
      </c>
      <c r="F15" s="127">
        <f>+'R_2014_06_atkelta(viso)'!F15+R_2014_06_priskirta!F16</f>
        <v>20041.599999999999</v>
      </c>
      <c r="G15" s="127">
        <f>+'R_2014_06_atkelta(viso)'!G15+R_2014_06_priskirta!G16</f>
        <v>3500.8</v>
      </c>
      <c r="H15" s="127">
        <f>+'R_2014_06_atkelta(viso)'!H15+R_2014_06_priskirta!H16</f>
        <v>172.8</v>
      </c>
      <c r="I15" s="127">
        <f>+'R_2014_06_atkelta(viso)'!I15+R_2014_06_priskirta!I16</f>
        <v>0</v>
      </c>
      <c r="J15" s="127">
        <f>+'R_2014_06_atkelta(viso)'!J15+R_2014_06_priskirta!J16</f>
        <v>0</v>
      </c>
      <c r="K15" s="127">
        <f>+'R_2014_06_atkelta(viso)'!K15+R_2014_06_priskirta!K16</f>
        <v>122825.60000000001</v>
      </c>
      <c r="L15" s="127">
        <f>+'R_2014_06_atkelta(viso)'!L15+R_2014_06_priskirta!L16</f>
        <v>182.39999999999418</v>
      </c>
      <c r="M15" s="127">
        <f>+'R_2014_06_atkelta(viso)'!M15+R_2014_06_priskirta!M16</f>
        <v>224</v>
      </c>
      <c r="N15" s="127">
        <f>+'R_2014_06_atkelta(viso)'!N15+R_2014_06_priskirta!N16</f>
        <v>956.8</v>
      </c>
      <c r="O15" s="127">
        <f>+'R_2014_06_atkelta(viso)'!O15+R_2014_06_priskirta!O16</f>
        <v>492.8</v>
      </c>
      <c r="P15" s="127">
        <f>+'R_2014_06_atkelta(viso)'!P15+R_2014_06_priskirta!P16</f>
        <v>6780.8</v>
      </c>
      <c r="Q15" s="127">
        <f>+'R_2014_06_atkelta(viso)'!Q15+R_2014_06_priskirta!Q16</f>
        <v>0</v>
      </c>
      <c r="R15" s="24">
        <f t="shared" si="9"/>
        <v>155807.99999999997</v>
      </c>
      <c r="S15" s="229">
        <f t="shared" si="10"/>
        <v>142943.119266055</v>
      </c>
      <c r="T15" s="73">
        <f t="shared" si="15"/>
        <v>12864.88073394497</v>
      </c>
      <c r="U15" s="21">
        <f t="shared" si="16"/>
        <v>48689.999999999985</v>
      </c>
      <c r="V15" s="71"/>
      <c r="W15" s="61"/>
      <c r="X15" s="13"/>
      <c r="Z15" s="2"/>
      <c r="AA15" s="2"/>
    </row>
    <row r="16" spans="1:27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+'R_2014_06_atkelta(viso)'!E16+R_2014_06_priskirta!E17</f>
        <v>81.599999999999994</v>
      </c>
      <c r="F16" s="127">
        <f>+'R_2014_06_atkelta(viso)'!F16+R_2014_06_priskirta!F17</f>
        <v>5075.2</v>
      </c>
      <c r="G16" s="127">
        <f>+'R_2014_06_atkelta(viso)'!G16+R_2014_06_priskirta!G17</f>
        <v>1172.8</v>
      </c>
      <c r="H16" s="127">
        <f>+'R_2014_06_atkelta(viso)'!H16+R_2014_06_priskirta!H17</f>
        <v>176</v>
      </c>
      <c r="I16" s="127">
        <f>+'R_2014_06_atkelta(viso)'!I16+R_2014_06_priskirta!I17</f>
        <v>0</v>
      </c>
      <c r="J16" s="127">
        <f>+'R_2014_06_atkelta(viso)'!J16+R_2014_06_priskirta!J17</f>
        <v>0</v>
      </c>
      <c r="K16" s="127">
        <f>+'R_2014_06_atkelta(viso)'!K16+R_2014_06_priskirta!K17</f>
        <v>16593.599999999999</v>
      </c>
      <c r="L16" s="127">
        <f>+'R_2014_06_atkelta(viso)'!L16+R_2014_06_priskirta!L17</f>
        <v>24</v>
      </c>
      <c r="M16" s="127">
        <f>+'R_2014_06_atkelta(viso)'!M16+R_2014_06_priskirta!M17</f>
        <v>41.6</v>
      </c>
      <c r="N16" s="127">
        <f>+'R_2014_06_atkelta(viso)'!N16+R_2014_06_priskirta!N17</f>
        <v>41.6</v>
      </c>
      <c r="O16" s="127">
        <f>+'R_2014_06_atkelta(viso)'!O16+R_2014_06_priskirta!O17</f>
        <v>33.6</v>
      </c>
      <c r="P16" s="127">
        <f>+'R_2014_06_atkelta(viso)'!P16+R_2014_06_priskirta!P17</f>
        <v>881.6</v>
      </c>
      <c r="Q16" s="127">
        <f>+'R_2014_06_atkelta(viso)'!Q16+R_2014_06_priskirta!Q17</f>
        <v>0</v>
      </c>
      <c r="R16" s="24">
        <f t="shared" si="9"/>
        <v>24121.599999999991</v>
      </c>
      <c r="S16" s="229">
        <f t="shared" si="10"/>
        <v>22129.908256880724</v>
      </c>
      <c r="T16" s="73">
        <f t="shared" si="15"/>
        <v>1991.6917431192669</v>
      </c>
      <c r="U16" s="21">
        <f t="shared" si="16"/>
        <v>15075.999999999995</v>
      </c>
      <c r="V16" s="71"/>
      <c r="W16" s="13">
        <v>1.6</v>
      </c>
      <c r="X16" s="13">
        <f t="shared" ref="X16:X17" si="18">+U16*W16</f>
        <v>24121.599999999991</v>
      </c>
      <c r="Z16" s="2"/>
      <c r="AA16" s="2"/>
    </row>
    <row r="17" spans="1:27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+'R_2014_06_atkelta(viso)'!E17+R_2014_06_priskirta!E18</f>
        <v>1.28</v>
      </c>
      <c r="F17" s="127">
        <f>+'R_2014_06_atkelta(viso)'!F17+R_2014_06_priskirta!F18</f>
        <v>119.04</v>
      </c>
      <c r="G17" s="127">
        <f>+'R_2014_06_atkelta(viso)'!G17+R_2014_06_priskirta!G18</f>
        <v>7.68</v>
      </c>
      <c r="H17" s="127">
        <f>+'R_2014_06_atkelta(viso)'!H17+R_2014_06_priskirta!H18</f>
        <v>5.12</v>
      </c>
      <c r="I17" s="127">
        <f>+'R_2014_06_atkelta(viso)'!I17+R_2014_06_priskirta!I18</f>
        <v>0</v>
      </c>
      <c r="J17" s="127">
        <f>+'R_2014_06_atkelta(viso)'!J17+R_2014_06_priskirta!J18</f>
        <v>0</v>
      </c>
      <c r="K17" s="127">
        <f>+'R_2014_06_atkelta(viso)'!K17+R_2014_06_priskirta!K18</f>
        <v>288.64</v>
      </c>
      <c r="L17" s="127">
        <f>+'R_2014_06_atkelta(viso)'!L17+R_2014_06_priskirta!L18</f>
        <v>0.63999999999998636</v>
      </c>
      <c r="M17" s="127">
        <f>+'R_2014_06_atkelta(viso)'!M17+R_2014_06_priskirta!M18</f>
        <v>13.44</v>
      </c>
      <c r="N17" s="127">
        <f>+'R_2014_06_atkelta(viso)'!N17+R_2014_06_priskirta!N18</f>
        <v>15.36</v>
      </c>
      <c r="O17" s="127">
        <f>+'R_2014_06_atkelta(viso)'!O17+R_2014_06_priskirta!O18</f>
        <v>15.36</v>
      </c>
      <c r="P17" s="127">
        <f>+'R_2014_06_atkelta(viso)'!P17+R_2014_06_priskirta!P18</f>
        <v>0</v>
      </c>
      <c r="Q17" s="127">
        <f>+'R_2014_06_atkelta(viso)'!Q17+R_2014_06_priskirta!Q18</f>
        <v>0</v>
      </c>
      <c r="R17" s="24">
        <f t="shared" si="9"/>
        <v>466.56</v>
      </c>
      <c r="S17" s="229">
        <f t="shared" si="10"/>
        <v>428.0366972477064</v>
      </c>
      <c r="T17" s="207">
        <f t="shared" si="15"/>
        <v>38.523302752293603</v>
      </c>
      <c r="U17" s="22">
        <f t="shared" si="16"/>
        <v>729</v>
      </c>
      <c r="V17" s="71"/>
      <c r="W17" s="61">
        <v>2.56</v>
      </c>
      <c r="X17" s="13">
        <f t="shared" si="18"/>
        <v>1866.24</v>
      </c>
      <c r="Z17" s="2"/>
      <c r="AA17" s="2"/>
    </row>
    <row r="18" spans="1:27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105539.75936073062</v>
      </c>
      <c r="F18" s="118">
        <f t="shared" ref="F18:U18" si="19">+SUM(F19:F43)</f>
        <v>4229183.4555707872</v>
      </c>
      <c r="G18" s="118">
        <f t="shared" si="19"/>
        <v>639184.09999999986</v>
      </c>
      <c r="H18" s="118">
        <f t="shared" si="19"/>
        <v>98740.67</v>
      </c>
      <c r="I18" s="118">
        <f t="shared" si="19"/>
        <v>0</v>
      </c>
      <c r="J18" s="118">
        <f t="shared" si="19"/>
        <v>0</v>
      </c>
      <c r="K18" s="118">
        <f t="shared" si="19"/>
        <v>0</v>
      </c>
      <c r="L18" s="118">
        <f t="shared" ref="L18" si="20">+SUM(L19:L43)</f>
        <v>0</v>
      </c>
      <c r="M18" s="118">
        <f t="shared" si="19"/>
        <v>40559.96</v>
      </c>
      <c r="N18" s="118">
        <f t="shared" ref="N18:O18" si="21">+SUM(N19:N43)</f>
        <v>1081.68</v>
      </c>
      <c r="O18" s="118">
        <f t="shared" si="21"/>
        <v>5131</v>
      </c>
      <c r="P18" s="118">
        <f t="shared" si="19"/>
        <v>416416.88000000006</v>
      </c>
      <c r="Q18" s="118">
        <f t="shared" ref="Q18" si="22">+SUM(Q19:Q43)</f>
        <v>0</v>
      </c>
      <c r="R18" s="42">
        <f>+SUM(R19:R43)</f>
        <v>5535837.5049315188</v>
      </c>
      <c r="S18" s="118">
        <f t="shared" si="19"/>
        <v>5078750.0045243278</v>
      </c>
      <c r="T18" s="118">
        <f t="shared" si="19"/>
        <v>457087.50040718965</v>
      </c>
      <c r="U18" s="253">
        <f t="shared" si="19"/>
        <v>100331.38760426188</v>
      </c>
      <c r="V18" s="71"/>
      <c r="W18" s="61"/>
      <c r="X18" s="105">
        <f>+SUM(X19:X43)</f>
        <v>4378796.846666662</v>
      </c>
      <c r="Y18" s="2"/>
      <c r="Z18" s="2"/>
      <c r="AA18" s="2"/>
    </row>
    <row r="19" spans="1:27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+'R_2014_06_atkelta(viso)'!E19+R_2014_06_priskirta!E20</f>
        <v>66236.666666666686</v>
      </c>
      <c r="F19" s="127">
        <f>+'R_2014_06_atkelta(viso)'!F19+R_2014_06_priskirta!F20</f>
        <v>2499970.0000000158</v>
      </c>
      <c r="G19" s="127">
        <f>+'R_2014_06_atkelta(viso)'!G19+R_2014_06_priskirta!G20</f>
        <v>362683.32999999996</v>
      </c>
      <c r="H19" s="127">
        <f>+'R_2014_06_atkelta(viso)'!H19+R_2014_06_priskirta!H20</f>
        <v>53660</v>
      </c>
      <c r="I19" s="127">
        <f>+'R_2014_06_atkelta(viso)'!I19+R_2014_06_priskirta!I20</f>
        <v>0</v>
      </c>
      <c r="J19" s="127">
        <f>+'R_2014_06_atkelta(viso)'!J19+R_2014_06_priskirta!J20</f>
        <v>0</v>
      </c>
      <c r="K19" s="127">
        <f>+'R_2014_06_atkelta(viso)'!K19+R_2014_06_priskirta!K20</f>
        <v>0</v>
      </c>
      <c r="L19" s="127">
        <f>+'R_2014_06_atkelta(viso)'!L19+R_2014_06_priskirta!L20</f>
        <v>0</v>
      </c>
      <c r="M19" s="127">
        <f>+'R_2014_06_atkelta(viso)'!M19+R_2014_06_priskirta!M20</f>
        <v>25830</v>
      </c>
      <c r="N19" s="127">
        <f>+'R_2014_06_atkelta(viso)'!N19+R_2014_06_priskirta!N20</f>
        <v>810</v>
      </c>
      <c r="O19" s="127">
        <f>+'R_2014_06_atkelta(viso)'!O19+R_2014_06_priskirta!O20</f>
        <v>3623.33</v>
      </c>
      <c r="P19" s="127">
        <f>+'R_2014_06_atkelta(viso)'!P19+R_2014_06_priskirta!P20</f>
        <v>224826.66999999998</v>
      </c>
      <c r="Q19" s="127">
        <f>+'R_2014_06_atkelta(viso)'!Q19+R_2014_06_priskirta!Q20</f>
        <v>0</v>
      </c>
      <c r="R19" s="24">
        <f t="shared" si="9"/>
        <v>3237639.9966666824</v>
      </c>
      <c r="S19" s="229">
        <f t="shared" si="10"/>
        <v>2970311.9235474151</v>
      </c>
      <c r="T19" s="93">
        <f>+R19-S19</f>
        <v>267328.07311926736</v>
      </c>
      <c r="U19" s="94">
        <f t="shared" ref="U19:U43" si="23">R19/D19</f>
        <v>32376.399966666824</v>
      </c>
      <c r="V19" s="71"/>
      <c r="W19" s="61"/>
      <c r="X19" s="106"/>
      <c r="Y19" s="205"/>
      <c r="Z19" s="2"/>
      <c r="AA19" s="2"/>
    </row>
    <row r="20" spans="1:27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+'R_2014_06_atkelta(viso)'!E20+R_2014_06_priskirta!E21</f>
        <v>11863.333333333332</v>
      </c>
      <c r="F20" s="127">
        <f>+'R_2014_06_atkelta(viso)'!F20+R_2014_06_priskirta!F21</f>
        <v>711596.66666666232</v>
      </c>
      <c r="G20" s="127">
        <f>+'R_2014_06_atkelta(viso)'!G20+R_2014_06_priskirta!G21</f>
        <v>103241.67</v>
      </c>
      <c r="H20" s="127">
        <f>+'R_2014_06_atkelta(viso)'!H20+R_2014_06_priskirta!H21</f>
        <v>19406.66</v>
      </c>
      <c r="I20" s="127">
        <f>+'R_2014_06_atkelta(viso)'!I20+R_2014_06_priskirta!I21</f>
        <v>0</v>
      </c>
      <c r="J20" s="127">
        <f>+'R_2014_06_atkelta(viso)'!J20+R_2014_06_priskirta!J21</f>
        <v>0</v>
      </c>
      <c r="K20" s="127">
        <f>+'R_2014_06_atkelta(viso)'!K20+R_2014_06_priskirta!K21</f>
        <v>0</v>
      </c>
      <c r="L20" s="127">
        <f>+'R_2014_06_atkelta(viso)'!L20+R_2014_06_priskirta!L21</f>
        <v>0</v>
      </c>
      <c r="M20" s="127">
        <f>+'R_2014_06_atkelta(viso)'!M20+R_2014_06_priskirta!M21</f>
        <v>8491.67</v>
      </c>
      <c r="N20" s="127">
        <f>+'R_2014_06_atkelta(viso)'!N20+R_2014_06_priskirta!N21</f>
        <v>1.67</v>
      </c>
      <c r="O20" s="127">
        <f>+'R_2014_06_atkelta(viso)'!O20+R_2014_06_priskirta!O21</f>
        <v>0</v>
      </c>
      <c r="P20" s="127">
        <f>+'R_2014_06_atkelta(viso)'!P20+R_2014_06_priskirta!P21</f>
        <v>12755</v>
      </c>
      <c r="Q20" s="127">
        <f>+'R_2014_06_atkelta(viso)'!Q20+R_2014_06_priskirta!Q21</f>
        <v>0</v>
      </c>
      <c r="R20" s="24">
        <f t="shared" si="9"/>
        <v>867356.66999999585</v>
      </c>
      <c r="S20" s="229">
        <f t="shared" si="10"/>
        <v>795740.06422017957</v>
      </c>
      <c r="T20" s="73">
        <f t="shared" ref="T20:T43" si="24">+R20-S20</f>
        <v>71616.60577981628</v>
      </c>
      <c r="U20" s="21">
        <f t="shared" si="23"/>
        <v>17347.133399999919</v>
      </c>
      <c r="V20" s="71"/>
      <c r="W20" s="61">
        <v>50</v>
      </c>
      <c r="X20" s="13">
        <f t="shared" ref="X20:X21" si="25">+U20*W20</f>
        <v>867356.66999999597</v>
      </c>
      <c r="Y20" s="205"/>
      <c r="Z20" s="2"/>
      <c r="AA20" s="2"/>
    </row>
    <row r="21" spans="1:27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+'R_2014_06_atkelta(viso)'!E21+R_2014_06_priskirta!E22</f>
        <v>16215.33</v>
      </c>
      <c r="F21" s="127">
        <f>+'R_2014_06_atkelta(viso)'!F21+R_2014_06_priskirta!F22</f>
        <v>632156</v>
      </c>
      <c r="G21" s="127">
        <f>+'R_2014_06_atkelta(viso)'!G21+R_2014_06_priskirta!G22</f>
        <v>110430.66</v>
      </c>
      <c r="H21" s="127">
        <f>+'R_2014_06_atkelta(viso)'!H21+R_2014_06_priskirta!H22</f>
        <v>9151.33</v>
      </c>
      <c r="I21" s="127">
        <f>+'R_2014_06_atkelta(viso)'!I21+R_2014_06_priskirta!I22</f>
        <v>0</v>
      </c>
      <c r="J21" s="127">
        <f>+'R_2014_06_atkelta(viso)'!J21+R_2014_06_priskirta!J22</f>
        <v>0</v>
      </c>
      <c r="K21" s="127">
        <f>+'R_2014_06_atkelta(viso)'!K21+R_2014_06_priskirta!K22</f>
        <v>0</v>
      </c>
      <c r="L21" s="127">
        <f>+'R_2014_06_atkelta(viso)'!L21+R_2014_06_priskirta!L22</f>
        <v>0</v>
      </c>
      <c r="M21" s="127">
        <f>+'R_2014_06_atkelta(viso)'!M21+R_2014_06_priskirta!M22</f>
        <v>3583.34</v>
      </c>
      <c r="N21" s="127">
        <f>+'R_2014_06_atkelta(viso)'!N21+R_2014_06_priskirta!N22</f>
        <v>177.34</v>
      </c>
      <c r="O21" s="127">
        <f>+'R_2014_06_atkelta(viso)'!O21+R_2014_06_priskirta!O22</f>
        <v>955.33</v>
      </c>
      <c r="P21" s="127">
        <f>+'R_2014_06_atkelta(viso)'!P21+R_2014_06_priskirta!P22</f>
        <v>70930</v>
      </c>
      <c r="Q21" s="127">
        <f>+'R_2014_06_atkelta(viso)'!Q21+R_2014_06_priskirta!Q22</f>
        <v>0</v>
      </c>
      <c r="R21" s="24">
        <f t="shared" si="9"/>
        <v>843599.32999999984</v>
      </c>
      <c r="S21" s="229">
        <f t="shared" si="10"/>
        <v>773944.33944954106</v>
      </c>
      <c r="T21" s="73">
        <f t="shared" si="24"/>
        <v>69654.99055045878</v>
      </c>
      <c r="U21" s="21">
        <f t="shared" si="23"/>
        <v>42179.966499999995</v>
      </c>
      <c r="V21" s="71"/>
      <c r="W21" s="61">
        <v>80</v>
      </c>
      <c r="X21" s="13">
        <f t="shared" si="25"/>
        <v>3374397.3199999994</v>
      </c>
      <c r="Y21" s="205"/>
      <c r="Z21" s="2"/>
      <c r="AA21" s="2"/>
    </row>
    <row r="22" spans="1:27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+'R_2014_06_atkelta(viso)'!E22+R_2014_06_priskirta!E23</f>
        <v>9549</v>
      </c>
      <c r="F22" s="127">
        <f>+'R_2014_06_atkelta(viso)'!F22+R_2014_06_priskirta!F23</f>
        <v>333255</v>
      </c>
      <c r="G22" s="127">
        <f>+'R_2014_06_atkelta(viso)'!G22+R_2014_06_priskirta!G23</f>
        <v>55812</v>
      </c>
      <c r="H22" s="127">
        <f>+'R_2014_06_atkelta(viso)'!H22+R_2014_06_priskirta!H23</f>
        <v>11490</v>
      </c>
      <c r="I22" s="127">
        <f>+'R_2014_06_atkelta(viso)'!I22+R_2014_06_priskirta!I23</f>
        <v>0</v>
      </c>
      <c r="J22" s="127">
        <f>+'R_2014_06_atkelta(viso)'!J22+R_2014_06_priskirta!J23</f>
        <v>0</v>
      </c>
      <c r="K22" s="127">
        <f>+'R_2014_06_atkelta(viso)'!K22+R_2014_06_priskirta!K23</f>
        <v>0</v>
      </c>
      <c r="L22" s="127">
        <f>+'R_2014_06_atkelta(viso)'!L22+R_2014_06_priskirta!L23</f>
        <v>0</v>
      </c>
      <c r="M22" s="127">
        <f>+'R_2014_06_atkelta(viso)'!M22+R_2014_06_priskirta!M23</f>
        <v>2370</v>
      </c>
      <c r="N22" s="127">
        <f>+'R_2014_06_atkelta(viso)'!N22+R_2014_06_priskirta!N23</f>
        <v>84</v>
      </c>
      <c r="O22" s="127">
        <f>+'R_2014_06_atkelta(viso)'!O22+R_2014_06_priskirta!O23</f>
        <v>501</v>
      </c>
      <c r="P22" s="127">
        <f>+'R_2014_06_atkelta(viso)'!P22+R_2014_06_priskirta!P23</f>
        <v>77667</v>
      </c>
      <c r="Q22" s="127">
        <f>+'R_2014_06_atkelta(viso)'!Q22+R_2014_06_priskirta!Q23</f>
        <v>0</v>
      </c>
      <c r="R22" s="24">
        <f t="shared" si="9"/>
        <v>490728</v>
      </c>
      <c r="S22" s="229">
        <f t="shared" si="10"/>
        <v>450209.17431192659</v>
      </c>
      <c r="T22" s="73">
        <f t="shared" si="24"/>
        <v>40518.825688073412</v>
      </c>
      <c r="U22" s="21">
        <f t="shared" si="23"/>
        <v>5452.5333333333338</v>
      </c>
      <c r="V22" s="71"/>
      <c r="W22" s="61"/>
      <c r="X22" s="13"/>
      <c r="Y22" s="205"/>
      <c r="Z22" s="2"/>
      <c r="AA22" s="2"/>
    </row>
    <row r="23" spans="1:27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+'R_2014_06_atkelta(viso)'!E23+R_2014_06_priskirta!E24</f>
        <v>349.5</v>
      </c>
      <c r="F23" s="127">
        <f>+'R_2014_06_atkelta(viso)'!F23+R_2014_06_priskirta!F24</f>
        <v>18451.5</v>
      </c>
      <c r="G23" s="127">
        <f>+'R_2014_06_atkelta(viso)'!G23+R_2014_06_priskirta!G24</f>
        <v>2803.5</v>
      </c>
      <c r="H23" s="127">
        <f>+'R_2014_06_atkelta(viso)'!H23+R_2014_06_priskirta!H24</f>
        <v>984</v>
      </c>
      <c r="I23" s="127">
        <f>+'R_2014_06_atkelta(viso)'!I23+R_2014_06_priskirta!I24</f>
        <v>0</v>
      </c>
      <c r="J23" s="127">
        <f>+'R_2014_06_atkelta(viso)'!J23+R_2014_06_priskirta!J24</f>
        <v>0</v>
      </c>
      <c r="K23" s="127">
        <f>+'R_2014_06_atkelta(viso)'!K23+R_2014_06_priskirta!K24</f>
        <v>0</v>
      </c>
      <c r="L23" s="127">
        <f>+'R_2014_06_atkelta(viso)'!L23+R_2014_06_priskirta!L24</f>
        <v>0</v>
      </c>
      <c r="M23" s="127">
        <f>+'R_2014_06_atkelta(viso)'!M23+R_2014_06_priskirta!M24</f>
        <v>97.5</v>
      </c>
      <c r="N23" s="127">
        <f>+'R_2014_06_atkelta(viso)'!N23+R_2014_06_priskirta!N24</f>
        <v>0</v>
      </c>
      <c r="O23" s="127">
        <f>+'R_2014_06_atkelta(viso)'!O23+R_2014_06_priskirta!O24</f>
        <v>0</v>
      </c>
      <c r="P23" s="127">
        <f>+'R_2014_06_atkelta(viso)'!P23+R_2014_06_priskirta!P24</f>
        <v>3132</v>
      </c>
      <c r="Q23" s="127">
        <f>+'R_2014_06_atkelta(viso)'!Q23+R_2014_06_priskirta!Q24</f>
        <v>0</v>
      </c>
      <c r="R23" s="24">
        <f t="shared" si="9"/>
        <v>25818</v>
      </c>
      <c r="S23" s="229">
        <f t="shared" si="10"/>
        <v>23686.238532110088</v>
      </c>
      <c r="T23" s="73">
        <f t="shared" si="24"/>
        <v>2131.7614678899117</v>
      </c>
      <c r="U23" s="21">
        <f t="shared" si="23"/>
        <v>573.73333333333335</v>
      </c>
      <c r="V23" s="71"/>
      <c r="W23" s="61">
        <v>45</v>
      </c>
      <c r="X23" s="13">
        <f t="shared" ref="X23:X24" si="26">+U23*W23</f>
        <v>25818</v>
      </c>
      <c r="Y23" s="205"/>
      <c r="Z23" s="2"/>
      <c r="AA23" s="2"/>
    </row>
    <row r="24" spans="1:27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+'R_2014_06_atkelta(viso)'!E24+R_2014_06_priskirta!E25</f>
        <v>404.4</v>
      </c>
      <c r="F24" s="127">
        <f>+'R_2014_06_atkelta(viso)'!F24+R_2014_06_priskirta!F25</f>
        <v>6135.6</v>
      </c>
      <c r="G24" s="127">
        <f>+'R_2014_06_atkelta(viso)'!G24+R_2014_06_priskirta!G25</f>
        <v>1255.2</v>
      </c>
      <c r="H24" s="127">
        <f>+'R_2014_06_atkelta(viso)'!H24+R_2014_06_priskirta!H25</f>
        <v>133.19999999999999</v>
      </c>
      <c r="I24" s="127">
        <f>+'R_2014_06_atkelta(viso)'!I24+R_2014_06_priskirta!I25</f>
        <v>0</v>
      </c>
      <c r="J24" s="127">
        <f>+'R_2014_06_atkelta(viso)'!J24+R_2014_06_priskirta!J25</f>
        <v>0</v>
      </c>
      <c r="K24" s="127">
        <f>+'R_2014_06_atkelta(viso)'!K24+R_2014_06_priskirta!K25</f>
        <v>0</v>
      </c>
      <c r="L24" s="127">
        <f>+'R_2014_06_atkelta(viso)'!L24+R_2014_06_priskirta!L25</f>
        <v>0</v>
      </c>
      <c r="M24" s="127">
        <f>+'R_2014_06_atkelta(viso)'!M24+R_2014_06_priskirta!M25</f>
        <v>84</v>
      </c>
      <c r="N24" s="127">
        <f>+'R_2014_06_atkelta(viso)'!N24+R_2014_06_priskirta!N25</f>
        <v>0</v>
      </c>
      <c r="O24" s="127">
        <f>+'R_2014_06_atkelta(viso)'!O24+R_2014_06_priskirta!O25</f>
        <v>0</v>
      </c>
      <c r="P24" s="127">
        <f>+'R_2014_06_atkelta(viso)'!P24+R_2014_06_priskirta!P25</f>
        <v>2165.4</v>
      </c>
      <c r="Q24" s="127">
        <f>+'R_2014_06_atkelta(viso)'!Q24+R_2014_06_priskirta!Q25</f>
        <v>0</v>
      </c>
      <c r="R24" s="24">
        <f t="shared" si="9"/>
        <v>10177.799999999999</v>
      </c>
      <c r="S24" s="229">
        <f t="shared" si="10"/>
        <v>9337.4311926605496</v>
      </c>
      <c r="T24" s="73">
        <f t="shared" si="24"/>
        <v>840.36880733944963</v>
      </c>
      <c r="U24" s="21">
        <f t="shared" si="23"/>
        <v>565.43333333333328</v>
      </c>
      <c r="V24" s="71"/>
      <c r="W24" s="61">
        <v>72</v>
      </c>
      <c r="X24" s="13">
        <f t="shared" si="26"/>
        <v>40711.199999999997</v>
      </c>
      <c r="Y24" s="205"/>
      <c r="Z24" s="2"/>
      <c r="AA24" s="2"/>
    </row>
    <row r="25" spans="1:27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+'R_2014_06_atkelta(viso)'!E25+R_2014_06_priskirta!E26</f>
        <v>46.666666666666657</v>
      </c>
      <c r="F25" s="127">
        <f>+'R_2014_06_atkelta(viso)'!F25+R_2014_06_priskirta!F26</f>
        <v>3850.0000000000005</v>
      </c>
      <c r="G25" s="127">
        <f>+'R_2014_06_atkelta(viso)'!G25+R_2014_06_priskirta!G26</f>
        <v>216.67000000000002</v>
      </c>
      <c r="H25" s="127">
        <f>+'R_2014_06_atkelta(viso)'!H25+R_2014_06_priskirta!H26</f>
        <v>313.33999999999997</v>
      </c>
      <c r="I25" s="127">
        <f>+'R_2014_06_atkelta(viso)'!I25+R_2014_06_priskirta!I26</f>
        <v>0</v>
      </c>
      <c r="J25" s="127">
        <f>+'R_2014_06_atkelta(viso)'!J25+R_2014_06_priskirta!J26</f>
        <v>0</v>
      </c>
      <c r="K25" s="127">
        <f>+'R_2014_06_atkelta(viso)'!K25+R_2014_06_priskirta!K26</f>
        <v>0</v>
      </c>
      <c r="L25" s="127">
        <f>+'R_2014_06_atkelta(viso)'!L25+R_2014_06_priskirta!L26</f>
        <v>0</v>
      </c>
      <c r="M25" s="127">
        <f>+'R_2014_06_atkelta(viso)'!M25+R_2014_06_priskirta!M26</f>
        <v>0</v>
      </c>
      <c r="N25" s="127">
        <f>+'R_2014_06_atkelta(viso)'!N25+R_2014_06_priskirta!N26</f>
        <v>0</v>
      </c>
      <c r="O25" s="127">
        <f>+'R_2014_06_atkelta(viso)'!O25+R_2014_06_priskirta!O26</f>
        <v>0</v>
      </c>
      <c r="P25" s="127">
        <f>+'R_2014_06_atkelta(viso)'!P25+R_2014_06_priskirta!P26</f>
        <v>5190</v>
      </c>
      <c r="Q25" s="127">
        <f>+'R_2014_06_atkelta(viso)'!Q25+R_2014_06_priskirta!Q26</f>
        <v>0</v>
      </c>
      <c r="R25" s="24">
        <f t="shared" si="9"/>
        <v>9616.6766666666663</v>
      </c>
      <c r="S25" s="229">
        <f t="shared" si="10"/>
        <v>8822.6391437308866</v>
      </c>
      <c r="T25" s="73">
        <f t="shared" si="24"/>
        <v>794.03752293577963</v>
      </c>
      <c r="U25" s="21">
        <f t="shared" si="23"/>
        <v>32.055588888888884</v>
      </c>
      <c r="V25" s="71"/>
      <c r="W25" s="61"/>
      <c r="X25" s="13"/>
      <c r="Z25" s="2"/>
      <c r="AA25" s="2"/>
    </row>
    <row r="26" spans="1:27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+'R_2014_06_atkelta(viso)'!E26+R_2014_06_priskirta!E27</f>
        <v>0</v>
      </c>
      <c r="F26" s="127">
        <f>+'R_2014_06_atkelta(viso)'!F26+R_2014_06_priskirta!F27</f>
        <v>3695</v>
      </c>
      <c r="G26" s="127">
        <f>+'R_2014_06_atkelta(viso)'!G26+R_2014_06_priskirta!G27</f>
        <v>348.33</v>
      </c>
      <c r="H26" s="127">
        <f>+'R_2014_06_atkelta(viso)'!H26+R_2014_06_priskirta!H27</f>
        <v>341.67</v>
      </c>
      <c r="I26" s="127">
        <f>+'R_2014_06_atkelta(viso)'!I26+R_2014_06_priskirta!I27</f>
        <v>0</v>
      </c>
      <c r="J26" s="127">
        <f>+'R_2014_06_atkelta(viso)'!J26+R_2014_06_priskirta!J27</f>
        <v>0</v>
      </c>
      <c r="K26" s="127">
        <f>+'R_2014_06_atkelta(viso)'!K26+R_2014_06_priskirta!K27</f>
        <v>0</v>
      </c>
      <c r="L26" s="127">
        <f>+'R_2014_06_atkelta(viso)'!L26+R_2014_06_priskirta!L27</f>
        <v>0</v>
      </c>
      <c r="M26" s="127">
        <f>+'R_2014_06_atkelta(viso)'!M26+R_2014_06_priskirta!M27</f>
        <v>0</v>
      </c>
      <c r="N26" s="127">
        <f>+'R_2014_06_atkelta(viso)'!N26+R_2014_06_priskirta!N27</f>
        <v>0</v>
      </c>
      <c r="O26" s="127">
        <f>+'R_2014_06_atkelta(viso)'!O26+R_2014_06_priskirta!O27</f>
        <v>0</v>
      </c>
      <c r="P26" s="127">
        <f>+'R_2014_06_atkelta(viso)'!P26+R_2014_06_priskirta!P27</f>
        <v>1060</v>
      </c>
      <c r="Q26" s="127">
        <f>+'R_2014_06_atkelta(viso)'!Q26+R_2014_06_priskirta!Q27</f>
        <v>0</v>
      </c>
      <c r="R26" s="24">
        <f t="shared" si="9"/>
        <v>5445</v>
      </c>
      <c r="S26" s="229">
        <f t="shared" si="10"/>
        <v>4995.4128440366967</v>
      </c>
      <c r="T26" s="73">
        <f t="shared" si="24"/>
        <v>449.5871559633033</v>
      </c>
      <c r="U26" s="21">
        <f t="shared" si="23"/>
        <v>36.299999999999997</v>
      </c>
      <c r="V26" s="71"/>
      <c r="W26" s="61">
        <v>150</v>
      </c>
      <c r="X26" s="13">
        <f t="shared" ref="X26:X42" si="27">+U26*W26</f>
        <v>5445</v>
      </c>
      <c r="Z26" s="2"/>
      <c r="AA26" s="2"/>
    </row>
    <row r="27" spans="1:27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+'R_2014_06_atkelta(viso)'!E27+R_2014_06_priskirta!E28</f>
        <v>144.00333333333333</v>
      </c>
      <c r="F27" s="127">
        <f>+'R_2014_06_atkelta(viso)'!F27+R_2014_06_priskirta!F28</f>
        <v>5967.33</v>
      </c>
      <c r="G27" s="127">
        <f>+'R_2014_06_atkelta(viso)'!G27+R_2014_06_priskirta!G28</f>
        <v>752</v>
      </c>
      <c r="H27" s="127">
        <f>+'R_2014_06_atkelta(viso)'!H27+R_2014_06_priskirta!H28</f>
        <v>418</v>
      </c>
      <c r="I27" s="127">
        <f>+'R_2014_06_atkelta(viso)'!I27+R_2014_06_priskirta!I28</f>
        <v>0</v>
      </c>
      <c r="J27" s="127">
        <f>+'R_2014_06_atkelta(viso)'!J27+R_2014_06_priskirta!J28</f>
        <v>0</v>
      </c>
      <c r="K27" s="127">
        <f>+'R_2014_06_atkelta(viso)'!K27+R_2014_06_priskirta!K28</f>
        <v>0</v>
      </c>
      <c r="L27" s="127">
        <f>+'R_2014_06_atkelta(viso)'!L27+R_2014_06_priskirta!L28</f>
        <v>0</v>
      </c>
      <c r="M27" s="127">
        <f>+'R_2014_06_atkelta(viso)'!M27+R_2014_06_priskirta!M28</f>
        <v>47.33</v>
      </c>
      <c r="N27" s="127">
        <f>+'R_2014_06_atkelta(viso)'!N27+R_2014_06_priskirta!N28</f>
        <v>8.67</v>
      </c>
      <c r="O27" s="127">
        <f>+'R_2014_06_atkelta(viso)'!O27+R_2014_06_priskirta!O28</f>
        <v>51.34</v>
      </c>
      <c r="P27" s="127">
        <f>+'R_2014_06_atkelta(viso)'!P27+R_2014_06_priskirta!P28</f>
        <v>5028.67</v>
      </c>
      <c r="Q27" s="127">
        <f>+'R_2014_06_atkelta(viso)'!Q27+R_2014_06_priskirta!Q28</f>
        <v>0</v>
      </c>
      <c r="R27" s="24">
        <f t="shared" si="9"/>
        <v>12417.343333333334</v>
      </c>
      <c r="S27" s="229">
        <f t="shared" si="10"/>
        <v>11392.058103975534</v>
      </c>
      <c r="T27" s="73">
        <f t="shared" si="24"/>
        <v>1025.2852293577998</v>
      </c>
      <c r="U27" s="21">
        <f t="shared" si="23"/>
        <v>206.95572222222225</v>
      </c>
      <c r="V27" s="71"/>
      <c r="W27" s="61">
        <v>240</v>
      </c>
      <c r="X27" s="13">
        <f t="shared" si="27"/>
        <v>49669.373333333337</v>
      </c>
      <c r="Z27" s="2"/>
      <c r="AA27" s="2"/>
    </row>
    <row r="28" spans="1:27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+'R_2014_06_atkelta(viso)'!E28+R_2014_06_priskirta!E29</f>
        <v>0</v>
      </c>
      <c r="F28" s="127">
        <f>+'R_2014_06_atkelta(viso)'!F28+R_2014_06_priskirta!F29</f>
        <v>633</v>
      </c>
      <c r="G28" s="127">
        <f>+'R_2014_06_atkelta(viso)'!G28+R_2014_06_priskirta!G29</f>
        <v>0</v>
      </c>
      <c r="H28" s="127">
        <f>+'R_2014_06_atkelta(viso)'!H28+R_2014_06_priskirta!H29</f>
        <v>180</v>
      </c>
      <c r="I28" s="127">
        <f>+'R_2014_06_atkelta(viso)'!I28+R_2014_06_priskirta!I29</f>
        <v>0</v>
      </c>
      <c r="J28" s="127">
        <f>+'R_2014_06_atkelta(viso)'!J28+R_2014_06_priskirta!J29</f>
        <v>0</v>
      </c>
      <c r="K28" s="127">
        <f>+'R_2014_06_atkelta(viso)'!K28+R_2014_06_priskirta!K29</f>
        <v>0</v>
      </c>
      <c r="L28" s="127">
        <f>+'R_2014_06_atkelta(viso)'!L28+R_2014_06_priskirta!L29</f>
        <v>0</v>
      </c>
      <c r="M28" s="127">
        <f>+'R_2014_06_atkelta(viso)'!M28+R_2014_06_priskirta!M29</f>
        <v>0</v>
      </c>
      <c r="N28" s="127">
        <f>+'R_2014_06_atkelta(viso)'!N28+R_2014_06_priskirta!N29</f>
        <v>0</v>
      </c>
      <c r="O28" s="127">
        <f>+'R_2014_06_atkelta(viso)'!O28+R_2014_06_priskirta!O29</f>
        <v>0</v>
      </c>
      <c r="P28" s="127">
        <f>+'R_2014_06_atkelta(viso)'!P28+R_2014_06_priskirta!P29</f>
        <v>9636</v>
      </c>
      <c r="Q28" s="127">
        <f>+'R_2014_06_atkelta(viso)'!Q28+R_2014_06_priskirta!Q29</f>
        <v>0</v>
      </c>
      <c r="R28" s="24">
        <f t="shared" si="9"/>
        <v>10449</v>
      </c>
      <c r="S28" s="229">
        <f t="shared" si="10"/>
        <v>9586.2385321100919</v>
      </c>
      <c r="T28" s="73">
        <f t="shared" si="24"/>
        <v>862.76146788990809</v>
      </c>
      <c r="U28" s="21">
        <f t="shared" si="23"/>
        <v>38.700000000000003</v>
      </c>
      <c r="V28" s="71"/>
      <c r="W28" s="61"/>
      <c r="X28" s="13"/>
      <c r="Z28" s="2"/>
      <c r="AA28" s="2"/>
    </row>
    <row r="29" spans="1:27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+'R_2014_06_atkelta(viso)'!E29+R_2014_06_priskirta!E30</f>
        <v>0</v>
      </c>
      <c r="F29" s="127">
        <f>+'R_2014_06_atkelta(viso)'!F29+R_2014_06_priskirta!F30</f>
        <v>117</v>
      </c>
      <c r="G29" s="127">
        <f>+'R_2014_06_atkelta(viso)'!G29+R_2014_06_priskirta!G30</f>
        <v>0</v>
      </c>
      <c r="H29" s="127">
        <f>+'R_2014_06_atkelta(viso)'!H29+R_2014_06_priskirta!H30</f>
        <v>48</v>
      </c>
      <c r="I29" s="127">
        <f>+'R_2014_06_atkelta(viso)'!I29+R_2014_06_priskirta!I30</f>
        <v>0</v>
      </c>
      <c r="J29" s="127">
        <f>+'R_2014_06_atkelta(viso)'!J29+R_2014_06_priskirta!J30</f>
        <v>0</v>
      </c>
      <c r="K29" s="127">
        <f>+'R_2014_06_atkelta(viso)'!K29+R_2014_06_priskirta!K30</f>
        <v>0</v>
      </c>
      <c r="L29" s="127">
        <f>+'R_2014_06_atkelta(viso)'!L29+R_2014_06_priskirta!L30</f>
        <v>0</v>
      </c>
      <c r="M29" s="127">
        <f>+'R_2014_06_atkelta(viso)'!M29+R_2014_06_priskirta!M30</f>
        <v>0</v>
      </c>
      <c r="N29" s="127">
        <f>+'R_2014_06_atkelta(viso)'!N29+R_2014_06_priskirta!N30</f>
        <v>0</v>
      </c>
      <c r="O29" s="127">
        <f>+'R_2014_06_atkelta(viso)'!O29+R_2014_06_priskirta!O30</f>
        <v>0</v>
      </c>
      <c r="P29" s="127">
        <f>+'R_2014_06_atkelta(viso)'!P29+R_2014_06_priskirta!P30</f>
        <v>10.5</v>
      </c>
      <c r="Q29" s="127">
        <f>+'R_2014_06_atkelta(viso)'!Q29+R_2014_06_priskirta!Q30</f>
        <v>0</v>
      </c>
      <c r="R29" s="24">
        <f t="shared" si="9"/>
        <v>175.5</v>
      </c>
      <c r="S29" s="229">
        <f t="shared" si="10"/>
        <v>161.00917431192659</v>
      </c>
      <c r="T29" s="73">
        <f t="shared" si="24"/>
        <v>14.490825688073414</v>
      </c>
      <c r="U29" s="21">
        <f t="shared" si="23"/>
        <v>1.3</v>
      </c>
      <c r="V29" s="71"/>
      <c r="W29" s="61">
        <v>135</v>
      </c>
      <c r="X29" s="13">
        <f t="shared" si="27"/>
        <v>175.5</v>
      </c>
      <c r="Z29" s="2"/>
      <c r="AA29" s="2"/>
    </row>
    <row r="30" spans="1:27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+'R_2014_06_atkelta(viso)'!E30+R_2014_06_priskirta!E31</f>
        <v>21</v>
      </c>
      <c r="F30" s="127">
        <f>+'R_2014_06_atkelta(viso)'!F30+R_2014_06_priskirta!F31</f>
        <v>41.4</v>
      </c>
      <c r="G30" s="127">
        <f>+'R_2014_06_atkelta(viso)'!G30+R_2014_06_priskirta!G31</f>
        <v>0</v>
      </c>
      <c r="H30" s="127">
        <f>+'R_2014_06_atkelta(viso)'!H30+R_2014_06_priskirta!H31</f>
        <v>9.6</v>
      </c>
      <c r="I30" s="127">
        <f>+'R_2014_06_atkelta(viso)'!I30+R_2014_06_priskirta!I31</f>
        <v>0</v>
      </c>
      <c r="J30" s="127">
        <f>+'R_2014_06_atkelta(viso)'!J30+R_2014_06_priskirta!J31</f>
        <v>0</v>
      </c>
      <c r="K30" s="127">
        <f>+'R_2014_06_atkelta(viso)'!K30+R_2014_06_priskirta!K31</f>
        <v>0</v>
      </c>
      <c r="L30" s="127">
        <f>+'R_2014_06_atkelta(viso)'!L30+R_2014_06_priskirta!L31</f>
        <v>0</v>
      </c>
      <c r="M30" s="127">
        <f>+'R_2014_06_atkelta(viso)'!M30+R_2014_06_priskirta!M31</f>
        <v>16.8</v>
      </c>
      <c r="N30" s="127">
        <f>+'R_2014_06_atkelta(viso)'!N30+R_2014_06_priskirta!N31</f>
        <v>0</v>
      </c>
      <c r="O30" s="127">
        <f>+'R_2014_06_atkelta(viso)'!O30+R_2014_06_priskirta!O31</f>
        <v>0</v>
      </c>
      <c r="P30" s="127">
        <f>+'R_2014_06_atkelta(viso)'!P30+R_2014_06_priskirta!P31</f>
        <v>266.39999999999998</v>
      </c>
      <c r="Q30" s="127">
        <f>+'R_2014_06_atkelta(viso)'!Q30+R_2014_06_priskirta!Q31</f>
        <v>0</v>
      </c>
      <c r="R30" s="24">
        <f t="shared" si="9"/>
        <v>355.2</v>
      </c>
      <c r="S30" s="229">
        <f t="shared" si="10"/>
        <v>325.87155963302752</v>
      </c>
      <c r="T30" s="73">
        <f t="shared" si="24"/>
        <v>29.328440366972472</v>
      </c>
      <c r="U30" s="21">
        <f t="shared" si="23"/>
        <v>6.5777777777777775</v>
      </c>
      <c r="V30" s="71"/>
      <c r="W30" s="61">
        <v>216</v>
      </c>
      <c r="X30" s="13">
        <f t="shared" si="27"/>
        <v>1420.8</v>
      </c>
      <c r="Z30" s="2"/>
      <c r="AA30" s="2"/>
    </row>
    <row r="31" spans="1:27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+'R_2014_06_atkelta(viso)'!E31+R_2014_06_priskirta!E32</f>
        <v>100</v>
      </c>
      <c r="F31" s="127">
        <f>+'R_2014_06_atkelta(viso)'!F31+R_2014_06_priskirta!F32</f>
        <v>200</v>
      </c>
      <c r="G31" s="127">
        <f>+'R_2014_06_atkelta(viso)'!G31+R_2014_06_priskirta!G32</f>
        <v>0</v>
      </c>
      <c r="H31" s="127">
        <f>+'R_2014_06_atkelta(viso)'!H31+R_2014_06_priskirta!H32</f>
        <v>100</v>
      </c>
      <c r="I31" s="127">
        <f>+'R_2014_06_atkelta(viso)'!I31+R_2014_06_priskirta!I32</f>
        <v>0</v>
      </c>
      <c r="J31" s="127">
        <f>+'R_2014_06_atkelta(viso)'!J31+R_2014_06_priskirta!J32</f>
        <v>0</v>
      </c>
      <c r="K31" s="127">
        <f>+'R_2014_06_atkelta(viso)'!K31+R_2014_06_priskirta!K32</f>
        <v>0</v>
      </c>
      <c r="L31" s="127">
        <f>+'R_2014_06_atkelta(viso)'!L31+R_2014_06_priskirta!L32</f>
        <v>0</v>
      </c>
      <c r="M31" s="127">
        <f>+'R_2014_06_atkelta(viso)'!M31+R_2014_06_priskirta!M32</f>
        <v>0</v>
      </c>
      <c r="N31" s="127">
        <f>+'R_2014_06_atkelta(viso)'!N31+R_2014_06_priskirta!N32</f>
        <v>0</v>
      </c>
      <c r="O31" s="127">
        <f>+'R_2014_06_atkelta(viso)'!O31+R_2014_06_priskirta!O32</f>
        <v>0</v>
      </c>
      <c r="P31" s="127">
        <f>+'R_2014_06_atkelta(viso)'!P31+R_2014_06_priskirta!P32</f>
        <v>0</v>
      </c>
      <c r="Q31" s="127">
        <f>+'R_2014_06_atkelta(viso)'!Q31+R_2014_06_priskirta!Q32</f>
        <v>0</v>
      </c>
      <c r="R31" s="24">
        <f t="shared" si="9"/>
        <v>400</v>
      </c>
      <c r="S31" s="229">
        <f t="shared" si="10"/>
        <v>366.97247706422013</v>
      </c>
      <c r="T31" s="73">
        <f t="shared" si="24"/>
        <v>33.027522935779871</v>
      </c>
      <c r="U31" s="21">
        <f t="shared" si="23"/>
        <v>0.66666666666666663</v>
      </c>
      <c r="V31" s="71"/>
      <c r="W31" s="61"/>
      <c r="X31" s="13"/>
      <c r="Z31" s="2"/>
      <c r="AA31" s="2"/>
    </row>
    <row r="32" spans="1:27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+'R_2014_06_atkelta(viso)'!E32+R_2014_06_priskirta!E33</f>
        <v>0</v>
      </c>
      <c r="F32" s="127">
        <f>+'R_2014_06_atkelta(viso)'!F32+R_2014_06_priskirta!F33</f>
        <v>524.99999999999989</v>
      </c>
      <c r="G32" s="127">
        <f>+'R_2014_06_atkelta(viso)'!G32+R_2014_06_priskirta!G33</f>
        <v>58.33</v>
      </c>
      <c r="H32" s="127">
        <f>+'R_2014_06_atkelta(viso)'!H32+R_2014_06_priskirta!H33</f>
        <v>300</v>
      </c>
      <c r="I32" s="127">
        <f>+'R_2014_06_atkelta(viso)'!I32+R_2014_06_priskirta!I33</f>
        <v>0</v>
      </c>
      <c r="J32" s="127">
        <f>+'R_2014_06_atkelta(viso)'!J32+R_2014_06_priskirta!J33</f>
        <v>0</v>
      </c>
      <c r="K32" s="127">
        <f>+'R_2014_06_atkelta(viso)'!K32+R_2014_06_priskirta!K33</f>
        <v>0</v>
      </c>
      <c r="L32" s="127">
        <f>+'R_2014_06_atkelta(viso)'!L32+R_2014_06_priskirta!L33</f>
        <v>0</v>
      </c>
      <c r="M32" s="127">
        <f>+'R_2014_06_atkelta(viso)'!M32+R_2014_06_priskirta!M33</f>
        <v>0</v>
      </c>
      <c r="N32" s="127">
        <f>+'R_2014_06_atkelta(viso)'!N32+R_2014_06_priskirta!N33</f>
        <v>0</v>
      </c>
      <c r="O32" s="127">
        <f>+'R_2014_06_atkelta(viso)'!O32+R_2014_06_priskirta!O33</f>
        <v>0</v>
      </c>
      <c r="P32" s="127">
        <f>+'R_2014_06_atkelta(viso)'!P32+R_2014_06_priskirta!P33</f>
        <v>150</v>
      </c>
      <c r="Q32" s="127">
        <f>+'R_2014_06_atkelta(viso)'!Q32+R_2014_06_priskirta!Q33</f>
        <v>0</v>
      </c>
      <c r="R32" s="24">
        <f t="shared" si="9"/>
        <v>1033.33</v>
      </c>
      <c r="S32" s="229">
        <f t="shared" si="10"/>
        <v>948.00917431192647</v>
      </c>
      <c r="T32" s="73">
        <f t="shared" si="24"/>
        <v>85.320825688073455</v>
      </c>
      <c r="U32" s="21">
        <f t="shared" si="23"/>
        <v>3.444433333333333</v>
      </c>
      <c r="V32" s="71"/>
      <c r="W32" s="61">
        <v>300</v>
      </c>
      <c r="X32" s="13">
        <f t="shared" si="27"/>
        <v>1033.33</v>
      </c>
      <c r="Z32" s="2"/>
      <c r="AA32" s="2"/>
    </row>
    <row r="33" spans="1:27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+'R_2014_06_atkelta(viso)'!E33+R_2014_06_priskirta!E34</f>
        <v>60.666666666666671</v>
      </c>
      <c r="F33" s="127">
        <f>+'R_2014_06_atkelta(viso)'!F33+R_2014_06_priskirta!F34</f>
        <v>1029.33</v>
      </c>
      <c r="G33" s="127">
        <f>+'R_2014_06_atkelta(viso)'!G33+R_2014_06_priskirta!G34</f>
        <v>96</v>
      </c>
      <c r="H33" s="127">
        <f>+'R_2014_06_atkelta(viso)'!H33+R_2014_06_priskirta!H34</f>
        <v>30.67</v>
      </c>
      <c r="I33" s="127">
        <f>+'R_2014_06_atkelta(viso)'!I33+R_2014_06_priskirta!I34</f>
        <v>0</v>
      </c>
      <c r="J33" s="127">
        <f>+'R_2014_06_atkelta(viso)'!J33+R_2014_06_priskirta!J34</f>
        <v>0</v>
      </c>
      <c r="K33" s="127">
        <f>+'R_2014_06_atkelta(viso)'!K33+R_2014_06_priskirta!K34</f>
        <v>0</v>
      </c>
      <c r="L33" s="127">
        <f>+'R_2014_06_atkelta(viso)'!L33+R_2014_06_priskirta!L34</f>
        <v>0</v>
      </c>
      <c r="M33" s="127">
        <f>+'R_2014_06_atkelta(viso)'!M33+R_2014_06_priskirta!M34</f>
        <v>20</v>
      </c>
      <c r="N33" s="127">
        <f>+'R_2014_06_atkelta(viso)'!N33+R_2014_06_priskirta!N34</f>
        <v>0</v>
      </c>
      <c r="O33" s="127">
        <f>+'R_2014_06_atkelta(viso)'!O33+R_2014_06_priskirta!O34</f>
        <v>0</v>
      </c>
      <c r="P33" s="127">
        <f>+'R_2014_06_atkelta(viso)'!P33+R_2014_06_priskirta!P34</f>
        <v>861.33999999999992</v>
      </c>
      <c r="Q33" s="127">
        <f>+'R_2014_06_atkelta(viso)'!Q33+R_2014_06_priskirta!Q34</f>
        <v>0</v>
      </c>
      <c r="R33" s="24">
        <f t="shared" si="9"/>
        <v>2098.0066666666667</v>
      </c>
      <c r="S33" s="229">
        <f t="shared" si="10"/>
        <v>1924.7767584097858</v>
      </c>
      <c r="T33" s="73">
        <f t="shared" si="24"/>
        <v>173.22990825688089</v>
      </c>
      <c r="U33" s="21">
        <f t="shared" si="23"/>
        <v>17.483388888888889</v>
      </c>
      <c r="V33" s="71"/>
      <c r="W33" s="61">
        <v>480</v>
      </c>
      <c r="X33" s="13">
        <f t="shared" si="27"/>
        <v>8392.0266666666666</v>
      </c>
      <c r="Z33" s="2"/>
      <c r="AA33" s="2"/>
    </row>
    <row r="34" spans="1:27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+'R_2014_06_atkelta(viso)'!E34+R_2014_06_priskirta!E35</f>
        <v>0</v>
      </c>
      <c r="F34" s="127">
        <f>+'R_2014_06_atkelta(viso)'!F34+R_2014_06_priskirta!F35</f>
        <v>0</v>
      </c>
      <c r="G34" s="127">
        <f>+'R_2014_06_atkelta(viso)'!G34+R_2014_06_priskirta!G35</f>
        <v>0</v>
      </c>
      <c r="H34" s="127">
        <f>+'R_2014_06_atkelta(viso)'!H34+R_2014_06_priskirta!H35</f>
        <v>0</v>
      </c>
      <c r="I34" s="127">
        <f>+'R_2014_06_atkelta(viso)'!I34+R_2014_06_priskirta!I35</f>
        <v>0</v>
      </c>
      <c r="J34" s="127">
        <f>+'R_2014_06_atkelta(viso)'!J34+R_2014_06_priskirta!J35</f>
        <v>0</v>
      </c>
      <c r="K34" s="127">
        <f>+'R_2014_06_atkelta(viso)'!K34+R_2014_06_priskirta!K35</f>
        <v>0</v>
      </c>
      <c r="L34" s="127">
        <f>+'R_2014_06_atkelta(viso)'!L34+R_2014_06_priskirta!L35</f>
        <v>0</v>
      </c>
      <c r="M34" s="127">
        <f>+'R_2014_06_atkelta(viso)'!M34+R_2014_06_priskirta!M35</f>
        <v>0</v>
      </c>
      <c r="N34" s="127">
        <f>+'R_2014_06_atkelta(viso)'!N34+R_2014_06_priskirta!N35</f>
        <v>0</v>
      </c>
      <c r="O34" s="127">
        <f>+'R_2014_06_atkelta(viso)'!O34+R_2014_06_priskirta!O35</f>
        <v>0</v>
      </c>
      <c r="P34" s="127">
        <f>+'R_2014_06_atkelta(viso)'!P34+R_2014_06_priskirta!P35</f>
        <v>1518</v>
      </c>
      <c r="Q34" s="127">
        <f>+'R_2014_06_atkelta(viso)'!Q34+R_2014_06_priskirta!Q35</f>
        <v>0</v>
      </c>
      <c r="R34" s="24">
        <f t="shared" si="9"/>
        <v>1518</v>
      </c>
      <c r="S34" s="229">
        <f t="shared" si="10"/>
        <v>1392.6605504587155</v>
      </c>
      <c r="T34" s="73">
        <f t="shared" si="24"/>
        <v>125.33944954128447</v>
      </c>
      <c r="U34" s="21">
        <f t="shared" si="23"/>
        <v>2.8111111111111109</v>
      </c>
      <c r="V34" s="71"/>
      <c r="W34" s="61"/>
      <c r="X34" s="13"/>
      <c r="Z34" s="2"/>
      <c r="AA34" s="2"/>
    </row>
    <row r="35" spans="1:27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+'R_2014_06_atkelta(viso)'!E35+R_2014_06_priskirta!E36</f>
        <v>0</v>
      </c>
      <c r="F35" s="127">
        <f>+'R_2014_06_atkelta(viso)'!F35+R_2014_06_priskirta!F36</f>
        <v>0</v>
      </c>
      <c r="G35" s="127">
        <f>+'R_2014_06_atkelta(viso)'!G35+R_2014_06_priskirta!G36</f>
        <v>0</v>
      </c>
      <c r="H35" s="127">
        <f>+'R_2014_06_atkelta(viso)'!H35+R_2014_06_priskirta!H36</f>
        <v>0</v>
      </c>
      <c r="I35" s="127">
        <f>+'R_2014_06_atkelta(viso)'!I35+R_2014_06_priskirta!I36</f>
        <v>0</v>
      </c>
      <c r="J35" s="127">
        <f>+'R_2014_06_atkelta(viso)'!J35+R_2014_06_priskirta!J36</f>
        <v>0</v>
      </c>
      <c r="K35" s="127">
        <f>+'R_2014_06_atkelta(viso)'!K35+R_2014_06_priskirta!K36</f>
        <v>0</v>
      </c>
      <c r="L35" s="127">
        <f>+'R_2014_06_atkelta(viso)'!L35+R_2014_06_priskirta!L36</f>
        <v>0</v>
      </c>
      <c r="M35" s="127">
        <f>+'R_2014_06_atkelta(viso)'!M35+R_2014_06_priskirta!M36</f>
        <v>0</v>
      </c>
      <c r="N35" s="127">
        <f>+'R_2014_06_atkelta(viso)'!N35+R_2014_06_priskirta!N36</f>
        <v>0</v>
      </c>
      <c r="O35" s="127">
        <f>+'R_2014_06_atkelta(viso)'!O35+R_2014_06_priskirta!O36</f>
        <v>0</v>
      </c>
      <c r="P35" s="127">
        <f>+'R_2014_06_atkelta(viso)'!P35+R_2014_06_priskirta!P36</f>
        <v>0</v>
      </c>
      <c r="Q35" s="127">
        <f>+'R_2014_06_atkelta(viso)'!Q35+R_2014_06_priskirta!Q36</f>
        <v>0</v>
      </c>
      <c r="R35" s="24">
        <f t="shared" si="9"/>
        <v>0</v>
      </c>
      <c r="S35" s="229">
        <f t="shared" si="10"/>
        <v>0</v>
      </c>
      <c r="T35" s="73">
        <f t="shared" si="24"/>
        <v>0</v>
      </c>
      <c r="U35" s="21">
        <f t="shared" si="23"/>
        <v>0</v>
      </c>
      <c r="V35" s="71"/>
      <c r="W35" s="61">
        <v>270</v>
      </c>
      <c r="X35" s="13">
        <f t="shared" si="27"/>
        <v>0</v>
      </c>
      <c r="Z35" s="2"/>
      <c r="AA35" s="2"/>
    </row>
    <row r="36" spans="1:27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+'R_2014_06_atkelta(viso)'!E36+R_2014_06_priskirta!E37</f>
        <v>16.8</v>
      </c>
      <c r="F36" s="127">
        <f>+'R_2014_06_atkelta(viso)'!F36+R_2014_06_priskirta!F37</f>
        <v>22.8</v>
      </c>
      <c r="G36" s="127">
        <f>+'R_2014_06_atkelta(viso)'!G36+R_2014_06_priskirta!G37</f>
        <v>0</v>
      </c>
      <c r="H36" s="127">
        <f>+'R_2014_06_atkelta(viso)'!H36+R_2014_06_priskirta!H37</f>
        <v>0</v>
      </c>
      <c r="I36" s="127">
        <f>+'R_2014_06_atkelta(viso)'!I36+R_2014_06_priskirta!I37</f>
        <v>0</v>
      </c>
      <c r="J36" s="127">
        <f>+'R_2014_06_atkelta(viso)'!J36+R_2014_06_priskirta!J37</f>
        <v>0</v>
      </c>
      <c r="K36" s="127">
        <f>+'R_2014_06_atkelta(viso)'!K36+R_2014_06_priskirta!K37</f>
        <v>0</v>
      </c>
      <c r="L36" s="127">
        <f>+'R_2014_06_atkelta(viso)'!L36+R_2014_06_priskirta!L37</f>
        <v>0</v>
      </c>
      <c r="M36" s="127">
        <f>+'R_2014_06_atkelta(viso)'!M36+R_2014_06_priskirta!M37</f>
        <v>0</v>
      </c>
      <c r="N36" s="127">
        <f>+'R_2014_06_atkelta(viso)'!N36+R_2014_06_priskirta!N37</f>
        <v>0</v>
      </c>
      <c r="O36" s="127">
        <f>+'R_2014_06_atkelta(viso)'!O36+R_2014_06_priskirta!O37</f>
        <v>0</v>
      </c>
      <c r="P36" s="127">
        <f>+'R_2014_06_atkelta(viso)'!P36+R_2014_06_priskirta!P37</f>
        <v>76.199999999999989</v>
      </c>
      <c r="Q36" s="127">
        <f>+'R_2014_06_atkelta(viso)'!Q36+R_2014_06_priskirta!Q37</f>
        <v>0</v>
      </c>
      <c r="R36" s="24">
        <f t="shared" si="9"/>
        <v>115.79999999999998</v>
      </c>
      <c r="S36" s="229">
        <f t="shared" si="10"/>
        <v>106.23853211009173</v>
      </c>
      <c r="T36" s="73">
        <f t="shared" si="24"/>
        <v>9.5614678899082577</v>
      </c>
      <c r="U36" s="21">
        <f t="shared" si="23"/>
        <v>1.072222222222222</v>
      </c>
      <c r="V36" s="71"/>
      <c r="W36" s="61">
        <v>432</v>
      </c>
      <c r="X36" s="13">
        <f t="shared" si="27"/>
        <v>463.19999999999987</v>
      </c>
      <c r="Z36" s="2"/>
      <c r="AA36" s="2"/>
    </row>
    <row r="37" spans="1:27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+'R_2014_06_atkelta(viso)'!E37+R_2014_06_priskirta!E38</f>
        <v>300</v>
      </c>
      <c r="F37" s="127">
        <f>+'R_2014_06_atkelta(viso)'!F37+R_2014_06_priskirta!F38</f>
        <v>0</v>
      </c>
      <c r="G37" s="127">
        <f>+'R_2014_06_atkelta(viso)'!G37+R_2014_06_priskirta!G38</f>
        <v>0</v>
      </c>
      <c r="H37" s="127">
        <f>+'R_2014_06_atkelta(viso)'!H37+R_2014_06_priskirta!H38</f>
        <v>80</v>
      </c>
      <c r="I37" s="127">
        <f>+'R_2014_06_atkelta(viso)'!I37+R_2014_06_priskirta!I38</f>
        <v>0</v>
      </c>
      <c r="J37" s="127">
        <f>+'R_2014_06_atkelta(viso)'!J37+R_2014_06_priskirta!J38</f>
        <v>0</v>
      </c>
      <c r="K37" s="127">
        <f>+'R_2014_06_atkelta(viso)'!K37+R_2014_06_priskirta!K38</f>
        <v>0</v>
      </c>
      <c r="L37" s="127">
        <f>+'R_2014_06_atkelta(viso)'!L37+R_2014_06_priskirta!L38</f>
        <v>0</v>
      </c>
      <c r="M37" s="127">
        <f>+'R_2014_06_atkelta(viso)'!M37+R_2014_06_priskirta!M38</f>
        <v>0</v>
      </c>
      <c r="N37" s="127">
        <f>+'R_2014_06_atkelta(viso)'!N37+R_2014_06_priskirta!N38</f>
        <v>0</v>
      </c>
      <c r="O37" s="127">
        <f>+'R_2014_06_atkelta(viso)'!O37+R_2014_06_priskirta!O38</f>
        <v>0</v>
      </c>
      <c r="P37" s="127">
        <f>+'R_2014_06_atkelta(viso)'!P37+R_2014_06_priskirta!P38</f>
        <v>100</v>
      </c>
      <c r="Q37" s="127">
        <f>+'R_2014_06_atkelta(viso)'!Q37+R_2014_06_priskirta!Q38</f>
        <v>0</v>
      </c>
      <c r="R37" s="24">
        <f t="shared" si="9"/>
        <v>480</v>
      </c>
      <c r="S37" s="229">
        <f t="shared" si="10"/>
        <v>440.36697247706417</v>
      </c>
      <c r="T37" s="73">
        <f t="shared" si="24"/>
        <v>39.633027522935834</v>
      </c>
      <c r="U37" s="21">
        <f t="shared" si="23"/>
        <v>0.53333333333333333</v>
      </c>
      <c r="V37" s="71"/>
      <c r="W37" s="61"/>
      <c r="X37" s="13"/>
      <c r="Z37" s="2"/>
      <c r="AA37" s="2"/>
    </row>
    <row r="38" spans="1:27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+'R_2014_06_atkelta(viso)'!E38+R_2014_06_priskirta!E39</f>
        <v>50</v>
      </c>
      <c r="F38" s="127">
        <f>+'R_2014_06_atkelta(viso)'!F38+R_2014_06_priskirta!F39</f>
        <v>50</v>
      </c>
      <c r="G38" s="127">
        <f>+'R_2014_06_atkelta(viso)'!G38+R_2014_06_priskirta!G39</f>
        <v>0</v>
      </c>
      <c r="H38" s="127">
        <f>+'R_2014_06_atkelta(viso)'!H38+R_2014_06_priskirta!H39</f>
        <v>0</v>
      </c>
      <c r="I38" s="127">
        <f>+'R_2014_06_atkelta(viso)'!I38+R_2014_06_priskirta!I39</f>
        <v>0</v>
      </c>
      <c r="J38" s="127">
        <f>+'R_2014_06_atkelta(viso)'!J38+R_2014_06_priskirta!J39</f>
        <v>0</v>
      </c>
      <c r="K38" s="127">
        <f>+'R_2014_06_atkelta(viso)'!K38+R_2014_06_priskirta!K39</f>
        <v>0</v>
      </c>
      <c r="L38" s="127">
        <f>+'R_2014_06_atkelta(viso)'!L38+R_2014_06_priskirta!L39</f>
        <v>0</v>
      </c>
      <c r="M38" s="127">
        <f>+'R_2014_06_atkelta(viso)'!M38+R_2014_06_priskirta!M39</f>
        <v>0</v>
      </c>
      <c r="N38" s="127">
        <f>+'R_2014_06_atkelta(viso)'!N38+R_2014_06_priskirta!N39</f>
        <v>0</v>
      </c>
      <c r="O38" s="127">
        <f>+'R_2014_06_atkelta(viso)'!O38+R_2014_06_priskirta!O39</f>
        <v>0</v>
      </c>
      <c r="P38" s="127">
        <f>+'R_2014_06_atkelta(viso)'!P38+R_2014_06_priskirta!P39</f>
        <v>0</v>
      </c>
      <c r="Q38" s="127">
        <f>+'R_2014_06_atkelta(viso)'!Q38+R_2014_06_priskirta!Q39</f>
        <v>0</v>
      </c>
      <c r="R38" s="24">
        <f t="shared" si="9"/>
        <v>100</v>
      </c>
      <c r="S38" s="229">
        <f t="shared" si="10"/>
        <v>91.743119266055032</v>
      </c>
      <c r="T38" s="73">
        <f t="shared" si="24"/>
        <v>8.2568807339449677</v>
      </c>
      <c r="U38" s="21">
        <f t="shared" si="23"/>
        <v>0.22222222222222221</v>
      </c>
      <c r="V38" s="71"/>
      <c r="W38" s="61">
        <v>450</v>
      </c>
      <c r="X38" s="13">
        <f t="shared" si="27"/>
        <v>100</v>
      </c>
      <c r="Z38" s="2"/>
      <c r="AA38" s="2"/>
    </row>
    <row r="39" spans="1:27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+'R_2014_06_atkelta(viso)'!E39+R_2014_06_priskirta!E40</f>
        <v>36.666666666666671</v>
      </c>
      <c r="F39" s="127">
        <f>+'R_2014_06_atkelta(viso)'!F39+R_2014_06_priskirta!F40</f>
        <v>288.67</v>
      </c>
      <c r="G39" s="127">
        <f>+'R_2014_06_atkelta(viso)'!G39+R_2014_06_priskirta!G40</f>
        <v>40</v>
      </c>
      <c r="H39" s="127">
        <f>+'R_2014_06_atkelta(viso)'!H39+R_2014_06_priskirta!H40</f>
        <v>88.67</v>
      </c>
      <c r="I39" s="127">
        <f>+'R_2014_06_atkelta(viso)'!I39+R_2014_06_priskirta!I40</f>
        <v>0</v>
      </c>
      <c r="J39" s="127">
        <f>+'R_2014_06_atkelta(viso)'!J39+R_2014_06_priskirta!J40</f>
        <v>0</v>
      </c>
      <c r="K39" s="127">
        <f>+'R_2014_06_atkelta(viso)'!K39+R_2014_06_priskirta!K40</f>
        <v>0</v>
      </c>
      <c r="L39" s="127">
        <f>+'R_2014_06_atkelta(viso)'!L39+R_2014_06_priskirta!L40</f>
        <v>0</v>
      </c>
      <c r="M39" s="127">
        <f>+'R_2014_06_atkelta(viso)'!M39+R_2014_06_priskirta!M40</f>
        <v>0</v>
      </c>
      <c r="N39" s="127">
        <f>+'R_2014_06_atkelta(viso)'!N39+R_2014_06_priskirta!N40</f>
        <v>0</v>
      </c>
      <c r="O39" s="127">
        <f>+'R_2014_06_atkelta(viso)'!O39+R_2014_06_priskirta!O40</f>
        <v>0</v>
      </c>
      <c r="P39" s="127">
        <f>+'R_2014_06_atkelta(viso)'!P39+R_2014_06_priskirta!P40</f>
        <v>376</v>
      </c>
      <c r="Q39" s="127">
        <f>+'R_2014_06_atkelta(viso)'!Q39+R_2014_06_priskirta!Q40</f>
        <v>0</v>
      </c>
      <c r="R39" s="24">
        <f t="shared" si="9"/>
        <v>830.00666666666666</v>
      </c>
      <c r="S39" s="229">
        <f t="shared" si="10"/>
        <v>761.47400611620787</v>
      </c>
      <c r="T39" s="73">
        <f t="shared" si="24"/>
        <v>68.532660550458786</v>
      </c>
      <c r="U39" s="21">
        <f t="shared" si="23"/>
        <v>4.611148148148148</v>
      </c>
      <c r="V39" s="71"/>
      <c r="W39" s="61">
        <v>720</v>
      </c>
      <c r="X39" s="13">
        <f t="shared" si="27"/>
        <v>3320.0266666666666</v>
      </c>
      <c r="Z39" s="2"/>
      <c r="AA39" s="2"/>
    </row>
    <row r="40" spans="1:27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+'R_2014_06_atkelta(viso)'!E40+R_2014_06_priskirta!E41</f>
        <v>0</v>
      </c>
      <c r="F40" s="127">
        <f>+'R_2014_06_atkelta(viso)'!F40+R_2014_06_priskirta!F41</f>
        <v>0</v>
      </c>
      <c r="G40" s="127">
        <f>+'R_2014_06_atkelta(viso)'!G40+R_2014_06_priskirta!G41</f>
        <v>0</v>
      </c>
      <c r="H40" s="127">
        <f>+'R_2014_06_atkelta(viso)'!H40+R_2014_06_priskirta!H41</f>
        <v>0</v>
      </c>
      <c r="I40" s="127">
        <f>+'R_2014_06_atkelta(viso)'!I40+R_2014_06_priskirta!I41</f>
        <v>0</v>
      </c>
      <c r="J40" s="127">
        <f>+'R_2014_06_atkelta(viso)'!J40+R_2014_06_priskirta!J41</f>
        <v>0</v>
      </c>
      <c r="K40" s="127">
        <f>+'R_2014_06_atkelta(viso)'!K40+R_2014_06_priskirta!K41</f>
        <v>0</v>
      </c>
      <c r="L40" s="127">
        <f>+'R_2014_06_atkelta(viso)'!L40+R_2014_06_priskirta!L41</f>
        <v>0</v>
      </c>
      <c r="M40" s="127">
        <f>+'R_2014_06_atkelta(viso)'!M40+R_2014_06_priskirta!M41</f>
        <v>0</v>
      </c>
      <c r="N40" s="127">
        <f>+'R_2014_06_atkelta(viso)'!N40+R_2014_06_priskirta!N41</f>
        <v>0</v>
      </c>
      <c r="O40" s="127">
        <f>+'R_2014_06_atkelta(viso)'!O40+R_2014_06_priskirta!O41</f>
        <v>0</v>
      </c>
      <c r="P40" s="127">
        <f>+'R_2014_06_atkelta(viso)'!P40+R_2014_06_priskirta!P41</f>
        <v>540</v>
      </c>
      <c r="Q40" s="127">
        <f>+'R_2014_06_atkelta(viso)'!Q40+R_2014_06_priskirta!Q41</f>
        <v>0</v>
      </c>
      <c r="R40" s="24">
        <f t="shared" si="9"/>
        <v>540</v>
      </c>
      <c r="S40" s="229">
        <f t="shared" si="10"/>
        <v>495.41284403669721</v>
      </c>
      <c r="T40" s="73">
        <f t="shared" si="24"/>
        <v>44.587155963302791</v>
      </c>
      <c r="U40" s="21">
        <f t="shared" si="23"/>
        <v>0.66666666666666663</v>
      </c>
      <c r="V40" s="71"/>
      <c r="W40" s="61"/>
      <c r="X40" s="13"/>
      <c r="Z40" s="2"/>
      <c r="AA40" s="2"/>
    </row>
    <row r="41" spans="1:27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+'R_2014_06_atkelta(viso)'!E41+R_2014_06_priskirta!E42</f>
        <v>0</v>
      </c>
      <c r="F41" s="127">
        <f>+'R_2014_06_atkelta(viso)'!F41+R_2014_06_priskirta!F42</f>
        <v>0</v>
      </c>
      <c r="G41" s="127">
        <f>+'R_2014_06_atkelta(viso)'!G41+R_2014_06_priskirta!G42</f>
        <v>0</v>
      </c>
      <c r="H41" s="127">
        <f>+'R_2014_06_atkelta(viso)'!H41+R_2014_06_priskirta!H42</f>
        <v>0</v>
      </c>
      <c r="I41" s="127">
        <f>+'R_2014_06_atkelta(viso)'!I41+R_2014_06_priskirta!I42</f>
        <v>0</v>
      </c>
      <c r="J41" s="127">
        <f>+'R_2014_06_atkelta(viso)'!J41+R_2014_06_priskirta!J42</f>
        <v>0</v>
      </c>
      <c r="K41" s="127">
        <f>+'R_2014_06_atkelta(viso)'!K41+R_2014_06_priskirta!K42</f>
        <v>0</v>
      </c>
      <c r="L41" s="127">
        <f>+'R_2014_06_atkelta(viso)'!L41+R_2014_06_priskirta!L42</f>
        <v>0</v>
      </c>
      <c r="M41" s="127">
        <f>+'R_2014_06_atkelta(viso)'!M41+R_2014_06_priskirta!M42</f>
        <v>0</v>
      </c>
      <c r="N41" s="127">
        <f>+'R_2014_06_atkelta(viso)'!N41+R_2014_06_priskirta!N42</f>
        <v>0</v>
      </c>
      <c r="O41" s="127">
        <f>+'R_2014_06_atkelta(viso)'!O41+R_2014_06_priskirta!O42</f>
        <v>0</v>
      </c>
      <c r="P41" s="127">
        <f>+'R_2014_06_atkelta(viso)'!P41+R_2014_06_priskirta!P42</f>
        <v>0</v>
      </c>
      <c r="Q41" s="127">
        <f>+'R_2014_06_atkelta(viso)'!Q41+R_2014_06_priskirta!Q42</f>
        <v>0</v>
      </c>
      <c r="R41" s="24">
        <f t="shared" si="9"/>
        <v>0</v>
      </c>
      <c r="S41" s="229">
        <f t="shared" si="10"/>
        <v>0</v>
      </c>
      <c r="T41" s="73">
        <f t="shared" si="24"/>
        <v>0</v>
      </c>
      <c r="U41" s="21">
        <f t="shared" si="23"/>
        <v>0</v>
      </c>
      <c r="V41" s="71"/>
      <c r="W41" s="61">
        <v>405</v>
      </c>
      <c r="X41" s="13">
        <f t="shared" si="27"/>
        <v>0</v>
      </c>
      <c r="Z41" s="2"/>
      <c r="AA41" s="2"/>
    </row>
    <row r="42" spans="1:27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+'R_2014_06_atkelta(viso)'!E42+R_2014_06_priskirta!E43</f>
        <v>0</v>
      </c>
      <c r="F42" s="127">
        <f>+'R_2014_06_atkelta(viso)'!F42+R_2014_06_priskirta!F43</f>
        <v>22.2</v>
      </c>
      <c r="G42" s="127">
        <f>+'R_2014_06_atkelta(viso)'!G42+R_2014_06_priskirta!G43</f>
        <v>0</v>
      </c>
      <c r="H42" s="127">
        <f>+'R_2014_06_atkelta(viso)'!H42+R_2014_06_priskirta!H43</f>
        <v>0</v>
      </c>
      <c r="I42" s="127">
        <f>+'R_2014_06_atkelta(viso)'!I42+R_2014_06_priskirta!I43</f>
        <v>0</v>
      </c>
      <c r="J42" s="127">
        <f>+'R_2014_06_atkelta(viso)'!J42+R_2014_06_priskirta!J43</f>
        <v>0</v>
      </c>
      <c r="K42" s="127">
        <f>+'R_2014_06_atkelta(viso)'!K42+R_2014_06_priskirta!K43</f>
        <v>0</v>
      </c>
      <c r="L42" s="127">
        <f>+'R_2014_06_atkelta(viso)'!L42+R_2014_06_priskirta!L43</f>
        <v>0</v>
      </c>
      <c r="M42" s="127">
        <f>+'R_2014_06_atkelta(viso)'!M42+R_2014_06_priskirta!M43</f>
        <v>0</v>
      </c>
      <c r="N42" s="127">
        <f>+'R_2014_06_atkelta(viso)'!N42+R_2014_06_priskirta!N43</f>
        <v>0</v>
      </c>
      <c r="O42" s="127">
        <f>+'R_2014_06_atkelta(viso)'!O42+R_2014_06_priskirta!O43</f>
        <v>0</v>
      </c>
      <c r="P42" s="127">
        <f>+'R_2014_06_atkelta(viso)'!P42+R_2014_06_priskirta!P43</f>
        <v>101.4</v>
      </c>
      <c r="Q42" s="127">
        <f>+'R_2014_06_atkelta(viso)'!Q42+R_2014_06_priskirta!Q43</f>
        <v>0</v>
      </c>
      <c r="R42" s="24">
        <f t="shared" si="9"/>
        <v>123.60000000000001</v>
      </c>
      <c r="S42" s="229">
        <f t="shared" si="10"/>
        <v>113.39449541284404</v>
      </c>
      <c r="T42" s="207">
        <f t="shared" si="24"/>
        <v>10.205504587155971</v>
      </c>
      <c r="U42" s="39">
        <f t="shared" si="23"/>
        <v>0.76296296296296306</v>
      </c>
      <c r="V42" s="71"/>
      <c r="W42" s="61">
        <v>648</v>
      </c>
      <c r="X42" s="13">
        <f t="shared" si="27"/>
        <v>494.40000000000009</v>
      </c>
      <c r="Z42" s="2"/>
      <c r="AA42" s="2"/>
    </row>
    <row r="43" spans="1:27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+'R_2014_06_atkelta(viso)'!E43+R_2014_06_priskirta!E44</f>
        <v>145.72602739726022</v>
      </c>
      <c r="F43" s="127">
        <f>+'R_2014_06_atkelta(viso)'!F43+R_2014_06_priskirta!F44</f>
        <v>11176.958904109326</v>
      </c>
      <c r="G43" s="127">
        <f>+'R_2014_06_atkelta(viso)'!G43+R_2014_06_priskirta!G44</f>
        <v>1446.41</v>
      </c>
      <c r="H43" s="127">
        <f>+'R_2014_06_atkelta(viso)'!H43+R_2014_06_priskirta!H44</f>
        <v>2005.53</v>
      </c>
      <c r="I43" s="127">
        <f>+'R_2014_06_atkelta(viso)'!I43+R_2014_06_priskirta!I44</f>
        <v>0</v>
      </c>
      <c r="J43" s="127">
        <f>+'R_2014_06_atkelta(viso)'!J43+R_2014_06_priskirta!J44</f>
        <v>0</v>
      </c>
      <c r="K43" s="127">
        <f>+'R_2014_06_atkelta(viso)'!K43+R_2014_06_priskirta!K44</f>
        <v>0</v>
      </c>
      <c r="L43" s="127">
        <f>+'R_2014_06_atkelta(viso)'!L43+R_2014_06_priskirta!L44</f>
        <v>0</v>
      </c>
      <c r="M43" s="127">
        <f>+'R_2014_06_atkelta(viso)'!M43+R_2014_06_priskirta!M44</f>
        <v>19.32</v>
      </c>
      <c r="N43" s="127">
        <f>+'R_2014_06_atkelta(viso)'!N43+R_2014_06_priskirta!N44</f>
        <v>0</v>
      </c>
      <c r="O43" s="127">
        <f>+'R_2014_06_atkelta(viso)'!O43+R_2014_06_priskirta!O44</f>
        <v>0</v>
      </c>
      <c r="P43" s="127">
        <f>+'R_2014_06_atkelta(viso)'!P43+R_2014_06_priskirta!P44</f>
        <v>26.3</v>
      </c>
      <c r="Q43" s="127">
        <f>+'R_2014_06_atkelta(viso)'!Q43+R_2014_06_priskirta!Q44</f>
        <v>0</v>
      </c>
      <c r="R43" s="24">
        <f t="shared" si="9"/>
        <v>14820.244931506586</v>
      </c>
      <c r="S43" s="229">
        <f t="shared" si="10"/>
        <v>13596.554983033564</v>
      </c>
      <c r="T43" s="147">
        <f t="shared" si="24"/>
        <v>1223.689948473022</v>
      </c>
      <c r="U43" s="22">
        <f t="shared" si="23"/>
        <v>1482.0244931506586</v>
      </c>
      <c r="V43" s="71"/>
      <c r="W43" s="61"/>
      <c r="X43" s="13"/>
      <c r="Y43" s="2"/>
      <c r="Z43" s="2"/>
      <c r="AA43" s="2"/>
    </row>
    <row r="44" spans="1:27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4383.3600000000006</v>
      </c>
      <c r="F44" s="82">
        <f>+SUM(F45:F53)</f>
        <v>195226.42</v>
      </c>
      <c r="G44" s="82">
        <f t="shared" ref="G44:U44" si="28">+SUM(G45:G53)</f>
        <v>32059.909999999996</v>
      </c>
      <c r="H44" s="82">
        <f>+SUM(H45:H53)</f>
        <v>5167.3399999999992</v>
      </c>
      <c r="I44" s="82">
        <f t="shared" si="28"/>
        <v>0</v>
      </c>
      <c r="J44" s="82">
        <f t="shared" si="28"/>
        <v>0</v>
      </c>
      <c r="K44" s="100">
        <f t="shared" si="28"/>
        <v>0</v>
      </c>
      <c r="L44" s="100">
        <f t="shared" si="28"/>
        <v>0</v>
      </c>
      <c r="M44" s="100">
        <f t="shared" si="28"/>
        <v>1400.3000000000002</v>
      </c>
      <c r="N44" s="100">
        <f t="shared" ref="N44:O44" si="29">+SUM(N45:N53)</f>
        <v>309.82</v>
      </c>
      <c r="O44" s="100">
        <f t="shared" si="29"/>
        <v>601.6</v>
      </c>
      <c r="P44" s="100">
        <f t="shared" si="28"/>
        <v>21014.489999999998</v>
      </c>
      <c r="Q44" s="100">
        <f t="shared" si="28"/>
        <v>0</v>
      </c>
      <c r="R44" s="42">
        <f>+SUM(R45:R53)</f>
        <v>260163.24000000002</v>
      </c>
      <c r="S44" s="82">
        <f t="shared" si="28"/>
        <v>238681.871559633</v>
      </c>
      <c r="T44" s="82">
        <f t="shared" si="28"/>
        <v>21481.368440367001</v>
      </c>
      <c r="U44" s="19">
        <f t="shared" si="28"/>
        <v>39498.233333333337</v>
      </c>
      <c r="V44" s="71"/>
      <c r="W44" s="61"/>
      <c r="X44" s="105">
        <f>+SUM(X45:X53)</f>
        <v>417443.66000000003</v>
      </c>
      <c r="Z44" s="2"/>
      <c r="AA44" s="2"/>
    </row>
    <row r="45" spans="1:27" ht="12" customHeight="1" x14ac:dyDescent="0.3">
      <c r="A45" s="65" t="s">
        <v>17</v>
      </c>
      <c r="B45" s="86" t="s">
        <v>35</v>
      </c>
      <c r="C45" s="375" t="s">
        <v>2</v>
      </c>
      <c r="D45" s="376">
        <v>12</v>
      </c>
      <c r="E45" s="289">
        <f>+'R_2014_06_atkelta(viso)'!E45+R_2014_06_priskirta!E46</f>
        <v>432</v>
      </c>
      <c r="F45" s="289">
        <f>+'R_2014_06_atkelta(viso)'!F45+R_2014_06_priskirta!F46</f>
        <v>16992</v>
      </c>
      <c r="G45" s="289">
        <f>+'R_2014_06_atkelta(viso)'!G45+R_2014_06_priskirta!G46</f>
        <v>2676</v>
      </c>
      <c r="H45" s="289">
        <f>+'R_2014_06_atkelta(viso)'!H45+R_2014_06_priskirta!H46</f>
        <v>384</v>
      </c>
      <c r="I45" s="289">
        <f>+'R_2014_06_atkelta(viso)'!I45+R_2014_06_priskirta!I46</f>
        <v>0</v>
      </c>
      <c r="J45" s="289">
        <f>+'R_2014_06_atkelta(viso)'!J45+R_2014_06_priskirta!J46</f>
        <v>0</v>
      </c>
      <c r="K45" s="289">
        <f>+'R_2014_06_atkelta(viso)'!K45+R_2014_06_priskirta!K46</f>
        <v>0</v>
      </c>
      <c r="L45" s="289">
        <f>+'R_2014_06_atkelta(viso)'!L45+R_2014_06_priskirta!L46</f>
        <v>0</v>
      </c>
      <c r="M45" s="289">
        <f>+'R_2014_06_atkelta(viso)'!M45+R_2014_06_priskirta!M46</f>
        <v>144</v>
      </c>
      <c r="N45" s="289">
        <f>+'R_2014_06_atkelta(viso)'!N45+R_2014_06_priskirta!N46</f>
        <v>36</v>
      </c>
      <c r="O45" s="289">
        <f>+'R_2014_06_atkelta(viso)'!O45+R_2014_06_priskirta!O46</f>
        <v>12</v>
      </c>
      <c r="P45" s="289">
        <f>+'R_2014_06_atkelta(viso)'!P45+R_2014_06_priskirta!P46</f>
        <v>1368</v>
      </c>
      <c r="Q45" s="290">
        <f>+'R_2014_06_atkelta(viso)'!Q45+R_2014_06_priskirta!Q46</f>
        <v>0</v>
      </c>
      <c r="R45" s="24">
        <f t="shared" si="9"/>
        <v>22044</v>
      </c>
      <c r="S45" s="229">
        <f t="shared" si="10"/>
        <v>20223.853211009173</v>
      </c>
      <c r="T45" s="99">
        <f t="shared" ref="T45:T53" si="30">+R45-S45</f>
        <v>1820.1467889908272</v>
      </c>
      <c r="U45" s="116">
        <f t="shared" ref="U45:U53" si="31">R45/D45</f>
        <v>1837</v>
      </c>
      <c r="V45" s="71"/>
      <c r="W45" s="61"/>
      <c r="X45" s="13"/>
      <c r="Y45"/>
      <c r="Z45" s="2"/>
      <c r="AA45" s="2"/>
    </row>
    <row r="46" spans="1:27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>
        <f>+'R_2014_06_atkelta(viso)'!E46+R_2014_06_priskirta!E47</f>
        <v>168</v>
      </c>
      <c r="F46" s="127">
        <f>+'R_2014_06_atkelta(viso)'!F46+R_2014_06_priskirta!F47</f>
        <v>1944</v>
      </c>
      <c r="G46" s="127">
        <f>+'R_2014_06_atkelta(viso)'!G46+R_2014_06_priskirta!G47</f>
        <v>312</v>
      </c>
      <c r="H46" s="127">
        <f>+'R_2014_06_atkelta(viso)'!H46+R_2014_06_priskirta!H47</f>
        <v>12</v>
      </c>
      <c r="I46" s="127">
        <f>+'R_2014_06_atkelta(viso)'!I46+R_2014_06_priskirta!I47</f>
        <v>0</v>
      </c>
      <c r="J46" s="127">
        <f>+'R_2014_06_atkelta(viso)'!J46+R_2014_06_priskirta!J47</f>
        <v>0</v>
      </c>
      <c r="K46" s="127">
        <f>+'R_2014_06_atkelta(viso)'!K46+R_2014_06_priskirta!K47</f>
        <v>0</v>
      </c>
      <c r="L46" s="127">
        <f>+'R_2014_06_atkelta(viso)'!L46+R_2014_06_priskirta!L47</f>
        <v>0</v>
      </c>
      <c r="M46" s="127">
        <f>+'R_2014_06_atkelta(viso)'!M46+R_2014_06_priskirta!M47</f>
        <v>12</v>
      </c>
      <c r="N46" s="127">
        <f>+'R_2014_06_atkelta(viso)'!N46+R_2014_06_priskirta!N47</f>
        <v>6</v>
      </c>
      <c r="O46" s="127">
        <f>+'R_2014_06_atkelta(viso)'!O46+R_2014_06_priskirta!O47</f>
        <v>0</v>
      </c>
      <c r="P46" s="127">
        <f>+'R_2014_06_atkelta(viso)'!P46+R_2014_06_priskirta!P47</f>
        <v>258</v>
      </c>
      <c r="Q46" s="291">
        <f>+'R_2014_06_atkelta(viso)'!Q46+R_2014_06_priskirta!Q47</f>
        <v>0</v>
      </c>
      <c r="R46" s="24">
        <f t="shared" si="9"/>
        <v>2712</v>
      </c>
      <c r="S46" s="229">
        <f t="shared" si="10"/>
        <v>2488.0733944954127</v>
      </c>
      <c r="T46" s="5">
        <f t="shared" si="30"/>
        <v>223.92660550458731</v>
      </c>
      <c r="U46" s="31">
        <f t="shared" si="31"/>
        <v>452</v>
      </c>
      <c r="V46" s="71"/>
      <c r="W46" s="61">
        <v>6</v>
      </c>
      <c r="X46" s="13">
        <f t="shared" ref="X46:X47" si="32">+U46*W46</f>
        <v>2712</v>
      </c>
      <c r="Z46" s="2"/>
      <c r="AA46" s="2"/>
    </row>
    <row r="47" spans="1:27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+'R_2014_06_atkelta(viso)'!E47+R_2014_06_priskirta!E48</f>
        <v>1036.8</v>
      </c>
      <c r="F47" s="127">
        <f>+'R_2014_06_atkelta(viso)'!F47+R_2014_06_priskirta!F48</f>
        <v>48564</v>
      </c>
      <c r="G47" s="127">
        <f>+'R_2014_06_atkelta(viso)'!G47+R_2014_06_priskirta!G48</f>
        <v>9009.6</v>
      </c>
      <c r="H47" s="127">
        <f>+'R_2014_06_atkelta(viso)'!H47+R_2014_06_priskirta!H48</f>
        <v>355.2</v>
      </c>
      <c r="I47" s="127">
        <f>+'R_2014_06_atkelta(viso)'!I47+R_2014_06_priskirta!I48</f>
        <v>0</v>
      </c>
      <c r="J47" s="127">
        <f>+'R_2014_06_atkelta(viso)'!J47+R_2014_06_priskirta!J48</f>
        <v>0</v>
      </c>
      <c r="K47" s="127">
        <f>+'R_2014_06_atkelta(viso)'!K47+R_2014_06_priskirta!K48</f>
        <v>0</v>
      </c>
      <c r="L47" s="127">
        <f>+'R_2014_06_atkelta(viso)'!L47+R_2014_06_priskirta!L48</f>
        <v>0</v>
      </c>
      <c r="M47" s="127">
        <f>+'R_2014_06_atkelta(viso)'!M47+R_2014_06_priskirta!M48</f>
        <v>266.39999999999998</v>
      </c>
      <c r="N47" s="127">
        <f>+'R_2014_06_atkelta(viso)'!N47+R_2014_06_priskirta!N48</f>
        <v>64.8</v>
      </c>
      <c r="O47" s="127">
        <f>+'R_2014_06_atkelta(viso)'!O47+R_2014_06_priskirta!O48</f>
        <v>444</v>
      </c>
      <c r="P47" s="127">
        <f>+'R_2014_06_atkelta(viso)'!P47+R_2014_06_priskirta!P48</f>
        <v>3564</v>
      </c>
      <c r="Q47" s="291">
        <f>+'R_2014_06_atkelta(viso)'!Q47+R_2014_06_priskirta!Q48</f>
        <v>0</v>
      </c>
      <c r="R47" s="24">
        <f t="shared" si="9"/>
        <v>63304.800000000003</v>
      </c>
      <c r="S47" s="229">
        <f t="shared" si="10"/>
        <v>58077.79816513761</v>
      </c>
      <c r="T47" s="5">
        <f t="shared" si="30"/>
        <v>5227.0018348623926</v>
      </c>
      <c r="U47" s="31">
        <f t="shared" si="31"/>
        <v>26377.000000000004</v>
      </c>
      <c r="V47" s="71"/>
      <c r="W47" s="61">
        <v>9.6</v>
      </c>
      <c r="X47" s="13">
        <f t="shared" si="32"/>
        <v>253219.20000000001</v>
      </c>
      <c r="Z47" s="2"/>
      <c r="AA47" s="2"/>
    </row>
    <row r="48" spans="1:27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f>+'R_2014_06_atkelta(viso)'!E48+R_2014_06_priskirta!E49</f>
        <v>322</v>
      </c>
      <c r="F48" s="127">
        <f>+'R_2014_06_atkelta(viso)'!F48+R_2014_06_priskirta!F49</f>
        <v>22288</v>
      </c>
      <c r="G48" s="127">
        <f>+'R_2014_06_atkelta(viso)'!G48+R_2014_06_priskirta!G49</f>
        <v>3143</v>
      </c>
      <c r="H48" s="127">
        <f>+'R_2014_06_atkelta(viso)'!H48+R_2014_06_priskirta!H49</f>
        <v>1400</v>
      </c>
      <c r="I48" s="127">
        <f>+'R_2014_06_atkelta(viso)'!I48+R_2014_06_priskirta!I49</f>
        <v>0</v>
      </c>
      <c r="J48" s="127">
        <f>+'R_2014_06_atkelta(viso)'!J48+R_2014_06_priskirta!J49</f>
        <v>0</v>
      </c>
      <c r="K48" s="127">
        <f>+'R_2014_06_atkelta(viso)'!K48+R_2014_06_priskirta!K49</f>
        <v>0</v>
      </c>
      <c r="L48" s="127">
        <f>+'R_2014_06_atkelta(viso)'!L48+R_2014_06_priskirta!L49</f>
        <v>0</v>
      </c>
      <c r="M48" s="127">
        <f>+'R_2014_06_atkelta(viso)'!M48+R_2014_06_priskirta!M49</f>
        <v>105</v>
      </c>
      <c r="N48" s="127">
        <f>+'R_2014_06_atkelta(viso)'!N48+R_2014_06_priskirta!N49</f>
        <v>7</v>
      </c>
      <c r="O48" s="127">
        <f>+'R_2014_06_atkelta(viso)'!O48+R_2014_06_priskirta!O49</f>
        <v>63</v>
      </c>
      <c r="P48" s="127">
        <f>+'R_2014_06_atkelta(viso)'!P48+R_2014_06_priskirta!P49</f>
        <v>3584</v>
      </c>
      <c r="Q48" s="291">
        <f>+'R_2014_06_atkelta(viso)'!Q48+R_2014_06_priskirta!Q49</f>
        <v>0</v>
      </c>
      <c r="R48" s="24">
        <f t="shared" si="9"/>
        <v>30912</v>
      </c>
      <c r="S48" s="229">
        <f t="shared" si="10"/>
        <v>28359.633027522934</v>
      </c>
      <c r="T48" s="5">
        <f t="shared" si="30"/>
        <v>2552.3669724770662</v>
      </c>
      <c r="U48" s="31">
        <f t="shared" si="31"/>
        <v>1472</v>
      </c>
      <c r="V48" s="71"/>
      <c r="W48" s="61"/>
      <c r="X48" s="13"/>
      <c r="Z48" s="2"/>
      <c r="AA48" s="2"/>
    </row>
    <row r="49" spans="1:27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+'R_2014_06_atkelta(viso)'!E49+R_2014_06_priskirta!E50</f>
        <v>42</v>
      </c>
      <c r="F49" s="127">
        <f>+'R_2014_06_atkelta(viso)'!F49+R_2014_06_priskirta!F50</f>
        <v>1911</v>
      </c>
      <c r="G49" s="127">
        <f>+'R_2014_06_atkelta(viso)'!G49+R_2014_06_priskirta!G50</f>
        <v>287</v>
      </c>
      <c r="H49" s="127">
        <f>+'R_2014_06_atkelta(viso)'!H49+R_2014_06_priskirta!H50</f>
        <v>119</v>
      </c>
      <c r="I49" s="127">
        <f>+'R_2014_06_atkelta(viso)'!I49+R_2014_06_priskirta!I50</f>
        <v>0</v>
      </c>
      <c r="J49" s="127">
        <f>+'R_2014_06_atkelta(viso)'!J49+R_2014_06_priskirta!J50</f>
        <v>0</v>
      </c>
      <c r="K49" s="127">
        <f>+'R_2014_06_atkelta(viso)'!K49+R_2014_06_priskirta!K50</f>
        <v>0</v>
      </c>
      <c r="L49" s="127">
        <f>+'R_2014_06_atkelta(viso)'!L49+R_2014_06_priskirta!L50</f>
        <v>0</v>
      </c>
      <c r="M49" s="127">
        <f>+'R_2014_06_atkelta(viso)'!M49+R_2014_06_priskirta!M50</f>
        <v>42</v>
      </c>
      <c r="N49" s="127">
        <f>+'R_2014_06_atkelta(viso)'!N49+R_2014_06_priskirta!N50</f>
        <v>21</v>
      </c>
      <c r="O49" s="127">
        <f>+'R_2014_06_atkelta(viso)'!O49+R_2014_06_priskirta!O50</f>
        <v>0</v>
      </c>
      <c r="P49" s="127">
        <f>+'R_2014_06_atkelta(viso)'!P49+R_2014_06_priskirta!P50</f>
        <v>189</v>
      </c>
      <c r="Q49" s="291">
        <f>+'R_2014_06_atkelta(viso)'!Q49+R_2014_06_priskirta!Q50</f>
        <v>0</v>
      </c>
      <c r="R49" s="24">
        <f t="shared" si="9"/>
        <v>2611</v>
      </c>
      <c r="S49" s="229">
        <f t="shared" si="10"/>
        <v>2395.4128440366972</v>
      </c>
      <c r="T49" s="5">
        <f t="shared" si="30"/>
        <v>215.58715596330285</v>
      </c>
      <c r="U49" s="21">
        <f t="shared" si="31"/>
        <v>248.66666666666666</v>
      </c>
      <c r="V49" s="71"/>
      <c r="W49" s="61">
        <v>10.5</v>
      </c>
      <c r="X49" s="13">
        <f t="shared" ref="X49:X50" si="33">+U49*W49</f>
        <v>2611</v>
      </c>
      <c r="Z49" s="2"/>
      <c r="AA49" s="2"/>
    </row>
    <row r="50" spans="1:27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+'R_2014_06_atkelta(viso)'!E50+R_2014_06_priskirta!E51</f>
        <v>203</v>
      </c>
      <c r="F50" s="127">
        <f>+'R_2014_06_atkelta(viso)'!F50+R_2014_06_priskirta!F51</f>
        <v>11662</v>
      </c>
      <c r="G50" s="127">
        <f>+'R_2014_06_atkelta(viso)'!G50+R_2014_06_priskirta!G51</f>
        <v>1589</v>
      </c>
      <c r="H50" s="127">
        <f>+'R_2014_06_atkelta(viso)'!H50+R_2014_06_priskirta!H51</f>
        <v>210</v>
      </c>
      <c r="I50" s="127">
        <f>+'R_2014_06_atkelta(viso)'!I50+R_2014_06_priskirta!I51</f>
        <v>0</v>
      </c>
      <c r="J50" s="127">
        <f>+'R_2014_06_atkelta(viso)'!J50+R_2014_06_priskirta!J51</f>
        <v>0</v>
      </c>
      <c r="K50" s="127">
        <f>+'R_2014_06_atkelta(viso)'!K50+R_2014_06_priskirta!K51</f>
        <v>0</v>
      </c>
      <c r="L50" s="127">
        <f>+'R_2014_06_atkelta(viso)'!L50+R_2014_06_priskirta!L51</f>
        <v>0</v>
      </c>
      <c r="M50" s="127">
        <f>+'R_2014_06_atkelta(viso)'!M50+R_2014_06_priskirta!M51</f>
        <v>56</v>
      </c>
      <c r="N50" s="127">
        <f>+'R_2014_06_atkelta(viso)'!N50+R_2014_06_priskirta!N51</f>
        <v>26.6</v>
      </c>
      <c r="O50" s="127">
        <f>+'R_2014_06_atkelta(viso)'!O50+R_2014_06_priskirta!O51</f>
        <v>25.2</v>
      </c>
      <c r="P50" s="127">
        <f>+'R_2014_06_atkelta(viso)'!P50+R_2014_06_priskirta!P51</f>
        <v>2207.8000000000002</v>
      </c>
      <c r="Q50" s="291">
        <f>+'R_2014_06_atkelta(viso)'!Q50+R_2014_06_priskirta!Q51</f>
        <v>0</v>
      </c>
      <c r="R50" s="24">
        <f t="shared" si="9"/>
        <v>15979.600000000002</v>
      </c>
      <c r="S50" s="229">
        <f t="shared" si="10"/>
        <v>14660.183486238533</v>
      </c>
      <c r="T50" s="5">
        <f t="shared" si="30"/>
        <v>1319.4165137614691</v>
      </c>
      <c r="U50" s="21">
        <f t="shared" si="31"/>
        <v>3804.666666666667</v>
      </c>
      <c r="V50" s="71"/>
      <c r="W50" s="61">
        <v>16.8</v>
      </c>
      <c r="X50" s="13">
        <f t="shared" si="33"/>
        <v>63918.400000000009</v>
      </c>
      <c r="Z50" s="2"/>
      <c r="AA50" s="2"/>
    </row>
    <row r="51" spans="1:27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+'R_2014_06_atkelta(viso)'!E51+R_2014_06_priskirta!E52</f>
        <v>1746.6</v>
      </c>
      <c r="F51" s="127">
        <f>+'R_2014_06_atkelta(viso)'!F51+R_2014_06_priskirta!F52</f>
        <v>69991.100000000006</v>
      </c>
      <c r="G51" s="127">
        <f>+'R_2014_06_atkelta(viso)'!G51+R_2014_06_priskirta!G52</f>
        <v>11664.5</v>
      </c>
      <c r="H51" s="127">
        <f>+'R_2014_06_atkelta(viso)'!H51+R_2014_06_priskirta!H52</f>
        <v>2140.2000000000003</v>
      </c>
      <c r="I51" s="127">
        <f>+'R_2014_06_atkelta(viso)'!I51+R_2014_06_priskirta!I52</f>
        <v>0</v>
      </c>
      <c r="J51" s="127">
        <f>+'R_2014_06_atkelta(viso)'!J51+R_2014_06_priskirta!J52</f>
        <v>0</v>
      </c>
      <c r="K51" s="127">
        <f>+'R_2014_06_atkelta(viso)'!K51+R_2014_06_priskirta!K52</f>
        <v>0</v>
      </c>
      <c r="L51" s="127">
        <f>+'R_2014_06_atkelta(viso)'!L51+R_2014_06_priskirta!L52</f>
        <v>0</v>
      </c>
      <c r="M51" s="127">
        <f>+'R_2014_06_atkelta(viso)'!M51+R_2014_06_priskirta!M52</f>
        <v>574</v>
      </c>
      <c r="N51" s="127">
        <f>+'R_2014_06_atkelta(viso)'!N51+R_2014_06_priskirta!N52</f>
        <v>147.6</v>
      </c>
      <c r="O51" s="127">
        <f>+'R_2014_06_atkelta(viso)'!O51+R_2014_06_priskirta!O52</f>
        <v>41</v>
      </c>
      <c r="P51" s="127">
        <f>+'R_2014_06_atkelta(viso)'!P51+R_2014_06_priskirta!P52</f>
        <v>6014.7</v>
      </c>
      <c r="Q51" s="291">
        <f>+'R_2014_06_atkelta(viso)'!Q51+R_2014_06_priskirta!Q52</f>
        <v>0</v>
      </c>
      <c r="R51" s="24">
        <f t="shared" si="9"/>
        <v>92319.700000000012</v>
      </c>
      <c r="S51" s="229">
        <f t="shared" si="10"/>
        <v>84696.972477064221</v>
      </c>
      <c r="T51" s="5">
        <f t="shared" si="30"/>
        <v>7622.7275229357911</v>
      </c>
      <c r="U51" s="21">
        <f t="shared" si="31"/>
        <v>2251.7000000000003</v>
      </c>
      <c r="V51" s="71"/>
      <c r="W51" s="61"/>
      <c r="X51" s="13"/>
      <c r="Z51" s="2"/>
      <c r="AA51" s="2"/>
    </row>
    <row r="52" spans="1:27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+'R_2014_06_atkelta(viso)'!E52+R_2014_06_priskirta!E53</f>
        <v>94.3</v>
      </c>
      <c r="F52" s="127">
        <f>+'R_2014_06_atkelta(viso)'!F52+R_2014_06_priskirta!F53</f>
        <v>6912.5999999999995</v>
      </c>
      <c r="G52" s="127">
        <f>+'R_2014_06_atkelta(viso)'!G52+R_2014_06_priskirta!G53</f>
        <v>1080.3499999999999</v>
      </c>
      <c r="H52" s="127">
        <f>+'R_2014_06_atkelta(viso)'!H52+R_2014_06_priskirta!H53</f>
        <v>200.9</v>
      </c>
      <c r="I52" s="127">
        <f>+'R_2014_06_atkelta(viso)'!I52+R_2014_06_priskirta!I53</f>
        <v>0</v>
      </c>
      <c r="J52" s="127">
        <f>+'R_2014_06_atkelta(viso)'!J52+R_2014_06_priskirta!J53</f>
        <v>0</v>
      </c>
      <c r="K52" s="127">
        <f>+'R_2014_06_atkelta(viso)'!K52+R_2014_06_priskirta!K53</f>
        <v>0</v>
      </c>
      <c r="L52" s="127">
        <f>+'R_2014_06_atkelta(viso)'!L52+R_2014_06_priskirta!L53</f>
        <v>0</v>
      </c>
      <c r="M52" s="127">
        <f>+'R_2014_06_atkelta(viso)'!M52+R_2014_06_priskirta!M53</f>
        <v>102.5</v>
      </c>
      <c r="N52" s="127">
        <f>+'R_2014_06_atkelta(viso)'!N52+R_2014_06_priskirta!N53</f>
        <v>0</v>
      </c>
      <c r="O52" s="127">
        <f>+'R_2014_06_atkelta(viso)'!O52+R_2014_06_priskirta!O53</f>
        <v>0</v>
      </c>
      <c r="P52" s="127">
        <f>+'R_2014_06_atkelta(viso)'!P52+R_2014_06_priskirta!P53</f>
        <v>321.85000000000002</v>
      </c>
      <c r="Q52" s="291">
        <f>+'R_2014_06_atkelta(viso)'!Q52+R_2014_06_priskirta!Q53</f>
        <v>0</v>
      </c>
      <c r="R52" s="24">
        <f t="shared" si="9"/>
        <v>8712.5</v>
      </c>
      <c r="S52" s="229">
        <f t="shared" si="10"/>
        <v>7993.119266055045</v>
      </c>
      <c r="T52" s="5">
        <f t="shared" si="30"/>
        <v>719.38073394495495</v>
      </c>
      <c r="U52" s="21">
        <f t="shared" si="31"/>
        <v>425</v>
      </c>
      <c r="V52" s="71"/>
      <c r="W52" s="61">
        <v>20.5</v>
      </c>
      <c r="X52" s="13">
        <f t="shared" ref="X52:X53" si="34">+U52*W52</f>
        <v>8712.5</v>
      </c>
      <c r="Z52" s="2"/>
      <c r="AA52" s="2"/>
    </row>
    <row r="53" spans="1:27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+'R_2014_06_atkelta(viso)'!E53+R_2014_06_priskirta!E54</f>
        <v>338.65999999999997</v>
      </c>
      <c r="F53" s="199">
        <f>+'R_2014_06_atkelta(viso)'!F53+R_2014_06_priskirta!F54</f>
        <v>14961.72</v>
      </c>
      <c r="G53" s="199">
        <f>+'R_2014_06_atkelta(viso)'!G53+R_2014_06_priskirta!G54</f>
        <v>2298.46</v>
      </c>
      <c r="H53" s="199">
        <f>+'R_2014_06_atkelta(viso)'!H53+R_2014_06_priskirta!H54</f>
        <v>346.04</v>
      </c>
      <c r="I53" s="199">
        <f>+'R_2014_06_atkelta(viso)'!I53+R_2014_06_priskirta!I54</f>
        <v>0</v>
      </c>
      <c r="J53" s="199">
        <f>+'R_2014_06_atkelta(viso)'!J53+R_2014_06_priskirta!J54</f>
        <v>0</v>
      </c>
      <c r="K53" s="199">
        <f>+'R_2014_06_atkelta(viso)'!K53+R_2014_06_priskirta!K54</f>
        <v>0</v>
      </c>
      <c r="L53" s="199">
        <f>+'R_2014_06_atkelta(viso)'!L53+R_2014_06_priskirta!L54</f>
        <v>0</v>
      </c>
      <c r="M53" s="199">
        <f>+'R_2014_06_atkelta(viso)'!M53+R_2014_06_priskirta!M54</f>
        <v>98.399999999999991</v>
      </c>
      <c r="N53" s="199">
        <f>+'R_2014_06_atkelta(viso)'!N53+R_2014_06_priskirta!N54</f>
        <v>0.82</v>
      </c>
      <c r="O53" s="199">
        <f>+'R_2014_06_atkelta(viso)'!O53+R_2014_06_priskirta!O54</f>
        <v>16.399999999999999</v>
      </c>
      <c r="P53" s="199">
        <f>+'R_2014_06_atkelta(viso)'!P53+R_2014_06_priskirta!P54</f>
        <v>3507.14</v>
      </c>
      <c r="Q53" s="292">
        <f>+'R_2014_06_atkelta(viso)'!Q53+R_2014_06_priskirta!Q54</f>
        <v>0</v>
      </c>
      <c r="R53" s="359">
        <f t="shared" si="9"/>
        <v>21567.640000000003</v>
      </c>
      <c r="S53" s="140">
        <f t="shared" si="10"/>
        <v>19786.825688073397</v>
      </c>
      <c r="T53" s="6">
        <f t="shared" si="30"/>
        <v>1780.814311926606</v>
      </c>
      <c r="U53" s="22">
        <f t="shared" si="31"/>
        <v>2630.2000000000007</v>
      </c>
      <c r="V53" s="71"/>
      <c r="W53" s="61">
        <v>32.799999999999997</v>
      </c>
      <c r="X53" s="13">
        <f t="shared" si="34"/>
        <v>86270.560000000012</v>
      </c>
      <c r="Z53" s="2"/>
      <c r="AA53" s="2"/>
    </row>
    <row r="54" spans="1:27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R54" s="2"/>
      <c r="S54" s="2"/>
      <c r="T54" s="2"/>
    </row>
    <row r="55" spans="1:27" x14ac:dyDescent="0.25">
      <c r="E55" s="2"/>
      <c r="F55" s="2"/>
      <c r="G55" s="2"/>
      <c r="H55" s="2"/>
      <c r="I55" s="2"/>
      <c r="J55" s="2"/>
      <c r="M55" s="2"/>
      <c r="N55" s="2"/>
      <c r="O55" s="2"/>
      <c r="R55" s="2"/>
      <c r="S55" s="2"/>
      <c r="T55" s="2"/>
    </row>
    <row r="57" spans="1:27" x14ac:dyDescent="0.25">
      <c r="P57" s="137"/>
      <c r="Q57" s="137"/>
    </row>
    <row r="73" spans="2:2" x14ac:dyDescent="0.25">
      <c r="B73" s="1"/>
    </row>
  </sheetData>
  <mergeCells count="19">
    <mergeCell ref="F3:F4"/>
    <mergeCell ref="A3:A4"/>
    <mergeCell ref="B3:B4"/>
    <mergeCell ref="C3:C4"/>
    <mergeCell ref="D3:D4"/>
    <mergeCell ref="E3:E4"/>
    <mergeCell ref="X3:X4"/>
    <mergeCell ref="G3:G4"/>
    <mergeCell ref="H3:H4"/>
    <mergeCell ref="I3:I4"/>
    <mergeCell ref="J3:J4"/>
    <mergeCell ref="K3:L3"/>
    <mergeCell ref="M3:M4"/>
    <mergeCell ref="P3:Q3"/>
    <mergeCell ref="R3:R4"/>
    <mergeCell ref="S3:S4"/>
    <mergeCell ref="T3:T4"/>
    <mergeCell ref="U3:U4"/>
    <mergeCell ref="N3:O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A73"/>
  <sheetViews>
    <sheetView zoomScaleNormal="100" workbookViewId="0">
      <pane xSplit="4" ySplit="4" topLeftCell="M50" activePane="bottomRight" state="frozen"/>
      <selection pane="topRight" activeCell="E1" sqref="E1"/>
      <selection pane="bottomLeft" activeCell="A5" sqref="A5"/>
      <selection pane="bottomRight" activeCell="R57" sqref="D57:R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1.5546875" style="1" customWidth="1"/>
    <col min="9" max="9" width="15.109375" style="1" customWidth="1"/>
    <col min="10" max="10" width="14.109375" style="1" customWidth="1"/>
    <col min="11" max="11" width="11.33203125" style="1" customWidth="1"/>
    <col min="12" max="12" width="10.5546875" style="1" customWidth="1"/>
    <col min="13" max="13" width="13" style="1" customWidth="1"/>
    <col min="14" max="14" width="12.6640625" style="1" customWidth="1"/>
    <col min="15" max="15" width="12.109375" style="1" customWidth="1"/>
    <col min="16" max="16" width="13" style="1" customWidth="1"/>
    <col min="17" max="17" width="12.33203125" style="1" hidden="1" customWidth="1" outlineLevel="1"/>
    <col min="18" max="18" width="15.109375" style="1" bestFit="1" customWidth="1" collapsed="1"/>
    <col min="19" max="20" width="12.33203125" style="1" customWidth="1"/>
    <col min="21" max="21" width="12.33203125" style="1" bestFit="1" customWidth="1"/>
    <col min="22" max="22" width="3.109375" style="1" customWidth="1"/>
    <col min="23" max="23" width="5.109375" style="1" customWidth="1"/>
    <col min="24" max="24" width="12.88671875" style="2" customWidth="1"/>
    <col min="25" max="25" width="9.88671875" style="1" bestFit="1" customWidth="1"/>
    <col min="26" max="26" width="10.33203125" style="1" customWidth="1"/>
    <col min="27" max="16384" width="8.88671875" style="1"/>
  </cols>
  <sheetData>
    <row r="1" spans="1:27" ht="22.2" customHeight="1" x14ac:dyDescent="0.3">
      <c r="A1" s="40" t="s">
        <v>376</v>
      </c>
      <c r="E1" s="136"/>
      <c r="F1" s="136"/>
      <c r="G1" s="136"/>
      <c r="H1" s="136"/>
      <c r="I1" s="136">
        <f>+I5+J5</f>
        <v>1496916.4</v>
      </c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</row>
    <row r="2" spans="1:27" ht="18" customHeight="1" x14ac:dyDescent="0.25">
      <c r="A2" s="1" t="s">
        <v>176</v>
      </c>
      <c r="D2" s="3"/>
      <c r="E2" s="2"/>
      <c r="F2" s="2"/>
      <c r="G2" s="2"/>
      <c r="H2" s="2"/>
      <c r="I2" s="2">
        <f>+I1/1.09</f>
        <v>1373317.7981651374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7" ht="31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99" t="s">
        <v>387</v>
      </c>
      <c r="O3" s="599"/>
      <c r="P3" s="586" t="s">
        <v>178</v>
      </c>
      <c r="Q3" s="598"/>
      <c r="R3" s="590" t="s">
        <v>43</v>
      </c>
      <c r="S3" s="590" t="s">
        <v>44</v>
      </c>
      <c r="T3" s="590" t="s">
        <v>41</v>
      </c>
      <c r="U3" s="590" t="s">
        <v>149</v>
      </c>
      <c r="W3" s="61"/>
      <c r="X3" s="584" t="s">
        <v>148</v>
      </c>
    </row>
    <row r="4" spans="1:27" ht="25.2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254" t="s">
        <v>203</v>
      </c>
      <c r="O4" s="254" t="s">
        <v>388</v>
      </c>
      <c r="P4" s="254" t="s">
        <v>203</v>
      </c>
      <c r="Q4" s="254" t="s">
        <v>379</v>
      </c>
      <c r="R4" s="591"/>
      <c r="S4" s="592"/>
      <c r="T4" s="592"/>
      <c r="U4" s="592"/>
      <c r="W4" s="87"/>
      <c r="X4" s="585"/>
    </row>
    <row r="5" spans="1:27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U5" si="0">+E6+E18+E44</f>
        <v>147276.81999999998</v>
      </c>
      <c r="F5" s="187">
        <f t="shared" si="0"/>
        <v>5819964.6800000006</v>
      </c>
      <c r="G5" s="82">
        <f t="shared" si="0"/>
        <v>891697.82</v>
      </c>
      <c r="H5" s="82">
        <f t="shared" si="0"/>
        <v>132072.38</v>
      </c>
      <c r="I5" s="187">
        <f t="shared" si="0"/>
        <v>766746.75</v>
      </c>
      <c r="J5" s="187">
        <f t="shared" si="0"/>
        <v>730169.65</v>
      </c>
      <c r="K5" s="187">
        <f t="shared" si="0"/>
        <v>939259.77999999991</v>
      </c>
      <c r="L5" s="187">
        <f t="shared" si="0"/>
        <v>1485.6799999999184</v>
      </c>
      <c r="M5" s="187">
        <f t="shared" si="0"/>
        <v>59954.14</v>
      </c>
      <c r="N5" s="192">
        <f>+N6+N18+N44</f>
        <v>9727.32</v>
      </c>
      <c r="O5" s="192">
        <f>+O6+O18+O44</f>
        <v>11689.44</v>
      </c>
      <c r="P5" s="187">
        <f>+P6+P18+P44</f>
        <v>594334.4</v>
      </c>
      <c r="Q5" s="19">
        <f>+Q6+Q18+Q44</f>
        <v>0</v>
      </c>
      <c r="R5" s="42">
        <f>+SUM(E5:Q5)</f>
        <v>10104378.860000001</v>
      </c>
      <c r="S5" s="42">
        <f t="shared" si="0"/>
        <v>9270072.3486238513</v>
      </c>
      <c r="T5" s="42">
        <f t="shared" si="0"/>
        <v>834306.51137614739</v>
      </c>
      <c r="U5" s="42">
        <f t="shared" si="0"/>
        <v>2311559</v>
      </c>
      <c r="V5" s="71"/>
      <c r="W5" s="87"/>
      <c r="X5" s="135">
        <f>+X7+X18+X44</f>
        <v>5303037.1399999997</v>
      </c>
      <c r="AA5" s="2">
        <f>+N5+O5</f>
        <v>21416.760000000002</v>
      </c>
    </row>
    <row r="6" spans="1:27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U6" si="1">+E7+E11</f>
        <v>37224.92</v>
      </c>
      <c r="F6" s="187">
        <f t="shared" si="1"/>
        <v>1616740.4800000002</v>
      </c>
      <c r="G6" s="82">
        <f t="shared" si="1"/>
        <v>243624.81999999992</v>
      </c>
      <c r="H6" s="82">
        <f t="shared" si="1"/>
        <v>33080.68</v>
      </c>
      <c r="I6" s="187">
        <f t="shared" si="1"/>
        <v>766746.75</v>
      </c>
      <c r="J6" s="187">
        <f t="shared" si="1"/>
        <v>730169.65</v>
      </c>
      <c r="K6" s="187">
        <f t="shared" si="1"/>
        <v>939259.77999999991</v>
      </c>
      <c r="L6" s="187">
        <f t="shared" si="1"/>
        <v>1485.6799999999184</v>
      </c>
      <c r="M6" s="187">
        <f t="shared" si="1"/>
        <v>16300.54</v>
      </c>
      <c r="N6" s="192">
        <f>+N7+N11</f>
        <v>7087.52</v>
      </c>
      <c r="O6" s="192">
        <f>+O7+O11</f>
        <v>5307.84</v>
      </c>
      <c r="P6" s="187">
        <f t="shared" si="1"/>
        <v>148378.79999999999</v>
      </c>
      <c r="Q6" s="19">
        <f t="shared" si="1"/>
        <v>0</v>
      </c>
      <c r="R6" s="42">
        <f t="shared" ref="R6:R7" si="2">+SUM(E6:Q6)</f>
        <v>4545407.459999999</v>
      </c>
      <c r="S6" s="42">
        <f t="shared" si="1"/>
        <v>4170098.5871559628</v>
      </c>
      <c r="T6" s="42">
        <f t="shared" si="1"/>
        <v>375308.87284403684</v>
      </c>
      <c r="U6" s="44">
        <f t="shared" si="1"/>
        <v>2180055</v>
      </c>
      <c r="W6" s="61"/>
      <c r="X6" s="13"/>
      <c r="AA6" s="2">
        <f t="shared" ref="AA6:AA53" si="3">+N6+O6</f>
        <v>12395.36</v>
      </c>
    </row>
    <row r="7" spans="1:27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4">+SUM(E8:E10)</f>
        <v>0</v>
      </c>
      <c r="F7" s="219">
        <f t="shared" si="4"/>
        <v>0</v>
      </c>
      <c r="G7" s="79">
        <f t="shared" si="4"/>
        <v>0</v>
      </c>
      <c r="H7" s="79">
        <f t="shared" si="4"/>
        <v>0</v>
      </c>
      <c r="I7" s="79">
        <f t="shared" si="4"/>
        <v>766746.75</v>
      </c>
      <c r="J7" s="79">
        <f t="shared" si="4"/>
        <v>730169.65</v>
      </c>
      <c r="K7" s="79">
        <f t="shared" si="4"/>
        <v>0</v>
      </c>
      <c r="L7" s="79">
        <f t="shared" si="4"/>
        <v>0</v>
      </c>
      <c r="M7" s="79">
        <f t="shared" ref="M7:U7" si="5">+SUM(M8:M10)</f>
        <v>0</v>
      </c>
      <c r="N7" s="79">
        <f t="shared" si="5"/>
        <v>0</v>
      </c>
      <c r="O7" s="79">
        <f t="shared" ref="O7" si="6">+SUM(O8:O10)</f>
        <v>0</v>
      </c>
      <c r="P7" s="219">
        <f t="shared" si="5"/>
        <v>0</v>
      </c>
      <c r="Q7" s="226">
        <f t="shared" si="5"/>
        <v>0</v>
      </c>
      <c r="R7" s="43">
        <f t="shared" si="2"/>
        <v>1496916.4</v>
      </c>
      <c r="S7" s="43">
        <f t="shared" si="5"/>
        <v>1373317.7981651374</v>
      </c>
      <c r="T7" s="43">
        <f t="shared" si="5"/>
        <v>123598.60183486246</v>
      </c>
      <c r="U7" s="45">
        <f t="shared" si="5"/>
        <v>556650</v>
      </c>
      <c r="V7" s="71"/>
      <c r="W7" s="134"/>
      <c r="X7" s="105">
        <f>+SUM(X8:X17)</f>
        <v>1038853.54</v>
      </c>
      <c r="AA7" s="2">
        <f t="shared" si="3"/>
        <v>0</v>
      </c>
    </row>
    <row r="8" spans="1:27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554533</v>
      </c>
      <c r="J8" s="127">
        <f>483941.5+27573</f>
        <v>511514.5</v>
      </c>
      <c r="K8" s="36"/>
      <c r="L8" s="36"/>
      <c r="M8" s="36"/>
      <c r="N8" s="127"/>
      <c r="O8" s="127"/>
      <c r="P8" s="362"/>
      <c r="Q8" s="355"/>
      <c r="R8" s="24">
        <f>+SUM(E8:Q8)</f>
        <v>1066047.5</v>
      </c>
      <c r="S8" s="5">
        <f t="shared" ref="S8:S10" si="7">+R8/1.09</f>
        <v>978025.22935779812</v>
      </c>
      <c r="T8" s="5">
        <f t="shared" ref="T8:T10" si="8">+R8-S8</f>
        <v>88022.270642201882</v>
      </c>
      <c r="U8" s="21">
        <f>R8/D8</f>
        <v>304585</v>
      </c>
      <c r="V8" s="71"/>
      <c r="W8" s="61"/>
      <c r="X8" s="13"/>
      <c r="AA8" s="2">
        <f t="shared" si="3"/>
        <v>0</v>
      </c>
    </row>
    <row r="9" spans="1:27" ht="12" customHeight="1" x14ac:dyDescent="0.25">
      <c r="A9" s="54" t="s">
        <v>49</v>
      </c>
      <c r="B9" s="55" t="s">
        <v>48</v>
      </c>
      <c r="C9" s="27" t="s">
        <v>179</v>
      </c>
      <c r="D9" s="10">
        <f t="shared" ref="D9" si="9">+D8*0.5</f>
        <v>1.75</v>
      </c>
      <c r="E9" s="122"/>
      <c r="F9" s="17"/>
      <c r="G9" s="13"/>
      <c r="H9" s="13"/>
      <c r="I9" s="127">
        <v>208871.25</v>
      </c>
      <c r="J9" s="127">
        <f>207499.25+7668.5</f>
        <v>215167.75</v>
      </c>
      <c r="K9" s="143"/>
      <c r="L9" s="143"/>
      <c r="M9" s="143"/>
      <c r="N9" s="127"/>
      <c r="O9" s="127"/>
      <c r="P9" s="17"/>
      <c r="Q9" s="350"/>
      <c r="R9" s="24">
        <f t="shared" ref="R9:R53" si="10">+SUM(E9:Q9)</f>
        <v>424039</v>
      </c>
      <c r="S9" s="26">
        <f t="shared" si="7"/>
        <v>389026.60550458712</v>
      </c>
      <c r="T9" s="26">
        <f t="shared" si="8"/>
        <v>35012.394495412882</v>
      </c>
      <c r="U9" s="39">
        <f>R9/D9</f>
        <v>242308</v>
      </c>
      <c r="V9" s="71"/>
      <c r="W9" s="61">
        <v>1.75</v>
      </c>
      <c r="X9" s="13">
        <f>+U9*W9</f>
        <v>424039</v>
      </c>
      <c r="AA9" s="2">
        <f t="shared" si="3"/>
        <v>0</v>
      </c>
    </row>
    <row r="10" spans="1:27" ht="12" customHeight="1" x14ac:dyDescent="0.25">
      <c r="A10" s="54" t="s">
        <v>185</v>
      </c>
      <c r="B10" s="111" t="s">
        <v>186</v>
      </c>
      <c r="C10" s="27" t="s">
        <v>413</v>
      </c>
      <c r="D10" s="213">
        <v>0.7</v>
      </c>
      <c r="E10" s="216"/>
      <c r="F10" s="220"/>
      <c r="G10" s="214"/>
      <c r="H10" s="215"/>
      <c r="I10" s="2">
        <v>3342.5</v>
      </c>
      <c r="J10" s="144">
        <f>3413.2+74.2</f>
        <v>3487.3999999999996</v>
      </c>
      <c r="K10" s="144"/>
      <c r="L10" s="144"/>
      <c r="M10" s="144"/>
      <c r="N10" s="144"/>
      <c r="O10" s="144"/>
      <c r="P10" s="18"/>
      <c r="Q10" s="350"/>
      <c r="R10" s="24">
        <f t="shared" si="10"/>
        <v>6829.9</v>
      </c>
      <c r="S10" s="26">
        <f t="shared" si="7"/>
        <v>6265.9633027522932</v>
      </c>
      <c r="T10" s="26">
        <f t="shared" si="8"/>
        <v>563.93669724770643</v>
      </c>
      <c r="U10" s="39">
        <f>R10/D10</f>
        <v>9757</v>
      </c>
      <c r="V10" s="71"/>
      <c r="W10" s="107">
        <v>2.8</v>
      </c>
      <c r="X10" s="13">
        <f>+U10*W10</f>
        <v>27319.599999999999</v>
      </c>
      <c r="AA10" s="2">
        <f t="shared" si="3"/>
        <v>0</v>
      </c>
    </row>
    <row r="11" spans="1:27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U11" si="11">+SUM(E12:E17)</f>
        <v>37224.92</v>
      </c>
      <c r="F11" s="16">
        <f t="shared" si="11"/>
        <v>1616740.4800000002</v>
      </c>
      <c r="G11" s="84">
        <f t="shared" si="11"/>
        <v>243624.81999999992</v>
      </c>
      <c r="H11" s="84">
        <f t="shared" si="11"/>
        <v>33080.68</v>
      </c>
      <c r="I11" s="84">
        <f t="shared" si="11"/>
        <v>0</v>
      </c>
      <c r="J11" s="74">
        <f t="shared" si="11"/>
        <v>0</v>
      </c>
      <c r="K11" s="101">
        <f t="shared" si="11"/>
        <v>939259.77999999991</v>
      </c>
      <c r="L11" s="101">
        <f t="shared" si="11"/>
        <v>1485.6799999999184</v>
      </c>
      <c r="M11" s="101">
        <f t="shared" si="11"/>
        <v>16300.54</v>
      </c>
      <c r="N11" s="101">
        <f t="shared" si="11"/>
        <v>7087.52</v>
      </c>
      <c r="O11" s="101">
        <f t="shared" ref="O11" si="12">+SUM(O12:O17)</f>
        <v>5307.84</v>
      </c>
      <c r="P11" s="101">
        <f t="shared" si="11"/>
        <v>148378.79999999999</v>
      </c>
      <c r="Q11" s="101">
        <f t="shared" si="11"/>
        <v>0</v>
      </c>
      <c r="R11" s="43">
        <f t="shared" si="11"/>
        <v>3048491.06</v>
      </c>
      <c r="S11" s="43">
        <f t="shared" si="11"/>
        <v>2796780.7889908254</v>
      </c>
      <c r="T11" s="43">
        <f t="shared" si="11"/>
        <v>251710.27100917438</v>
      </c>
      <c r="U11" s="45">
        <f t="shared" si="11"/>
        <v>1623404.9999999998</v>
      </c>
      <c r="V11" s="71"/>
      <c r="W11" s="61"/>
      <c r="X11" s="13"/>
      <c r="AA11" s="2">
        <f t="shared" si="3"/>
        <v>12395.36</v>
      </c>
    </row>
    <row r="12" spans="1:27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29183.000000000004</v>
      </c>
      <c r="F12" s="13">
        <v>1224139.4000000001</v>
      </c>
      <c r="G12" s="13">
        <v>176215.59999999998</v>
      </c>
      <c r="H12" s="13">
        <v>25075.600000000002</v>
      </c>
      <c r="I12" s="13"/>
      <c r="J12" s="33"/>
      <c r="K12" s="33">
        <v>720086.4</v>
      </c>
      <c r="L12" s="305">
        <v>1163.7999999999302</v>
      </c>
      <c r="M12" s="308">
        <v>11006.6</v>
      </c>
      <c r="N12" s="127">
        <v>5739.8</v>
      </c>
      <c r="O12" s="127">
        <f>4274.6-6.6</f>
        <v>4268</v>
      </c>
      <c r="P12" s="361">
        <v>130981.4</v>
      </c>
      <c r="Q12" s="164"/>
      <c r="R12" s="24">
        <f t="shared" si="10"/>
        <v>2327859.5999999996</v>
      </c>
      <c r="S12" s="5">
        <f t="shared" ref="S12:S17" si="13">+R12/1.09</f>
        <v>2135651.0091743115</v>
      </c>
      <c r="T12" s="5">
        <f t="shared" ref="T12:T17" si="14">+R12-S12</f>
        <v>192208.59082568809</v>
      </c>
      <c r="U12" s="21">
        <f t="shared" ref="U12:U17" si="15">R12/D12</f>
        <v>1058117.9999999998</v>
      </c>
      <c r="V12" s="2"/>
      <c r="W12" s="61"/>
      <c r="X12" s="13"/>
      <c r="Y12" s="2">
        <f>+(K12+L12)/D12</f>
        <v>327840.99999999994</v>
      </c>
      <c r="Z12" s="2">
        <f>+Y12+Y13+Y14</f>
        <v>401882.99999999994</v>
      </c>
      <c r="AA12" s="2">
        <f t="shared" si="3"/>
        <v>10007.799999999999</v>
      </c>
    </row>
    <row r="13" spans="1:27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7235.8</v>
      </c>
      <c r="F13" s="13">
        <v>363090.2</v>
      </c>
      <c r="G13" s="13">
        <v>62036.69999999999</v>
      </c>
      <c r="H13" s="13">
        <v>7572.4</v>
      </c>
      <c r="I13" s="13"/>
      <c r="J13" s="33"/>
      <c r="K13" s="33">
        <v>78222.100000000006</v>
      </c>
      <c r="L13" s="306">
        <v>114.39999999999418</v>
      </c>
      <c r="M13" s="13">
        <v>4893.9000000000005</v>
      </c>
      <c r="N13" s="127">
        <v>220</v>
      </c>
      <c r="O13" s="127">
        <v>116.6</v>
      </c>
      <c r="P13" s="96">
        <v>9642.6</v>
      </c>
      <c r="Q13" s="164"/>
      <c r="R13" s="24">
        <f t="shared" si="10"/>
        <v>533144.70000000007</v>
      </c>
      <c r="S13" s="5">
        <f t="shared" si="13"/>
        <v>489123.57798165141</v>
      </c>
      <c r="T13" s="5">
        <f t="shared" si="14"/>
        <v>44021.122018348658</v>
      </c>
      <c r="U13" s="21">
        <f t="shared" si="15"/>
        <v>484677</v>
      </c>
      <c r="V13" s="71"/>
      <c r="W13" s="107">
        <v>1.1000000000000001</v>
      </c>
      <c r="X13" s="13">
        <f t="shared" ref="X13:X14" si="16">+U13*W13</f>
        <v>533144.70000000007</v>
      </c>
      <c r="Y13" s="2">
        <f t="shared" ref="Y13:Y17" si="17">+(K13+L13)/D13</f>
        <v>71215</v>
      </c>
      <c r="Z13" s="2"/>
      <c r="AA13" s="2">
        <f t="shared" si="3"/>
        <v>336.6</v>
      </c>
    </row>
    <row r="14" spans="1:27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92.84</v>
      </c>
      <c r="F14" s="13">
        <v>4275.04</v>
      </c>
      <c r="G14" s="13">
        <v>691.24</v>
      </c>
      <c r="H14" s="13">
        <v>78.760000000000005</v>
      </c>
      <c r="I14" s="13"/>
      <c r="J14" s="33"/>
      <c r="K14" s="33">
        <v>1243.44</v>
      </c>
      <c r="L14" s="306">
        <v>0.44000000000005457</v>
      </c>
      <c r="M14" s="13">
        <v>121</v>
      </c>
      <c r="N14" s="127">
        <v>113.96</v>
      </c>
      <c r="O14" s="127">
        <v>381.48</v>
      </c>
      <c r="P14" s="96">
        <v>92.4</v>
      </c>
      <c r="Q14" s="164"/>
      <c r="R14" s="24">
        <f t="shared" si="10"/>
        <v>7090.6</v>
      </c>
      <c r="S14" s="5">
        <f t="shared" si="13"/>
        <v>6505.1376146788989</v>
      </c>
      <c r="T14" s="5">
        <f t="shared" si="14"/>
        <v>585.46238532110146</v>
      </c>
      <c r="U14" s="5">
        <f t="shared" si="15"/>
        <v>16115</v>
      </c>
      <c r="V14" s="71"/>
      <c r="W14" s="61">
        <v>1.76</v>
      </c>
      <c r="X14" s="13">
        <f t="shared" si="16"/>
        <v>28362.400000000001</v>
      </c>
      <c r="Y14" s="2">
        <f t="shared" si="17"/>
        <v>2827.0000000000005</v>
      </c>
      <c r="Z14" s="2"/>
      <c r="AA14" s="2">
        <f t="shared" si="3"/>
        <v>495.44</v>
      </c>
    </row>
    <row r="15" spans="1:27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630.40000000000009</v>
      </c>
      <c r="F15" s="13">
        <v>20041.600000000002</v>
      </c>
      <c r="G15" s="13">
        <v>3500.8</v>
      </c>
      <c r="H15" s="13">
        <v>172.8</v>
      </c>
      <c r="I15" s="13"/>
      <c r="J15" s="33"/>
      <c r="K15" s="33">
        <v>122825.60000000001</v>
      </c>
      <c r="L15" s="306">
        <v>182.39999999999418</v>
      </c>
      <c r="M15" s="13">
        <v>224</v>
      </c>
      <c r="N15" s="127">
        <v>956.8</v>
      </c>
      <c r="O15" s="127">
        <v>492.8</v>
      </c>
      <c r="P15" s="96">
        <v>6780.8</v>
      </c>
      <c r="Q15" s="164"/>
      <c r="R15" s="24">
        <f t="shared" si="10"/>
        <v>155807.99999999997</v>
      </c>
      <c r="S15" s="5">
        <f t="shared" si="13"/>
        <v>142943.119266055</v>
      </c>
      <c r="T15" s="5">
        <f t="shared" si="14"/>
        <v>12864.88073394497</v>
      </c>
      <c r="U15" s="21">
        <f t="shared" si="15"/>
        <v>48689.999999999985</v>
      </c>
      <c r="V15" s="71"/>
      <c r="W15" s="61"/>
      <c r="X15" s="13"/>
      <c r="Y15" s="2">
        <f t="shared" si="17"/>
        <v>38440</v>
      </c>
      <c r="Z15" s="2">
        <f>+Y15+Y16+Y17</f>
        <v>49278</v>
      </c>
      <c r="AA15" s="2">
        <f t="shared" si="3"/>
        <v>1449.6</v>
      </c>
    </row>
    <row r="16" spans="1:27" ht="1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>
        <v>81.600000000000009</v>
      </c>
      <c r="F16" s="13">
        <v>5075.2000000000007</v>
      </c>
      <c r="G16" s="13">
        <v>1172.8</v>
      </c>
      <c r="H16" s="13">
        <v>176</v>
      </c>
      <c r="I16" s="13"/>
      <c r="J16" s="33"/>
      <c r="K16" s="33">
        <v>16593.599999999999</v>
      </c>
      <c r="L16" s="306">
        <v>24</v>
      </c>
      <c r="M16" s="13">
        <v>41.6</v>
      </c>
      <c r="N16" s="127">
        <v>41.6</v>
      </c>
      <c r="O16" s="127">
        <v>33.6</v>
      </c>
      <c r="P16" s="96">
        <v>881.6</v>
      </c>
      <c r="Q16" s="164"/>
      <c r="R16" s="24">
        <f t="shared" si="10"/>
        <v>24121.599999999995</v>
      </c>
      <c r="S16" s="5">
        <f t="shared" si="13"/>
        <v>22129.908256880728</v>
      </c>
      <c r="T16" s="5">
        <f t="shared" si="14"/>
        <v>1991.6917431192669</v>
      </c>
      <c r="U16" s="21">
        <f t="shared" si="15"/>
        <v>15075.999999999996</v>
      </c>
      <c r="V16" s="71"/>
      <c r="W16" s="61">
        <v>1.6</v>
      </c>
      <c r="X16" s="13">
        <f t="shared" ref="X16:X17" si="18">+U16*W16</f>
        <v>24121.599999999995</v>
      </c>
      <c r="Y16" s="2">
        <f t="shared" si="17"/>
        <v>10385.999999999998</v>
      </c>
      <c r="Z16" s="2"/>
      <c r="AA16" s="2">
        <f t="shared" si="3"/>
        <v>75.2</v>
      </c>
    </row>
    <row r="17" spans="1:27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1.28</v>
      </c>
      <c r="F17" s="13">
        <v>119.04</v>
      </c>
      <c r="G17" s="13">
        <v>7.68</v>
      </c>
      <c r="H17" s="14">
        <v>5.12</v>
      </c>
      <c r="I17" s="14"/>
      <c r="J17" s="76"/>
      <c r="K17" s="76">
        <v>288.64</v>
      </c>
      <c r="L17" s="307">
        <v>0.63999999999998636</v>
      </c>
      <c r="M17" s="14">
        <v>13.44</v>
      </c>
      <c r="N17" s="127">
        <v>15.36</v>
      </c>
      <c r="O17" s="127">
        <v>15.36</v>
      </c>
      <c r="P17" s="148"/>
      <c r="Q17" s="164"/>
      <c r="R17" s="24">
        <f t="shared" si="10"/>
        <v>466.56</v>
      </c>
      <c r="S17" s="5">
        <f t="shared" si="13"/>
        <v>428.0366972477064</v>
      </c>
      <c r="T17" s="5">
        <f t="shared" si="14"/>
        <v>38.523302752293603</v>
      </c>
      <c r="U17" s="22">
        <f t="shared" si="15"/>
        <v>729</v>
      </c>
      <c r="V17" s="71"/>
      <c r="W17" s="61">
        <v>2.56</v>
      </c>
      <c r="X17" s="13">
        <f t="shared" si="18"/>
        <v>1866.24</v>
      </c>
      <c r="Y17" s="2">
        <f t="shared" si="17"/>
        <v>451.99999999999994</v>
      </c>
      <c r="Z17" s="2"/>
      <c r="AA17" s="2">
        <f t="shared" si="3"/>
        <v>30.72</v>
      </c>
    </row>
    <row r="18" spans="1:27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105437</v>
      </c>
      <c r="F18" s="118">
        <f t="shared" ref="F18:U18" si="19">+SUM(F19:F43)</f>
        <v>4002122</v>
      </c>
      <c r="G18" s="231">
        <f t="shared" si="19"/>
        <v>615067</v>
      </c>
      <c r="H18" s="118">
        <f t="shared" si="19"/>
        <v>93858</v>
      </c>
      <c r="I18" s="231">
        <f t="shared" si="19"/>
        <v>0</v>
      </c>
      <c r="J18" s="118">
        <f t="shared" si="19"/>
        <v>0</v>
      </c>
      <c r="K18" s="118">
        <f t="shared" si="19"/>
        <v>0</v>
      </c>
      <c r="L18" s="118">
        <f t="shared" si="19"/>
        <v>0</v>
      </c>
      <c r="M18" s="118">
        <f t="shared" si="19"/>
        <v>42271</v>
      </c>
      <c r="N18" s="231">
        <f t="shared" ref="N18:O18" si="20">+SUM(N19:N43)</f>
        <v>2240</v>
      </c>
      <c r="O18" s="231">
        <f t="shared" si="20"/>
        <v>5780</v>
      </c>
      <c r="P18" s="118">
        <f>+SUM(P19:P43)</f>
        <v>424109</v>
      </c>
      <c r="Q18" s="118">
        <f t="shared" ref="Q18" si="21">+SUM(Q19:Q43)</f>
        <v>0</v>
      </c>
      <c r="R18" s="42">
        <f>+SUM(R19:R43)</f>
        <v>5290884</v>
      </c>
      <c r="S18" s="118">
        <f t="shared" si="19"/>
        <v>4854022.0183486221</v>
      </c>
      <c r="T18" s="118">
        <f t="shared" si="19"/>
        <v>436861.98165137658</v>
      </c>
      <c r="U18" s="253">
        <f t="shared" si="19"/>
        <v>91715</v>
      </c>
      <c r="V18" s="71"/>
      <c r="W18" s="61"/>
      <c r="X18" s="105">
        <f>+SUM(X19:X43)</f>
        <v>3844976</v>
      </c>
      <c r="AA18" s="2">
        <f t="shared" si="3"/>
        <v>8020</v>
      </c>
    </row>
    <row r="19" spans="1:27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66400</v>
      </c>
      <c r="F19" s="92">
        <v>2409800</v>
      </c>
      <c r="G19" s="92">
        <v>357600</v>
      </c>
      <c r="H19" s="92">
        <v>51100</v>
      </c>
      <c r="I19" s="23"/>
      <c r="J19" s="34"/>
      <c r="K19" s="34"/>
      <c r="L19" s="34"/>
      <c r="M19" s="34">
        <v>27300</v>
      </c>
      <c r="N19" s="127">
        <v>1500</v>
      </c>
      <c r="O19" s="127">
        <v>4100</v>
      </c>
      <c r="P19" s="362">
        <v>223400</v>
      </c>
      <c r="Q19" s="356"/>
      <c r="R19" s="24">
        <f t="shared" si="10"/>
        <v>3141200</v>
      </c>
      <c r="S19" s="99">
        <f t="shared" ref="S19:S43" si="22">+R19/1.09</f>
        <v>2881834.8623853209</v>
      </c>
      <c r="T19" s="24">
        <f>+R19-S19</f>
        <v>259365.13761467906</v>
      </c>
      <c r="U19" s="94">
        <f t="shared" ref="U19:U43" si="23">R19/D19</f>
        <v>31412</v>
      </c>
      <c r="V19" s="41"/>
      <c r="W19" s="61"/>
      <c r="X19" s="106"/>
      <c r="AA19" s="2">
        <f t="shared" si="3"/>
        <v>5600</v>
      </c>
    </row>
    <row r="20" spans="1:27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14550</v>
      </c>
      <c r="F20" s="48">
        <v>699650</v>
      </c>
      <c r="G20" s="48">
        <v>102450</v>
      </c>
      <c r="H20" s="48">
        <v>19650</v>
      </c>
      <c r="I20" s="13"/>
      <c r="J20" s="33"/>
      <c r="K20" s="33"/>
      <c r="L20" s="33"/>
      <c r="M20" s="33">
        <v>8850</v>
      </c>
      <c r="N20" s="127">
        <v>50</v>
      </c>
      <c r="O20" s="127"/>
      <c r="P20" s="17">
        <v>12900</v>
      </c>
      <c r="Q20" s="357"/>
      <c r="R20" s="24">
        <f t="shared" si="10"/>
        <v>858100</v>
      </c>
      <c r="S20" s="5">
        <f t="shared" si="22"/>
        <v>787247.70642201824</v>
      </c>
      <c r="T20" s="5">
        <f t="shared" ref="T20:T43" si="24">+R20-S20</f>
        <v>70852.293577981764</v>
      </c>
      <c r="U20" s="21">
        <f t="shared" si="23"/>
        <v>17162</v>
      </c>
      <c r="V20" s="41"/>
      <c r="W20" s="61">
        <v>50</v>
      </c>
      <c r="X20" s="13">
        <f t="shared" ref="X20:X21" si="25">+U20*W20</f>
        <v>858100</v>
      </c>
      <c r="AA20" s="2">
        <f t="shared" si="3"/>
        <v>50</v>
      </c>
    </row>
    <row r="21" spans="1:27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14340</v>
      </c>
      <c r="F21" s="95">
        <v>536640</v>
      </c>
      <c r="G21" s="95">
        <v>96040</v>
      </c>
      <c r="H21" s="95">
        <v>7420</v>
      </c>
      <c r="I21" s="13"/>
      <c r="J21" s="33"/>
      <c r="K21" s="33"/>
      <c r="L21" s="33"/>
      <c r="M21" s="33">
        <v>3440</v>
      </c>
      <c r="N21" s="127">
        <v>420</v>
      </c>
      <c r="O21" s="127">
        <v>1080</v>
      </c>
      <c r="P21" s="17">
        <f>660+61860</f>
        <v>62520</v>
      </c>
      <c r="Q21" s="357"/>
      <c r="R21" s="24">
        <f t="shared" si="10"/>
        <v>721900</v>
      </c>
      <c r="S21" s="5">
        <f t="shared" si="22"/>
        <v>662293.57798165129</v>
      </c>
      <c r="T21" s="5">
        <f t="shared" si="24"/>
        <v>59606.422018348705</v>
      </c>
      <c r="U21" s="309">
        <f t="shared" si="23"/>
        <v>36095</v>
      </c>
      <c r="V21" s="41"/>
      <c r="W21" s="61">
        <v>80</v>
      </c>
      <c r="X21" s="13">
        <f t="shared" si="25"/>
        <v>2887600</v>
      </c>
      <c r="AA21" s="2">
        <f t="shared" si="3"/>
        <v>1500</v>
      </c>
    </row>
    <row r="22" spans="1:27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8820</v>
      </c>
      <c r="F22" s="95">
        <v>315900</v>
      </c>
      <c r="G22" s="95">
        <v>53640</v>
      </c>
      <c r="H22" s="95">
        <v>10530</v>
      </c>
      <c r="I22" s="13"/>
      <c r="J22" s="33"/>
      <c r="K22" s="33"/>
      <c r="L22" s="33"/>
      <c r="M22" s="33">
        <v>2430</v>
      </c>
      <c r="N22" s="127">
        <v>270</v>
      </c>
      <c r="O22" s="127">
        <v>540</v>
      </c>
      <c r="P22" s="17">
        <v>88110</v>
      </c>
      <c r="Q22" s="357"/>
      <c r="R22" s="24">
        <f t="shared" si="10"/>
        <v>480240</v>
      </c>
      <c r="S22" s="5">
        <f t="shared" si="22"/>
        <v>440587.15596330271</v>
      </c>
      <c r="T22" s="5">
        <f t="shared" si="24"/>
        <v>39652.844036697294</v>
      </c>
      <c r="U22" s="21">
        <f t="shared" si="23"/>
        <v>5336</v>
      </c>
      <c r="V22" s="41"/>
      <c r="W22" s="61"/>
      <c r="X22" s="13"/>
      <c r="AA22" s="2">
        <f t="shared" si="3"/>
        <v>810</v>
      </c>
    </row>
    <row r="23" spans="1:27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405</v>
      </c>
      <c r="F23" s="95">
        <v>17505</v>
      </c>
      <c r="G23" s="95">
        <v>3015</v>
      </c>
      <c r="H23" s="95">
        <v>900</v>
      </c>
      <c r="I23" s="13"/>
      <c r="J23" s="33"/>
      <c r="K23" s="33"/>
      <c r="L23" s="33"/>
      <c r="M23" s="33">
        <v>45</v>
      </c>
      <c r="N23" s="127"/>
      <c r="O23" s="127"/>
      <c r="P23" s="17">
        <v>3195</v>
      </c>
      <c r="Q23" s="357"/>
      <c r="R23" s="24">
        <f t="shared" si="10"/>
        <v>25065</v>
      </c>
      <c r="S23" s="5">
        <f t="shared" si="22"/>
        <v>22995.412844036695</v>
      </c>
      <c r="T23" s="5">
        <f t="shared" si="24"/>
        <v>2069.5871559633051</v>
      </c>
      <c r="U23" s="21">
        <f t="shared" si="23"/>
        <v>557</v>
      </c>
      <c r="V23" s="35"/>
      <c r="W23" s="61">
        <v>45</v>
      </c>
      <c r="X23" s="13">
        <f t="shared" ref="X23:X24" si="26">+U23*W23</f>
        <v>25065</v>
      </c>
      <c r="AA23" s="2">
        <f t="shared" si="3"/>
        <v>0</v>
      </c>
    </row>
    <row r="24" spans="1:27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342</v>
      </c>
      <c r="F24" s="95">
        <v>3042</v>
      </c>
      <c r="G24" s="95">
        <v>702</v>
      </c>
      <c r="H24" s="95">
        <v>108</v>
      </c>
      <c r="I24" s="13"/>
      <c r="J24" s="33"/>
      <c r="K24" s="33"/>
      <c r="L24" s="33"/>
      <c r="M24" s="33">
        <v>72</v>
      </c>
      <c r="N24" s="127"/>
      <c r="O24" s="127"/>
      <c r="P24" s="17">
        <f>36+1224</f>
        <v>1260</v>
      </c>
      <c r="Q24" s="357"/>
      <c r="R24" s="24">
        <f t="shared" si="10"/>
        <v>5526</v>
      </c>
      <c r="S24" s="5">
        <f t="shared" si="22"/>
        <v>5069.7247706422013</v>
      </c>
      <c r="T24" s="5">
        <f t="shared" si="24"/>
        <v>456.27522935779871</v>
      </c>
      <c r="U24" s="21">
        <f t="shared" si="23"/>
        <v>307</v>
      </c>
      <c r="V24" s="35"/>
      <c r="W24" s="61">
        <v>72</v>
      </c>
      <c r="X24" s="13">
        <f t="shared" si="26"/>
        <v>22104</v>
      </c>
      <c r="AA24" s="2">
        <f t="shared" si="3"/>
        <v>0</v>
      </c>
    </row>
    <row r="25" spans="1:27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300</v>
      </c>
      <c r="F25" s="95">
        <v>3300</v>
      </c>
      <c r="G25" s="95">
        <v>300</v>
      </c>
      <c r="H25" s="95">
        <v>600</v>
      </c>
      <c r="I25" s="13"/>
      <c r="J25" s="33"/>
      <c r="K25" s="33"/>
      <c r="L25" s="33"/>
      <c r="M25" s="33"/>
      <c r="N25" s="127"/>
      <c r="O25" s="127"/>
      <c r="P25" s="17">
        <v>7500</v>
      </c>
      <c r="Q25" s="357"/>
      <c r="R25" s="24">
        <f t="shared" si="10"/>
        <v>12000</v>
      </c>
      <c r="S25" s="5">
        <f t="shared" si="22"/>
        <v>11009.174311926605</v>
      </c>
      <c r="T25" s="5">
        <f t="shared" si="24"/>
        <v>990.82568807339521</v>
      </c>
      <c r="U25" s="21">
        <f t="shared" si="23"/>
        <v>40</v>
      </c>
      <c r="V25" s="35"/>
      <c r="W25" s="61"/>
      <c r="X25" s="13"/>
      <c r="AA25" s="2">
        <f t="shared" si="3"/>
        <v>0</v>
      </c>
    </row>
    <row r="26" spans="1:27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>
        <v>0</v>
      </c>
      <c r="F26" s="95">
        <v>5700</v>
      </c>
      <c r="G26" s="95">
        <v>150</v>
      </c>
      <c r="H26" s="95">
        <v>900</v>
      </c>
      <c r="I26" s="13"/>
      <c r="J26" s="33"/>
      <c r="K26" s="33"/>
      <c r="L26" s="33"/>
      <c r="M26" s="33"/>
      <c r="N26" s="127"/>
      <c r="O26" s="127"/>
      <c r="P26" s="13">
        <v>1050</v>
      </c>
      <c r="Q26" s="357"/>
      <c r="R26" s="24">
        <f t="shared" si="10"/>
        <v>7800</v>
      </c>
      <c r="S26" s="5">
        <f t="shared" si="22"/>
        <v>7155.9633027522932</v>
      </c>
      <c r="T26" s="5">
        <f t="shared" si="24"/>
        <v>644.0366972477068</v>
      </c>
      <c r="U26" s="21">
        <f t="shared" si="23"/>
        <v>52</v>
      </c>
      <c r="V26" s="35"/>
      <c r="W26" s="61">
        <v>150</v>
      </c>
      <c r="X26" s="13">
        <f t="shared" ref="X26:X42" si="27">+U26*W26</f>
        <v>7800</v>
      </c>
      <c r="AA26" s="2">
        <f t="shared" si="3"/>
        <v>0</v>
      </c>
    </row>
    <row r="27" spans="1:27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60</v>
      </c>
      <c r="F27" s="95">
        <v>4140</v>
      </c>
      <c r="G27" s="95">
        <v>480</v>
      </c>
      <c r="H27" s="95">
        <v>60</v>
      </c>
      <c r="I27" s="13"/>
      <c r="J27" s="33"/>
      <c r="K27" s="33"/>
      <c r="L27" s="33"/>
      <c r="M27" s="33"/>
      <c r="N27" s="127"/>
      <c r="O27" s="127">
        <v>60</v>
      </c>
      <c r="P27" s="13">
        <f>180+3240</f>
        <v>3420</v>
      </c>
      <c r="Q27" s="357"/>
      <c r="R27" s="24">
        <f t="shared" si="10"/>
        <v>8220</v>
      </c>
      <c r="S27" s="5">
        <f t="shared" si="22"/>
        <v>7541.2844036697243</v>
      </c>
      <c r="T27" s="5">
        <f t="shared" si="24"/>
        <v>678.71559633027573</v>
      </c>
      <c r="U27" s="21">
        <f t="shared" si="23"/>
        <v>137</v>
      </c>
      <c r="V27" s="35"/>
      <c r="W27" s="61">
        <v>240</v>
      </c>
      <c r="X27" s="13">
        <f t="shared" si="27"/>
        <v>32880</v>
      </c>
      <c r="AA27" s="2">
        <f t="shared" si="3"/>
        <v>60</v>
      </c>
    </row>
    <row r="28" spans="1:27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1080</v>
      </c>
      <c r="G28" s="95"/>
      <c r="H28" s="95"/>
      <c r="I28" s="13"/>
      <c r="J28" s="33"/>
      <c r="K28" s="33"/>
      <c r="L28" s="33"/>
      <c r="M28" s="33"/>
      <c r="N28" s="127"/>
      <c r="O28" s="127"/>
      <c r="P28" s="13">
        <v>19170</v>
      </c>
      <c r="Q28" s="357"/>
      <c r="R28" s="24">
        <f t="shared" si="10"/>
        <v>20250</v>
      </c>
      <c r="S28" s="5">
        <f t="shared" si="22"/>
        <v>18577.981651376147</v>
      </c>
      <c r="T28" s="5">
        <f t="shared" si="24"/>
        <v>1672.0183486238529</v>
      </c>
      <c r="U28" s="21">
        <f t="shared" si="23"/>
        <v>75</v>
      </c>
      <c r="V28" s="35"/>
      <c r="W28" s="61"/>
      <c r="X28" s="13"/>
      <c r="AA28" s="2">
        <f t="shared" si="3"/>
        <v>0</v>
      </c>
    </row>
    <row r="29" spans="1:27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>
        <v>135</v>
      </c>
      <c r="G29" s="95"/>
      <c r="H29" s="95"/>
      <c r="I29" s="13"/>
      <c r="J29" s="33"/>
      <c r="K29" s="33"/>
      <c r="L29" s="33"/>
      <c r="M29" s="33"/>
      <c r="N29" s="127"/>
      <c r="O29" s="127"/>
      <c r="P29" s="13"/>
      <c r="Q29" s="357"/>
      <c r="R29" s="24">
        <f t="shared" si="10"/>
        <v>135</v>
      </c>
      <c r="S29" s="5">
        <f t="shared" si="22"/>
        <v>123.8532110091743</v>
      </c>
      <c r="T29" s="5">
        <f t="shared" si="24"/>
        <v>11.146788990825698</v>
      </c>
      <c r="U29" s="21">
        <f t="shared" si="23"/>
        <v>1</v>
      </c>
      <c r="V29" s="35"/>
      <c r="W29" s="61">
        <v>135</v>
      </c>
      <c r="X29" s="13">
        <f t="shared" si="27"/>
        <v>135</v>
      </c>
      <c r="AA29" s="2">
        <f t="shared" si="3"/>
        <v>0</v>
      </c>
    </row>
    <row r="30" spans="1:27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/>
      <c r="F30" s="95"/>
      <c r="G30" s="95"/>
      <c r="H30" s="95"/>
      <c r="I30" s="13"/>
      <c r="J30" s="33"/>
      <c r="K30" s="33"/>
      <c r="L30" s="33"/>
      <c r="M30" s="33">
        <v>54</v>
      </c>
      <c r="N30" s="127"/>
      <c r="O30" s="127"/>
      <c r="P30" s="13">
        <v>54</v>
      </c>
      <c r="Q30" s="357"/>
      <c r="R30" s="24">
        <f t="shared" si="10"/>
        <v>108</v>
      </c>
      <c r="S30" s="5">
        <f t="shared" si="22"/>
        <v>99.082568807339442</v>
      </c>
      <c r="T30" s="5">
        <f t="shared" si="24"/>
        <v>8.9174311926605583</v>
      </c>
      <c r="U30" s="21">
        <f t="shared" si="23"/>
        <v>2</v>
      </c>
      <c r="V30" s="35"/>
      <c r="W30" s="61">
        <v>216</v>
      </c>
      <c r="X30" s="13">
        <f t="shared" si="27"/>
        <v>432</v>
      </c>
      <c r="AA30" s="2">
        <f t="shared" si="3"/>
        <v>0</v>
      </c>
    </row>
    <row r="31" spans="1:27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/>
      <c r="G31" s="95"/>
      <c r="H31" s="95"/>
      <c r="I31" s="13"/>
      <c r="J31" s="33"/>
      <c r="K31" s="33"/>
      <c r="L31" s="33"/>
      <c r="M31" s="33"/>
      <c r="N31" s="127"/>
      <c r="O31" s="127"/>
      <c r="P31" s="13"/>
      <c r="Q31" s="357"/>
      <c r="R31" s="24">
        <f t="shared" si="10"/>
        <v>0</v>
      </c>
      <c r="S31" s="5">
        <f t="shared" si="22"/>
        <v>0</v>
      </c>
      <c r="T31" s="5">
        <f t="shared" si="24"/>
        <v>0</v>
      </c>
      <c r="U31" s="21">
        <f t="shared" si="23"/>
        <v>0</v>
      </c>
      <c r="V31" s="35"/>
      <c r="W31" s="61"/>
      <c r="X31" s="13"/>
      <c r="AA31" s="2">
        <f t="shared" si="3"/>
        <v>0</v>
      </c>
    </row>
    <row r="32" spans="1:27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600</v>
      </c>
      <c r="G32" s="95">
        <v>300</v>
      </c>
      <c r="H32" s="95"/>
      <c r="I32" s="13"/>
      <c r="J32" s="33"/>
      <c r="K32" s="33"/>
      <c r="L32" s="33"/>
      <c r="M32" s="33"/>
      <c r="N32" s="127"/>
      <c r="O32" s="127"/>
      <c r="P32" s="13"/>
      <c r="Q32" s="357"/>
      <c r="R32" s="24">
        <f t="shared" si="10"/>
        <v>900</v>
      </c>
      <c r="S32" s="5">
        <f t="shared" si="22"/>
        <v>825.6880733944954</v>
      </c>
      <c r="T32" s="5">
        <f t="shared" si="24"/>
        <v>74.311926605504595</v>
      </c>
      <c r="U32" s="21">
        <f t="shared" si="23"/>
        <v>3</v>
      </c>
      <c r="V32" s="35"/>
      <c r="W32" s="61">
        <v>300</v>
      </c>
      <c r="X32" s="13">
        <f t="shared" si="27"/>
        <v>900</v>
      </c>
      <c r="AA32" s="2">
        <f t="shared" si="3"/>
        <v>0</v>
      </c>
    </row>
    <row r="33" spans="1:27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120</v>
      </c>
      <c r="F33" s="95">
        <v>840</v>
      </c>
      <c r="G33" s="95"/>
      <c r="H33" s="95"/>
      <c r="I33" s="13"/>
      <c r="J33" s="33"/>
      <c r="K33" s="33"/>
      <c r="L33" s="33"/>
      <c r="M33" s="33"/>
      <c r="N33" s="127"/>
      <c r="O33" s="127"/>
      <c r="P33" s="13">
        <v>720</v>
      </c>
      <c r="Q33" s="357"/>
      <c r="R33" s="24">
        <f t="shared" si="10"/>
        <v>1680</v>
      </c>
      <c r="S33" s="5">
        <f t="shared" si="22"/>
        <v>1541.2844036697247</v>
      </c>
      <c r="T33" s="5">
        <f t="shared" si="24"/>
        <v>138.71559633027528</v>
      </c>
      <c r="U33" s="21">
        <f t="shared" si="23"/>
        <v>14</v>
      </c>
      <c r="V33" s="35"/>
      <c r="W33" s="61">
        <v>480</v>
      </c>
      <c r="X33" s="13">
        <f t="shared" si="27"/>
        <v>6720</v>
      </c>
      <c r="AA33" s="2">
        <f t="shared" si="3"/>
        <v>0</v>
      </c>
    </row>
    <row r="34" spans="1:27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127"/>
      <c r="O34" s="127"/>
      <c r="P34" s="13"/>
      <c r="Q34" s="357"/>
      <c r="R34" s="24">
        <f t="shared" si="10"/>
        <v>0</v>
      </c>
      <c r="S34" s="5">
        <f t="shared" si="22"/>
        <v>0</v>
      </c>
      <c r="T34" s="5">
        <f t="shared" si="24"/>
        <v>0</v>
      </c>
      <c r="U34" s="21">
        <f t="shared" si="23"/>
        <v>0</v>
      </c>
      <c r="V34" s="35"/>
      <c r="W34" s="61"/>
      <c r="X34" s="13"/>
      <c r="AA34" s="2">
        <f t="shared" si="3"/>
        <v>0</v>
      </c>
    </row>
    <row r="35" spans="1:27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127"/>
      <c r="O35" s="127"/>
      <c r="P35" s="13"/>
      <c r="Q35" s="357"/>
      <c r="R35" s="24">
        <f t="shared" si="10"/>
        <v>0</v>
      </c>
      <c r="S35" s="5">
        <f t="shared" si="22"/>
        <v>0</v>
      </c>
      <c r="T35" s="5">
        <f t="shared" si="24"/>
        <v>0</v>
      </c>
      <c r="U35" s="21">
        <f t="shared" si="23"/>
        <v>0</v>
      </c>
      <c r="V35" s="35"/>
      <c r="W35" s="61">
        <v>270</v>
      </c>
      <c r="X35" s="13">
        <f t="shared" si="27"/>
        <v>0</v>
      </c>
      <c r="AA35" s="2">
        <f t="shared" si="3"/>
        <v>0</v>
      </c>
    </row>
    <row r="36" spans="1:27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127"/>
      <c r="O36" s="127"/>
      <c r="P36" s="13">
        <v>108</v>
      </c>
      <c r="Q36" s="357"/>
      <c r="R36" s="24">
        <f t="shared" si="10"/>
        <v>108</v>
      </c>
      <c r="S36" s="5">
        <f t="shared" si="22"/>
        <v>99.082568807339442</v>
      </c>
      <c r="T36" s="5">
        <f t="shared" si="24"/>
        <v>8.9174311926605583</v>
      </c>
      <c r="U36" s="21">
        <f t="shared" si="23"/>
        <v>1</v>
      </c>
      <c r="V36" s="35"/>
      <c r="W36" s="61">
        <v>432</v>
      </c>
      <c r="X36" s="13">
        <f t="shared" si="27"/>
        <v>432</v>
      </c>
      <c r="AA36" s="2">
        <f t="shared" si="3"/>
        <v>0</v>
      </c>
    </row>
    <row r="37" spans="1:27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>
        <v>1800</v>
      </c>
      <c r="I37" s="13"/>
      <c r="J37" s="33"/>
      <c r="K37" s="33"/>
      <c r="L37" s="33"/>
      <c r="M37" s="33"/>
      <c r="N37" s="127"/>
      <c r="O37" s="127"/>
      <c r="P37" s="13"/>
      <c r="Q37" s="357"/>
      <c r="R37" s="24">
        <f t="shared" si="10"/>
        <v>1800</v>
      </c>
      <c r="S37" s="5">
        <f t="shared" si="22"/>
        <v>1651.3761467889908</v>
      </c>
      <c r="T37" s="5">
        <f t="shared" si="24"/>
        <v>148.62385321100919</v>
      </c>
      <c r="U37" s="21">
        <f t="shared" si="23"/>
        <v>2</v>
      </c>
      <c r="V37" s="35"/>
      <c r="W37" s="61"/>
      <c r="X37" s="13"/>
      <c r="AA37" s="2">
        <f t="shared" si="3"/>
        <v>0</v>
      </c>
    </row>
    <row r="38" spans="1:27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127"/>
      <c r="O38" s="127"/>
      <c r="P38" s="13"/>
      <c r="Q38" s="357"/>
      <c r="R38" s="24">
        <f t="shared" si="10"/>
        <v>0</v>
      </c>
      <c r="S38" s="5">
        <f t="shared" si="22"/>
        <v>0</v>
      </c>
      <c r="T38" s="5">
        <f t="shared" si="24"/>
        <v>0</v>
      </c>
      <c r="U38" s="21">
        <f t="shared" si="23"/>
        <v>0</v>
      </c>
      <c r="V38" s="35"/>
      <c r="W38" s="61">
        <v>450</v>
      </c>
      <c r="X38" s="13">
        <f t="shared" si="27"/>
        <v>0</v>
      </c>
      <c r="AA38" s="2">
        <f t="shared" si="3"/>
        <v>0</v>
      </c>
    </row>
    <row r="39" spans="1:27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/>
      <c r="G39" s="95"/>
      <c r="H39" s="95"/>
      <c r="I39" s="13"/>
      <c r="J39" s="33"/>
      <c r="K39" s="33"/>
      <c r="L39" s="33"/>
      <c r="M39" s="33"/>
      <c r="N39" s="127"/>
      <c r="O39" s="127"/>
      <c r="P39" s="13">
        <v>540</v>
      </c>
      <c r="Q39" s="357"/>
      <c r="R39" s="24">
        <f t="shared" si="10"/>
        <v>540</v>
      </c>
      <c r="S39" s="5">
        <f t="shared" si="22"/>
        <v>495.41284403669721</v>
      </c>
      <c r="T39" s="5">
        <f t="shared" si="24"/>
        <v>44.587155963302791</v>
      </c>
      <c r="U39" s="21">
        <f t="shared" si="23"/>
        <v>3</v>
      </c>
      <c r="V39" s="35"/>
      <c r="W39" s="61">
        <v>720</v>
      </c>
      <c r="X39" s="13">
        <f t="shared" si="27"/>
        <v>2160</v>
      </c>
      <c r="AA39" s="2">
        <f t="shared" si="3"/>
        <v>0</v>
      </c>
    </row>
    <row r="40" spans="1:27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127"/>
      <c r="O40" s="127"/>
      <c r="P40" s="13"/>
      <c r="Q40" s="357"/>
      <c r="R40" s="24">
        <f t="shared" si="10"/>
        <v>0</v>
      </c>
      <c r="S40" s="5">
        <f t="shared" si="22"/>
        <v>0</v>
      </c>
      <c r="T40" s="5">
        <f t="shared" si="24"/>
        <v>0</v>
      </c>
      <c r="U40" s="21">
        <f t="shared" si="23"/>
        <v>0</v>
      </c>
      <c r="V40" s="71"/>
      <c r="W40" s="61"/>
      <c r="X40" s="13"/>
      <c r="AA40" s="2">
        <f t="shared" si="3"/>
        <v>0</v>
      </c>
    </row>
    <row r="41" spans="1:27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127"/>
      <c r="O41" s="127"/>
      <c r="P41" s="13"/>
      <c r="Q41" s="357"/>
      <c r="R41" s="24">
        <f t="shared" si="10"/>
        <v>0</v>
      </c>
      <c r="S41" s="5">
        <f t="shared" si="22"/>
        <v>0</v>
      </c>
      <c r="T41" s="5">
        <f t="shared" si="24"/>
        <v>0</v>
      </c>
      <c r="U41" s="21">
        <f t="shared" si="23"/>
        <v>0</v>
      </c>
      <c r="V41" s="71"/>
      <c r="W41" s="61">
        <v>405</v>
      </c>
      <c r="X41" s="13">
        <f t="shared" si="27"/>
        <v>0</v>
      </c>
      <c r="AA41" s="2">
        <f t="shared" si="3"/>
        <v>0</v>
      </c>
    </row>
    <row r="42" spans="1:27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21"/>
      <c r="O42" s="221"/>
      <c r="P42" s="13">
        <v>162</v>
      </c>
      <c r="Q42" s="358"/>
      <c r="R42" s="24">
        <f t="shared" si="10"/>
        <v>162</v>
      </c>
      <c r="S42" s="26">
        <f t="shared" si="22"/>
        <v>148.62385321100916</v>
      </c>
      <c r="T42" s="26">
        <f t="shared" si="24"/>
        <v>13.376146788990837</v>
      </c>
      <c r="U42" s="39">
        <f t="shared" si="23"/>
        <v>1</v>
      </c>
      <c r="V42" s="71"/>
      <c r="W42" s="61">
        <v>648</v>
      </c>
      <c r="X42" s="13">
        <f t="shared" si="27"/>
        <v>648</v>
      </c>
      <c r="AA42" s="2">
        <f t="shared" si="3"/>
        <v>0</v>
      </c>
    </row>
    <row r="43" spans="1:27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100</v>
      </c>
      <c r="F43" s="124">
        <v>3790</v>
      </c>
      <c r="G43" s="124">
        <v>390</v>
      </c>
      <c r="H43" s="124">
        <v>790</v>
      </c>
      <c r="I43" s="124"/>
      <c r="J43" s="124"/>
      <c r="K43" s="124"/>
      <c r="L43" s="124"/>
      <c r="M43" s="124">
        <v>80</v>
      </c>
      <c r="N43" s="124"/>
      <c r="O43" s="124"/>
      <c r="P43" s="148"/>
      <c r="Q43" s="352"/>
      <c r="R43" s="24">
        <f t="shared" si="10"/>
        <v>5150</v>
      </c>
      <c r="S43" s="26">
        <f t="shared" si="22"/>
        <v>4724.7706422018346</v>
      </c>
      <c r="T43" s="26">
        <f t="shared" si="24"/>
        <v>425.22935779816544</v>
      </c>
      <c r="U43" s="39">
        <f t="shared" si="23"/>
        <v>515</v>
      </c>
      <c r="V43" s="71"/>
      <c r="W43" s="61"/>
      <c r="X43" s="13"/>
      <c r="AA43" s="2">
        <f t="shared" si="3"/>
        <v>0</v>
      </c>
    </row>
    <row r="44" spans="1:27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4614.8999999999996</v>
      </c>
      <c r="F44" s="82">
        <f>+SUM(F45:F53)</f>
        <v>201102.2</v>
      </c>
      <c r="G44" s="82">
        <f t="shared" ref="G44:U44" si="28">+SUM(G45:G53)</f>
        <v>33006</v>
      </c>
      <c r="H44" s="82">
        <f>+SUM(H45:H53)</f>
        <v>5133.7</v>
      </c>
      <c r="I44" s="82">
        <f t="shared" si="28"/>
        <v>0</v>
      </c>
      <c r="J44" s="82">
        <f t="shared" si="28"/>
        <v>0</v>
      </c>
      <c r="K44" s="100">
        <f t="shared" si="28"/>
        <v>0</v>
      </c>
      <c r="L44" s="100">
        <f t="shared" si="28"/>
        <v>0</v>
      </c>
      <c r="M44" s="100">
        <f t="shared" si="28"/>
        <v>1382.6</v>
      </c>
      <c r="N44" s="100">
        <f t="shared" si="28"/>
        <v>399.8</v>
      </c>
      <c r="O44" s="100">
        <f t="shared" ref="O44" si="29">+SUM(O45:O53)</f>
        <v>601.6</v>
      </c>
      <c r="P44" s="100">
        <f t="shared" si="28"/>
        <v>21846.6</v>
      </c>
      <c r="Q44" s="100">
        <f t="shared" si="28"/>
        <v>0</v>
      </c>
      <c r="R44" s="42">
        <f>+SUM(R45:R53)</f>
        <v>268087.40000000002</v>
      </c>
      <c r="S44" s="82">
        <f t="shared" si="28"/>
        <v>245951.74311926603</v>
      </c>
      <c r="T44" s="82">
        <f t="shared" si="28"/>
        <v>22135.656880733972</v>
      </c>
      <c r="U44" s="19">
        <f t="shared" si="28"/>
        <v>39789</v>
      </c>
      <c r="V44" s="71"/>
      <c r="W44" s="61"/>
      <c r="X44" s="105">
        <f>+SUM(X45:X68)</f>
        <v>419207.60000000003</v>
      </c>
      <c r="AA44" s="2">
        <f t="shared" si="3"/>
        <v>1001.4000000000001</v>
      </c>
    </row>
    <row r="45" spans="1:27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432</v>
      </c>
      <c r="F45" s="23">
        <v>16992</v>
      </c>
      <c r="G45" s="28">
        <v>2676</v>
      </c>
      <c r="H45" s="23">
        <v>384</v>
      </c>
      <c r="I45" s="83"/>
      <c r="J45" s="75"/>
      <c r="K45" s="75"/>
      <c r="L45" s="75"/>
      <c r="M45" s="75">
        <v>144</v>
      </c>
      <c r="N45" s="127">
        <v>36</v>
      </c>
      <c r="O45" s="127">
        <v>12</v>
      </c>
      <c r="P45" s="308">
        <v>1368</v>
      </c>
      <c r="Q45" s="356"/>
      <c r="R45" s="24">
        <f t="shared" si="10"/>
        <v>22044</v>
      </c>
      <c r="S45" s="99">
        <f t="shared" ref="S45:S53" si="30">+R45/1.09</f>
        <v>20223.853211009173</v>
      </c>
      <c r="T45" s="64">
        <f t="shared" ref="T45:U55" si="31">+R45-S45</f>
        <v>1820.1467889908272</v>
      </c>
      <c r="U45" s="116">
        <f t="shared" ref="U45:U54" si="32">R45/D45</f>
        <v>1837</v>
      </c>
      <c r="V45" s="71"/>
      <c r="W45" s="61"/>
      <c r="X45" s="13"/>
      <c r="AA45" s="2">
        <f t="shared" si="3"/>
        <v>48</v>
      </c>
    </row>
    <row r="46" spans="1:27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168</v>
      </c>
      <c r="F46" s="13">
        <v>1944</v>
      </c>
      <c r="G46" s="17">
        <v>312</v>
      </c>
      <c r="H46" s="23">
        <v>12</v>
      </c>
      <c r="I46" s="13"/>
      <c r="J46" s="33"/>
      <c r="K46" s="33"/>
      <c r="L46" s="33"/>
      <c r="M46" s="33">
        <v>12</v>
      </c>
      <c r="N46" s="127">
        <v>6</v>
      </c>
      <c r="O46" s="127"/>
      <c r="P46" s="13">
        <v>258</v>
      </c>
      <c r="Q46" s="357"/>
      <c r="R46" s="24">
        <f t="shared" si="10"/>
        <v>2712</v>
      </c>
      <c r="S46" s="5">
        <f t="shared" si="30"/>
        <v>2488.0733944954127</v>
      </c>
      <c r="T46" s="5">
        <f t="shared" si="31"/>
        <v>223.92660550458731</v>
      </c>
      <c r="U46" s="31">
        <f t="shared" si="32"/>
        <v>452</v>
      </c>
      <c r="V46" s="71"/>
      <c r="W46" s="61">
        <v>6</v>
      </c>
      <c r="X46" s="13">
        <f t="shared" ref="X46:X47" si="33">+U46*W46</f>
        <v>2712</v>
      </c>
      <c r="AA46" s="2">
        <f t="shared" si="3"/>
        <v>6</v>
      </c>
    </row>
    <row r="47" spans="1:27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1036.8</v>
      </c>
      <c r="F47" s="13">
        <v>48564</v>
      </c>
      <c r="G47" s="17">
        <v>9009.6</v>
      </c>
      <c r="H47" s="23">
        <v>355.20000000000005</v>
      </c>
      <c r="I47" s="13"/>
      <c r="J47" s="33"/>
      <c r="K47" s="33"/>
      <c r="L47" s="33"/>
      <c r="M47" s="33">
        <v>266.39999999999998</v>
      </c>
      <c r="N47" s="127">
        <v>64.8</v>
      </c>
      <c r="O47" s="127">
        <v>444</v>
      </c>
      <c r="P47" s="13">
        <f>40.8+3523.2</f>
        <v>3564</v>
      </c>
      <c r="Q47" s="357"/>
      <c r="R47" s="24">
        <f t="shared" si="10"/>
        <v>63304.800000000003</v>
      </c>
      <c r="S47" s="5">
        <f t="shared" si="30"/>
        <v>58077.79816513761</v>
      </c>
      <c r="T47" s="5">
        <f t="shared" si="31"/>
        <v>5227.0018348623926</v>
      </c>
      <c r="U47" s="31">
        <f t="shared" si="32"/>
        <v>26377.000000000004</v>
      </c>
      <c r="V47" s="71"/>
      <c r="W47" s="61">
        <v>9.6</v>
      </c>
      <c r="X47" s="13">
        <f t="shared" si="33"/>
        <v>253219.20000000001</v>
      </c>
      <c r="AA47" s="2">
        <f t="shared" si="3"/>
        <v>508.8</v>
      </c>
    </row>
    <row r="48" spans="1:27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336</v>
      </c>
      <c r="F48" s="13">
        <v>22701</v>
      </c>
      <c r="G48" s="17">
        <v>3255</v>
      </c>
      <c r="H48" s="13">
        <v>1365</v>
      </c>
      <c r="I48" s="13"/>
      <c r="J48" s="33"/>
      <c r="K48" s="33"/>
      <c r="L48" s="33"/>
      <c r="M48" s="33">
        <v>105</v>
      </c>
      <c r="N48" s="127">
        <v>21</v>
      </c>
      <c r="O48" s="127">
        <v>63</v>
      </c>
      <c r="P48" s="13">
        <v>3675</v>
      </c>
      <c r="Q48" s="357"/>
      <c r="R48" s="24">
        <f t="shared" si="10"/>
        <v>31521</v>
      </c>
      <c r="S48" s="5">
        <f t="shared" si="30"/>
        <v>28918.34862385321</v>
      </c>
      <c r="T48" s="5">
        <f t="shared" si="31"/>
        <v>2602.6513761467904</v>
      </c>
      <c r="U48" s="31">
        <f t="shared" si="32"/>
        <v>1501</v>
      </c>
      <c r="V48" s="71"/>
      <c r="W48" s="61"/>
      <c r="X48" s="13"/>
      <c r="AA48" s="2">
        <f t="shared" si="3"/>
        <v>84</v>
      </c>
    </row>
    <row r="49" spans="1:27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42</v>
      </c>
      <c r="F49" s="13">
        <v>1869</v>
      </c>
      <c r="G49" s="17">
        <v>294</v>
      </c>
      <c r="H49" s="13">
        <v>126</v>
      </c>
      <c r="I49" s="13"/>
      <c r="J49" s="33"/>
      <c r="K49" s="33"/>
      <c r="L49" s="33"/>
      <c r="M49" s="33">
        <v>42</v>
      </c>
      <c r="N49" s="127">
        <v>21</v>
      </c>
      <c r="O49" s="127"/>
      <c r="P49" s="13">
        <v>189</v>
      </c>
      <c r="Q49" s="357"/>
      <c r="R49" s="24">
        <f t="shared" si="10"/>
        <v>2583</v>
      </c>
      <c r="S49" s="5">
        <f t="shared" si="30"/>
        <v>2369.7247706422017</v>
      </c>
      <c r="T49" s="5">
        <f t="shared" si="31"/>
        <v>213.27522935779825</v>
      </c>
      <c r="U49" s="21">
        <f t="shared" si="32"/>
        <v>246</v>
      </c>
      <c r="V49" s="71"/>
      <c r="W49" s="61">
        <v>10.5</v>
      </c>
      <c r="X49" s="13">
        <f t="shared" ref="X49:X50" si="34">+U49*W49</f>
        <v>2583</v>
      </c>
      <c r="AA49" s="2">
        <f t="shared" si="3"/>
        <v>21</v>
      </c>
    </row>
    <row r="50" spans="1:27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201.60000000000002</v>
      </c>
      <c r="F50" s="13">
        <v>11919.6</v>
      </c>
      <c r="G50" s="17">
        <v>1617</v>
      </c>
      <c r="H50" s="13">
        <v>214.20000000000005</v>
      </c>
      <c r="I50" s="13"/>
      <c r="J50" s="33"/>
      <c r="K50" s="33"/>
      <c r="L50" s="33"/>
      <c r="M50" s="33">
        <v>58.800000000000004</v>
      </c>
      <c r="N50" s="127">
        <v>37.799999999999997</v>
      </c>
      <c r="O50" s="127">
        <v>25.2</v>
      </c>
      <c r="P50" s="13">
        <f>8.4+2255.4</f>
        <v>2263.8000000000002</v>
      </c>
      <c r="Q50" s="357"/>
      <c r="R50" s="24">
        <f t="shared" si="10"/>
        <v>16338</v>
      </c>
      <c r="S50" s="5">
        <f t="shared" si="30"/>
        <v>14988.990825688072</v>
      </c>
      <c r="T50" s="5">
        <f t="shared" si="31"/>
        <v>1349.0091743119283</v>
      </c>
      <c r="U50" s="21">
        <f t="shared" si="32"/>
        <v>3890</v>
      </c>
      <c r="V50" s="71"/>
      <c r="W50" s="61">
        <v>16.8</v>
      </c>
      <c r="X50" s="13">
        <f t="shared" si="34"/>
        <v>65352</v>
      </c>
      <c r="AA50" s="2">
        <f t="shared" si="3"/>
        <v>63</v>
      </c>
    </row>
    <row r="51" spans="1:27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1968</v>
      </c>
      <c r="F51" s="13">
        <v>74866</v>
      </c>
      <c r="G51" s="17">
        <v>12341</v>
      </c>
      <c r="H51" s="13">
        <v>2132</v>
      </c>
      <c r="I51" s="13"/>
      <c r="J51" s="33"/>
      <c r="K51" s="33"/>
      <c r="L51" s="33"/>
      <c r="M51" s="33">
        <v>533</v>
      </c>
      <c r="N51" s="127">
        <v>205</v>
      </c>
      <c r="O51" s="127">
        <v>41</v>
      </c>
      <c r="P51" s="13">
        <v>6806</v>
      </c>
      <c r="Q51" s="357"/>
      <c r="R51" s="24">
        <f t="shared" si="10"/>
        <v>98892</v>
      </c>
      <c r="S51" s="5">
        <f t="shared" si="30"/>
        <v>90726.605504587147</v>
      </c>
      <c r="T51" s="5">
        <f t="shared" si="31"/>
        <v>8165.3944954128528</v>
      </c>
      <c r="U51" s="21">
        <f t="shared" si="32"/>
        <v>2412</v>
      </c>
      <c r="V51" s="71"/>
      <c r="W51" s="61"/>
      <c r="X51" s="13"/>
      <c r="AA51" s="2">
        <f t="shared" si="3"/>
        <v>246</v>
      </c>
    </row>
    <row r="52" spans="1:27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102.5</v>
      </c>
      <c r="F52" s="13">
        <v>7134</v>
      </c>
      <c r="G52" s="17">
        <v>1189</v>
      </c>
      <c r="H52" s="13">
        <v>225.5</v>
      </c>
      <c r="I52" s="13"/>
      <c r="J52" s="33"/>
      <c r="K52" s="33"/>
      <c r="L52" s="33"/>
      <c r="M52" s="33">
        <v>123</v>
      </c>
      <c r="N52" s="127"/>
      <c r="O52" s="127"/>
      <c r="P52" s="13">
        <v>369</v>
      </c>
      <c r="Q52" s="357"/>
      <c r="R52" s="24">
        <f t="shared" si="10"/>
        <v>9143</v>
      </c>
      <c r="S52" s="5">
        <f t="shared" si="30"/>
        <v>8388.0733944954118</v>
      </c>
      <c r="T52" s="5">
        <f t="shared" si="31"/>
        <v>754.92660550458822</v>
      </c>
      <c r="U52" s="21">
        <f t="shared" si="32"/>
        <v>446</v>
      </c>
      <c r="V52" s="71"/>
      <c r="W52" s="61">
        <v>20.5</v>
      </c>
      <c r="X52" s="13">
        <f t="shared" ref="X52:X53" si="35">+U52*W52</f>
        <v>9143</v>
      </c>
      <c r="AA52" s="2">
        <f t="shared" si="3"/>
        <v>0</v>
      </c>
    </row>
    <row r="53" spans="1:27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328</v>
      </c>
      <c r="F53" s="14">
        <v>15112.600000000002</v>
      </c>
      <c r="G53" s="51">
        <v>2312.4</v>
      </c>
      <c r="H53" s="14">
        <v>319.79999999999995</v>
      </c>
      <c r="I53" s="14"/>
      <c r="J53" s="76"/>
      <c r="K53" s="76"/>
      <c r="L53" s="76"/>
      <c r="M53" s="76">
        <v>98.399999999999991</v>
      </c>
      <c r="N53" s="148">
        <v>8.1999999999999993</v>
      </c>
      <c r="O53" s="148">
        <v>16.399999999999999</v>
      </c>
      <c r="P53" s="14">
        <f>32.8+3321</f>
        <v>3353.8</v>
      </c>
      <c r="Q53" s="224"/>
      <c r="R53" s="359">
        <f t="shared" si="10"/>
        <v>21549.600000000006</v>
      </c>
      <c r="S53" s="6">
        <f t="shared" si="30"/>
        <v>19770.275229357801</v>
      </c>
      <c r="T53" s="6">
        <f t="shared" si="31"/>
        <v>1779.3247706422044</v>
      </c>
      <c r="U53" s="22">
        <f t="shared" si="32"/>
        <v>2628.0000000000009</v>
      </c>
      <c r="V53" s="35"/>
      <c r="W53" s="61">
        <v>32.799999999999997</v>
      </c>
      <c r="X53" s="13">
        <f t="shared" si="35"/>
        <v>86198.400000000023</v>
      </c>
      <c r="AA53" s="2">
        <f t="shared" si="3"/>
        <v>24.599999999999998</v>
      </c>
    </row>
    <row r="54" spans="1:27" x14ac:dyDescent="0.25">
      <c r="C54" s="1" t="s">
        <v>150</v>
      </c>
      <c r="D54" s="4">
        <v>4</v>
      </c>
      <c r="E54" s="4">
        <f>2250*4</f>
        <v>9000</v>
      </c>
      <c r="F54" s="112">
        <v>40744</v>
      </c>
      <c r="G54" s="112">
        <v>5500</v>
      </c>
      <c r="H54" s="112">
        <v>2688</v>
      </c>
      <c r="I54" s="112"/>
      <c r="J54" s="112"/>
      <c r="K54" s="112"/>
      <c r="L54" s="112"/>
      <c r="M54" s="1">
        <f>250*4</f>
        <v>1000</v>
      </c>
      <c r="P54" s="141"/>
      <c r="R54" s="230">
        <f>+SUM(E54:Q54)+P59</f>
        <v>59348</v>
      </c>
      <c r="S54" s="6">
        <f>+R54/1.21</f>
        <v>49047.933884297519</v>
      </c>
      <c r="T54" s="6">
        <f t="shared" si="31"/>
        <v>10300.066115702481</v>
      </c>
      <c r="U54" s="22">
        <f t="shared" si="32"/>
        <v>14837</v>
      </c>
    </row>
    <row r="55" spans="1:27" x14ac:dyDescent="0.25">
      <c r="C55" s="1" t="s">
        <v>143</v>
      </c>
      <c r="E55" s="2">
        <v>27567.3</v>
      </c>
      <c r="F55" s="2">
        <v>811647.13</v>
      </c>
      <c r="G55" s="2">
        <v>124433.74</v>
      </c>
      <c r="H55" s="2">
        <v>16160.5</v>
      </c>
      <c r="I55" s="2"/>
      <c r="J55" s="2"/>
      <c r="K55" s="2"/>
      <c r="L55" s="2"/>
      <c r="M55" s="2">
        <v>8862.15</v>
      </c>
      <c r="N55" s="2"/>
      <c r="O55" s="2"/>
      <c r="R55" s="6">
        <f>+SUM(E55:Q55)</f>
        <v>988670.82000000007</v>
      </c>
      <c r="S55" s="6">
        <f>+R55</f>
        <v>988670.82000000007</v>
      </c>
      <c r="T55" s="6">
        <f t="shared" si="31"/>
        <v>0</v>
      </c>
      <c r="U55" s="6">
        <f t="shared" si="31"/>
        <v>988670.82000000007</v>
      </c>
    </row>
    <row r="57" spans="1:27" x14ac:dyDescent="0.25">
      <c r="D57" s="4" t="s">
        <v>151</v>
      </c>
      <c r="E57" s="136">
        <f>+E5+E54+E55</f>
        <v>183844.11999999997</v>
      </c>
      <c r="F57" s="136">
        <f t="shared" ref="F57:P57" si="36">+F5+F54+F55</f>
        <v>6672355.8100000005</v>
      </c>
      <c r="G57" s="136">
        <f t="shared" si="36"/>
        <v>1021631.5599999999</v>
      </c>
      <c r="H57" s="136">
        <f t="shared" si="36"/>
        <v>150920.88</v>
      </c>
      <c r="I57" s="136">
        <f t="shared" si="36"/>
        <v>766746.75</v>
      </c>
      <c r="J57" s="136">
        <f t="shared" si="36"/>
        <v>730169.65</v>
      </c>
      <c r="K57" s="136">
        <f t="shared" si="36"/>
        <v>939259.77999999991</v>
      </c>
      <c r="L57" s="136">
        <f t="shared" si="36"/>
        <v>1485.6799999999184</v>
      </c>
      <c r="M57" s="136">
        <f t="shared" si="36"/>
        <v>69816.289999999994</v>
      </c>
      <c r="N57" s="136">
        <f t="shared" si="36"/>
        <v>9727.32</v>
      </c>
      <c r="O57" s="136">
        <f t="shared" si="36"/>
        <v>11689.44</v>
      </c>
      <c r="P57" s="136">
        <f t="shared" si="36"/>
        <v>594334.4</v>
      </c>
      <c r="Q57" s="136"/>
      <c r="R57" s="103">
        <f>+SUM(E57:Q57)</f>
        <v>11151981.68</v>
      </c>
      <c r="S57" s="150"/>
      <c r="T57" s="150"/>
    </row>
    <row r="59" spans="1:27" x14ac:dyDescent="0.25">
      <c r="E59" s="125"/>
      <c r="F59" s="112"/>
      <c r="G59" s="2"/>
      <c r="H59" s="112"/>
      <c r="O59" s="561" t="s">
        <v>609</v>
      </c>
      <c r="P59" s="560">
        <f>104*4</f>
        <v>416</v>
      </c>
      <c r="R59" s="112"/>
    </row>
    <row r="60" spans="1:27" x14ac:dyDescent="0.25">
      <c r="E60" s="125"/>
    </row>
    <row r="61" spans="1:27" x14ac:dyDescent="0.25">
      <c r="G61" s="2"/>
      <c r="M61" s="2"/>
      <c r="N61" s="2"/>
      <c r="O61" s="2"/>
    </row>
    <row r="73" spans="2:2" x14ac:dyDescent="0.25">
      <c r="B73" s="1"/>
    </row>
  </sheetData>
  <mergeCells count="19">
    <mergeCell ref="F3:F4"/>
    <mergeCell ref="A3:A4"/>
    <mergeCell ref="B3:B4"/>
    <mergeCell ref="C3:C4"/>
    <mergeCell ref="D3:D4"/>
    <mergeCell ref="E3:E4"/>
    <mergeCell ref="X3:X4"/>
    <mergeCell ref="G3:G4"/>
    <mergeCell ref="H3:H4"/>
    <mergeCell ref="I3:I4"/>
    <mergeCell ref="J3:J4"/>
    <mergeCell ref="K3:L3"/>
    <mergeCell ref="M3:M4"/>
    <mergeCell ref="P3:Q3"/>
    <mergeCell ref="R3:R4"/>
    <mergeCell ref="S3:S4"/>
    <mergeCell ref="T3:T4"/>
    <mergeCell ref="U3:U4"/>
    <mergeCell ref="N3:O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U14"/>
  <sheetViews>
    <sheetView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Q13" sqref="Q13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0" width="12.33203125" customWidth="1"/>
    <col min="21" max="21" width="12.33203125" bestFit="1" customWidth="1"/>
  </cols>
  <sheetData>
    <row r="1" spans="1:21" x14ac:dyDescent="0.3">
      <c r="A1" t="s">
        <v>392</v>
      </c>
    </row>
    <row r="2" spans="1:21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</row>
    <row r="3" spans="1:21" ht="40.200000000000003" customHeight="1" x14ac:dyDescent="0.3">
      <c r="A3" s="344" t="s">
        <v>46</v>
      </c>
      <c r="B3" s="365" t="s">
        <v>208</v>
      </c>
      <c r="C3" s="365" t="s">
        <v>353</v>
      </c>
      <c r="D3" s="365" t="s">
        <v>389</v>
      </c>
      <c r="E3" s="365" t="s">
        <v>206</v>
      </c>
      <c r="F3" s="365" t="s">
        <v>353</v>
      </c>
      <c r="G3" s="365" t="s">
        <v>389</v>
      </c>
      <c r="H3" s="365" t="s">
        <v>206</v>
      </c>
      <c r="I3" s="365" t="s">
        <v>353</v>
      </c>
      <c r="J3" s="365" t="s">
        <v>389</v>
      </c>
      <c r="K3" s="365" t="s">
        <v>206</v>
      </c>
      <c r="L3" s="365" t="s">
        <v>353</v>
      </c>
      <c r="M3" s="365" t="s">
        <v>389</v>
      </c>
      <c r="N3" s="369" t="s">
        <v>206</v>
      </c>
      <c r="O3" s="365" t="s">
        <v>391</v>
      </c>
      <c r="P3" s="365" t="s">
        <v>389</v>
      </c>
      <c r="Q3" s="369" t="s">
        <v>206</v>
      </c>
      <c r="R3" s="365" t="s">
        <v>390</v>
      </c>
      <c r="S3" s="365" t="s">
        <v>389</v>
      </c>
      <c r="T3" s="369" t="s">
        <v>206</v>
      </c>
      <c r="U3" s="365" t="s">
        <v>351</v>
      </c>
    </row>
    <row r="4" spans="1:21" x14ac:dyDescent="0.3">
      <c r="A4" s="263" t="s">
        <v>54</v>
      </c>
      <c r="B4" s="91">
        <v>2.2000000000000002</v>
      </c>
      <c r="C4" s="91">
        <v>757737.2</v>
      </c>
      <c r="D4" s="91">
        <v>757737.2</v>
      </c>
      <c r="E4" s="91">
        <f>+D4-C4</f>
        <v>0</v>
      </c>
      <c r="F4" s="91">
        <v>698522</v>
      </c>
      <c r="G4" s="91">
        <v>698522</v>
      </c>
      <c r="H4" s="91">
        <f>+G4-F4</f>
        <v>0</v>
      </c>
      <c r="I4" s="91">
        <v>769874.6</v>
      </c>
      <c r="J4" s="91">
        <v>769874.6</v>
      </c>
      <c r="K4" s="91">
        <f>+J4-I4</f>
        <v>0</v>
      </c>
      <c r="L4" s="91">
        <v>777779.19999999995</v>
      </c>
      <c r="M4" s="91">
        <v>777779.19999999995</v>
      </c>
      <c r="N4" s="265">
        <f>+M4-L4</f>
        <v>0</v>
      </c>
      <c r="O4" s="91">
        <v>774758.6</v>
      </c>
      <c r="P4" s="91">
        <v>774822.40000000002</v>
      </c>
      <c r="Q4" s="265">
        <f>+P4-O4</f>
        <v>63.800000000046566</v>
      </c>
      <c r="R4" s="91">
        <v>720086.4</v>
      </c>
      <c r="S4" s="91">
        <v>720669.4</v>
      </c>
      <c r="T4" s="265">
        <f>+S4-R4</f>
        <v>583</v>
      </c>
      <c r="U4" s="262">
        <f>+E4+H4+K4+N4+Q4+T4</f>
        <v>646.80000000004657</v>
      </c>
    </row>
    <row r="5" spans="1:21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82964.2</v>
      </c>
      <c r="K5" s="91">
        <f t="shared" ref="K5:K9" si="2">+J5-I5</f>
        <v>0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79324.3</v>
      </c>
      <c r="P5" s="91">
        <v>79328.7</v>
      </c>
      <c r="Q5" s="257">
        <f t="shared" ref="Q5:Q9" si="4">+P5-O5</f>
        <v>4.3999999999941792</v>
      </c>
      <c r="R5" s="91">
        <v>78222.100000000006</v>
      </c>
      <c r="S5" s="91">
        <v>78285.899999999994</v>
      </c>
      <c r="T5" s="257">
        <f t="shared" ref="T5:T9" si="5">+S5-R5</f>
        <v>63.799999999988358</v>
      </c>
      <c r="U5" s="262">
        <f t="shared" ref="U5:U9" si="6">+E5+H5+K5+N5+Q5+T5</f>
        <v>68.199999999982538</v>
      </c>
    </row>
    <row r="6" spans="1:21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1437.48</v>
      </c>
      <c r="Q6" s="257">
        <f t="shared" si="4"/>
        <v>0</v>
      </c>
      <c r="R6" s="91">
        <v>1243.44</v>
      </c>
      <c r="S6" s="91">
        <v>1244.32</v>
      </c>
      <c r="T6" s="257">
        <f t="shared" si="5"/>
        <v>0.87999999999988177</v>
      </c>
      <c r="U6" s="262">
        <f t="shared" si="6"/>
        <v>0.87999999999988177</v>
      </c>
    </row>
    <row r="7" spans="1:21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107462.39999999999</v>
      </c>
      <c r="G7" s="62">
        <v>107462.39999999999</v>
      </c>
      <c r="H7" s="91">
        <f t="shared" si="1"/>
        <v>0</v>
      </c>
      <c r="I7" s="62">
        <v>116988.8</v>
      </c>
      <c r="J7" s="62">
        <v>116988.8</v>
      </c>
      <c r="K7" s="91">
        <f t="shared" si="2"/>
        <v>0</v>
      </c>
      <c r="L7" s="91">
        <v>124934.39999999999</v>
      </c>
      <c r="M7" s="91">
        <v>124934.39999999999</v>
      </c>
      <c r="N7" s="257">
        <f t="shared" si="3"/>
        <v>0</v>
      </c>
      <c r="O7" s="91">
        <v>126758.39999999999</v>
      </c>
      <c r="P7" s="91">
        <v>126768</v>
      </c>
      <c r="Q7" s="257">
        <f t="shared" si="4"/>
        <v>9.6000000000058208</v>
      </c>
      <c r="R7" s="91">
        <v>122825.60000000001</v>
      </c>
      <c r="S7" s="91">
        <v>122976</v>
      </c>
      <c r="T7" s="257">
        <f t="shared" si="5"/>
        <v>150.39999999999418</v>
      </c>
      <c r="U7" s="262">
        <f t="shared" si="6"/>
        <v>160</v>
      </c>
    </row>
    <row r="8" spans="1:21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16808</v>
      </c>
      <c r="P8" s="91">
        <v>16814.400000000001</v>
      </c>
      <c r="Q8" s="257">
        <f t="shared" si="4"/>
        <v>6.4000000000014552</v>
      </c>
      <c r="R8" s="91">
        <v>16593.599999999999</v>
      </c>
      <c r="S8" s="91">
        <v>16616</v>
      </c>
      <c r="T8" s="257">
        <f t="shared" si="5"/>
        <v>22.400000000001455</v>
      </c>
      <c r="U8" s="262">
        <f t="shared" si="6"/>
        <v>28.80000000000291</v>
      </c>
    </row>
    <row r="9" spans="1:21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288.64</v>
      </c>
      <c r="S9" s="91">
        <v>288.64</v>
      </c>
      <c r="T9" s="259">
        <f t="shared" si="5"/>
        <v>0</v>
      </c>
      <c r="U9" s="262">
        <f t="shared" si="6"/>
        <v>0</v>
      </c>
    </row>
    <row r="10" spans="1:21" x14ac:dyDescent="0.3">
      <c r="A10" s="260" t="s">
        <v>151</v>
      </c>
      <c r="B10" s="261"/>
      <c r="C10" s="364">
        <f>+SUM(C4:C9)</f>
        <v>964339.79999999981</v>
      </c>
      <c r="D10" s="364">
        <f t="shared" ref="D10:U10" si="7">+SUM(D4:D9)</f>
        <v>964339.79999999981</v>
      </c>
      <c r="E10" s="364">
        <f t="shared" si="7"/>
        <v>0</v>
      </c>
      <c r="F10" s="364">
        <f t="shared" ref="F10" si="8">+SUM(F4:F9)</f>
        <v>891877.42000000016</v>
      </c>
      <c r="G10" s="364">
        <f t="shared" si="7"/>
        <v>891877.42000000016</v>
      </c>
      <c r="H10" s="364">
        <f t="shared" si="7"/>
        <v>0</v>
      </c>
      <c r="I10" s="364">
        <f t="shared" ref="I10" si="9">+SUM(I4:I9)</f>
        <v>985948.75999999989</v>
      </c>
      <c r="J10" s="364">
        <f t="shared" si="7"/>
        <v>985948.75999999989</v>
      </c>
      <c r="K10" s="364">
        <f t="shared" si="7"/>
        <v>0</v>
      </c>
      <c r="L10" s="364">
        <f t="shared" ref="L10" si="10">+SUM(L4:L9)</f>
        <v>1003188.96</v>
      </c>
      <c r="M10" s="364">
        <f t="shared" si="7"/>
        <v>1003188.96</v>
      </c>
      <c r="N10" s="364">
        <f t="shared" si="7"/>
        <v>0</v>
      </c>
      <c r="O10" s="364">
        <f t="shared" si="7"/>
        <v>999417.02</v>
      </c>
      <c r="P10" s="364">
        <f t="shared" ref="P10:Q10" si="11">+SUM(P4:P9)</f>
        <v>999501.22</v>
      </c>
      <c r="Q10" s="364">
        <f t="shared" si="11"/>
        <v>84.200000000048021</v>
      </c>
      <c r="R10" s="364">
        <f t="shared" ref="R10" si="12">+SUM(R4:R9)</f>
        <v>939259.77999999991</v>
      </c>
      <c r="S10" s="364">
        <f t="shared" ref="S10:T10" si="13">+SUM(S4:S9)</f>
        <v>940080.26</v>
      </c>
      <c r="T10" s="364">
        <f t="shared" si="13"/>
        <v>820.47999999998387</v>
      </c>
      <c r="U10" s="364">
        <f t="shared" si="7"/>
        <v>904.6800000000319</v>
      </c>
    </row>
    <row r="11" spans="1:21" x14ac:dyDescent="0.3">
      <c r="C11" s="102"/>
      <c r="F11" s="102"/>
      <c r="I11" s="102"/>
    </row>
    <row r="12" spans="1:21" x14ac:dyDescent="0.3">
      <c r="U12" s="366"/>
    </row>
    <row r="14" spans="1:21" x14ac:dyDescent="0.3">
      <c r="Q14" s="102"/>
      <c r="T14" s="102"/>
    </row>
  </sheetData>
  <mergeCells count="6">
    <mergeCell ref="R2:T2"/>
    <mergeCell ref="C2:E2"/>
    <mergeCell ref="F2:H2"/>
    <mergeCell ref="I2:K2"/>
    <mergeCell ref="L2:N2"/>
    <mergeCell ref="O2:Q2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Z74"/>
  <sheetViews>
    <sheetView zoomScaleNormal="100" workbookViewId="0">
      <pane xSplit="4" ySplit="5" topLeftCell="E36" activePane="bottomRight" state="frozen"/>
      <selection pane="topRight" activeCell="E1" sqref="E1"/>
      <selection pane="bottomLeft" activeCell="A6" sqref="A6"/>
      <selection pane="bottomRight" activeCell="C57" sqref="C57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3" style="1" customWidth="1"/>
    <col min="16" max="16" width="13" style="1" hidden="1" customWidth="1" outlineLevel="1"/>
    <col min="17" max="17" width="12.33203125" style="1" bestFit="1" customWidth="1" collapsed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1093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6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6" s="141" customFormat="1" ht="19.2" customHeight="1" x14ac:dyDescent="0.3">
      <c r="A2" s="40" t="s">
        <v>393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"/>
      <c r="R2" s="1"/>
      <c r="S2" s="1"/>
      <c r="T2" s="1"/>
      <c r="U2" s="1"/>
      <c r="V2" s="1"/>
      <c r="W2" s="2"/>
      <c r="X2" s="1"/>
      <c r="Z2" s="1"/>
    </row>
    <row r="3" spans="1:26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3"/>
      <c r="S3" s="1"/>
      <c r="T3" s="3"/>
      <c r="U3" s="1"/>
      <c r="V3" s="1"/>
      <c r="W3" s="2"/>
      <c r="X3" s="1"/>
      <c r="Z3" s="1"/>
    </row>
    <row r="4" spans="1:26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74" t="s">
        <v>387</v>
      </c>
      <c r="O4" s="586" t="s">
        <v>178</v>
      </c>
      <c r="P4" s="598"/>
      <c r="Q4" s="590" t="s">
        <v>43</v>
      </c>
      <c r="R4" s="590" t="s">
        <v>44</v>
      </c>
      <c r="S4" s="590" t="s">
        <v>41</v>
      </c>
      <c r="T4" s="590" t="s">
        <v>149</v>
      </c>
      <c r="U4" s="1"/>
      <c r="V4" s="61"/>
      <c r="W4" s="584" t="s">
        <v>148</v>
      </c>
      <c r="X4" s="1"/>
      <c r="Z4" s="1"/>
    </row>
    <row r="5" spans="1:26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378</v>
      </c>
      <c r="M5" s="575"/>
      <c r="N5" s="575"/>
      <c r="O5" s="587"/>
      <c r="P5" s="600"/>
      <c r="Q5" s="591"/>
      <c r="R5" s="592"/>
      <c r="S5" s="592"/>
      <c r="T5" s="592"/>
      <c r="U5" s="1"/>
      <c r="V5" s="87"/>
      <c r="W5" s="585"/>
      <c r="X5" s="1"/>
      <c r="Z5" s="1"/>
    </row>
    <row r="6" spans="1:26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T6" si="0">+E7+E19+E45</f>
        <v>102602.85616438357</v>
      </c>
      <c r="F6" s="82">
        <f t="shared" si="0"/>
        <v>3915931.8603652986</v>
      </c>
      <c r="G6" s="82">
        <f t="shared" si="0"/>
        <v>581863.59</v>
      </c>
      <c r="H6" s="82">
        <f t="shared" si="0"/>
        <v>85876.04589041094</v>
      </c>
      <c r="I6" s="82">
        <f t="shared" si="0"/>
        <v>756764.05</v>
      </c>
      <c r="J6" s="187">
        <f t="shared" si="0"/>
        <v>997215.1</v>
      </c>
      <c r="K6" s="187">
        <f t="shared" si="0"/>
        <v>867067.74</v>
      </c>
      <c r="L6" s="187">
        <f t="shared" si="0"/>
        <v>904.6800000000319</v>
      </c>
      <c r="M6" s="187">
        <f t="shared" si="0"/>
        <v>44687.48000000001</v>
      </c>
      <c r="N6" s="192">
        <f>+N7+N19+N45</f>
        <v>41342.686666666668</v>
      </c>
      <c r="O6" s="19">
        <f t="shared" si="0"/>
        <v>346494.26310791017</v>
      </c>
      <c r="P6" s="19">
        <f t="shared" si="0"/>
        <v>0</v>
      </c>
      <c r="Q6" s="42">
        <f t="shared" ref="Q6:Q11" si="1">+SUM(E6:P6)</f>
        <v>7740750.3521946697</v>
      </c>
      <c r="R6" s="42">
        <f t="shared" si="0"/>
        <v>7101605.8277015314</v>
      </c>
      <c r="S6" s="42">
        <f t="shared" si="0"/>
        <v>639144.52449313831</v>
      </c>
      <c r="T6" s="42">
        <f t="shared" si="0"/>
        <v>2311451.5323149734</v>
      </c>
      <c r="U6" s="71"/>
      <c r="V6" s="87"/>
      <c r="W6" s="135">
        <f>+W8+W19+W45</f>
        <v>3179050.1901382445</v>
      </c>
      <c r="X6" s="1"/>
      <c r="Z6" s="1"/>
    </row>
    <row r="7" spans="1:26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T7" si="2">+E8+E12</f>
        <v>40480.339999999997</v>
      </c>
      <c r="F7" s="82">
        <f t="shared" si="2"/>
        <v>1638678.0400000003</v>
      </c>
      <c r="G7" s="82">
        <f t="shared" si="2"/>
        <v>241096.63999999998</v>
      </c>
      <c r="H7" s="82">
        <f t="shared" si="2"/>
        <v>33933.96</v>
      </c>
      <c r="I7" s="82">
        <f t="shared" si="2"/>
        <v>756764.05</v>
      </c>
      <c r="J7" s="187">
        <f t="shared" si="2"/>
        <v>997215.1</v>
      </c>
      <c r="K7" s="187">
        <f t="shared" si="2"/>
        <v>867067.74</v>
      </c>
      <c r="L7" s="187">
        <f t="shared" si="2"/>
        <v>904.6800000000319</v>
      </c>
      <c r="M7" s="187">
        <f t="shared" si="2"/>
        <v>20364.040000000005</v>
      </c>
      <c r="N7" s="192">
        <f>+N8+N12</f>
        <v>34338.68</v>
      </c>
      <c r="O7" s="19">
        <f t="shared" si="2"/>
        <v>138421.26</v>
      </c>
      <c r="P7" s="19">
        <f t="shared" si="2"/>
        <v>0</v>
      </c>
      <c r="Q7" s="42">
        <f t="shared" si="1"/>
        <v>4769264.5299999993</v>
      </c>
      <c r="R7" s="42">
        <f t="shared" si="2"/>
        <v>4375472.0458715595</v>
      </c>
      <c r="S7" s="42">
        <f t="shared" si="2"/>
        <v>393792.48412844044</v>
      </c>
      <c r="T7" s="44">
        <f t="shared" si="2"/>
        <v>2229452</v>
      </c>
      <c r="U7" s="1"/>
      <c r="V7" s="61"/>
      <c r="W7" s="13"/>
      <c r="X7" s="1"/>
      <c r="Z7" s="1"/>
    </row>
    <row r="8" spans="1:26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756764.05</v>
      </c>
      <c r="J8" s="126">
        <f t="shared" si="3"/>
        <v>997215.1</v>
      </c>
      <c r="K8" s="79">
        <f t="shared" si="3"/>
        <v>0</v>
      </c>
      <c r="L8" s="79">
        <f t="shared" si="3"/>
        <v>0</v>
      </c>
      <c r="M8" s="79">
        <f t="shared" ref="M8:T8" si="4">+SUM(M9:M11)</f>
        <v>0</v>
      </c>
      <c r="N8" s="79">
        <f t="shared" si="4"/>
        <v>0</v>
      </c>
      <c r="O8" s="354">
        <f t="shared" si="4"/>
        <v>0</v>
      </c>
      <c r="P8" s="354">
        <f t="shared" si="4"/>
        <v>0</v>
      </c>
      <c r="Q8" s="43">
        <f t="shared" si="1"/>
        <v>1753979.15</v>
      </c>
      <c r="R8" s="43">
        <f t="shared" si="4"/>
        <v>1609155.1834862384</v>
      </c>
      <c r="S8" s="43">
        <f t="shared" si="4"/>
        <v>144823.96651376149</v>
      </c>
      <c r="T8" s="45">
        <f t="shared" si="4"/>
        <v>631100</v>
      </c>
      <c r="U8" s="71"/>
      <c r="V8" s="134"/>
      <c r="W8" s="105">
        <f>+SUM(W9:W18)</f>
        <v>1018006.87</v>
      </c>
      <c r="Y8" s="138"/>
    </row>
    <row r="9" spans="1:26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539378</v>
      </c>
      <c r="J9" s="127">
        <v>774067</v>
      </c>
      <c r="K9" s="36"/>
      <c r="L9" s="36"/>
      <c r="M9" s="36"/>
      <c r="N9" s="127"/>
      <c r="O9" s="36"/>
      <c r="P9" s="355"/>
      <c r="Q9" s="24">
        <f t="shared" si="1"/>
        <v>1313445</v>
      </c>
      <c r="R9" s="5">
        <f t="shared" ref="R9:R11" si="5">+Q9/1.09</f>
        <v>1204995.4128440367</v>
      </c>
      <c r="S9" s="5">
        <f t="shared" ref="S9:S11" si="6">+Q9-R9</f>
        <v>108449.58715596329</v>
      </c>
      <c r="T9" s="21">
        <f>Q9/D9</f>
        <v>375270</v>
      </c>
      <c r="U9" s="71"/>
      <c r="V9" s="61"/>
      <c r="W9" s="13"/>
      <c r="X9" s="2"/>
      <c r="Z9" s="1"/>
    </row>
    <row r="10" spans="1:26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214705.75</v>
      </c>
      <c r="J10" s="127">
        <v>221049.5</v>
      </c>
      <c r="K10" s="143"/>
      <c r="L10" s="143"/>
      <c r="M10" s="143"/>
      <c r="N10" s="127"/>
      <c r="O10" s="143"/>
      <c r="P10" s="350"/>
      <c r="Q10" s="24">
        <f t="shared" si="1"/>
        <v>435755.25</v>
      </c>
      <c r="R10" s="5">
        <f t="shared" si="5"/>
        <v>399775.45871559629</v>
      </c>
      <c r="S10" s="5">
        <f t="shared" si="6"/>
        <v>35979.791284403706</v>
      </c>
      <c r="T10" s="21">
        <f>Q10/D10</f>
        <v>249003</v>
      </c>
      <c r="U10" s="71"/>
      <c r="V10" s="61">
        <v>1.75</v>
      </c>
      <c r="W10" s="13">
        <f>+T10*V10</f>
        <v>435755.25</v>
      </c>
      <c r="X10" s="1"/>
      <c r="Z10" s="1"/>
    </row>
    <row r="11" spans="1:26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2680.3</v>
      </c>
      <c r="J11" s="144">
        <v>2098.6</v>
      </c>
      <c r="K11" s="144"/>
      <c r="L11" s="144"/>
      <c r="M11" s="144"/>
      <c r="N11" s="144"/>
      <c r="O11" s="144"/>
      <c r="P11" s="350"/>
      <c r="Q11" s="24">
        <f t="shared" si="1"/>
        <v>4778.8999999999996</v>
      </c>
      <c r="R11" s="243">
        <f t="shared" si="5"/>
        <v>4384.3119266055037</v>
      </c>
      <c r="S11" s="243">
        <f t="shared" si="6"/>
        <v>394.58807339449595</v>
      </c>
      <c r="T11" s="244">
        <f>Q11/D11</f>
        <v>6827</v>
      </c>
      <c r="U11" s="71"/>
      <c r="V11" s="107">
        <v>2.8</v>
      </c>
      <c r="W11" s="13">
        <f>+T11*V11</f>
        <v>19115.599999999999</v>
      </c>
      <c r="X11" s="2"/>
      <c r="Y11" s="138"/>
      <c r="Z11" s="2"/>
    </row>
    <row r="12" spans="1:26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29">
        <f t="shared" ref="E12:T12" si="8">+SUM(E13:E18)</f>
        <v>40480.339999999997</v>
      </c>
      <c r="F12" s="84">
        <f t="shared" si="8"/>
        <v>1638678.0400000003</v>
      </c>
      <c r="G12" s="84">
        <f t="shared" si="8"/>
        <v>241096.63999999998</v>
      </c>
      <c r="H12" s="84">
        <f t="shared" si="8"/>
        <v>33933.96</v>
      </c>
      <c r="I12" s="84">
        <f t="shared" si="8"/>
        <v>0</v>
      </c>
      <c r="J12" s="74">
        <f t="shared" si="8"/>
        <v>0</v>
      </c>
      <c r="K12" s="101">
        <f t="shared" si="8"/>
        <v>867067.74</v>
      </c>
      <c r="L12" s="101">
        <f t="shared" si="8"/>
        <v>904.6800000000319</v>
      </c>
      <c r="M12" s="101">
        <f t="shared" si="8"/>
        <v>20364.040000000005</v>
      </c>
      <c r="N12" s="101">
        <f t="shared" ref="N12" si="9">+SUM(N13:N18)</f>
        <v>34338.68</v>
      </c>
      <c r="O12" s="101">
        <f t="shared" si="8"/>
        <v>138421.26</v>
      </c>
      <c r="P12" s="101">
        <f t="shared" si="8"/>
        <v>0</v>
      </c>
      <c r="Q12" s="43">
        <f t="shared" ref="Q12" si="10">+SUM(Q13:Q18)</f>
        <v>3015285.38</v>
      </c>
      <c r="R12" s="43">
        <f t="shared" si="8"/>
        <v>2766316.8623853214</v>
      </c>
      <c r="S12" s="43">
        <f t="shared" si="8"/>
        <v>248968.51761467895</v>
      </c>
      <c r="T12" s="45">
        <f t="shared" si="8"/>
        <v>1598352</v>
      </c>
      <c r="U12" s="71"/>
      <c r="V12" s="61"/>
      <c r="W12" s="13"/>
      <c r="X12" s="1"/>
      <c r="Z12" s="1"/>
    </row>
    <row r="13" spans="1:26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33165</v>
      </c>
      <c r="F13" s="13">
        <v>1252411.6000000001</v>
      </c>
      <c r="G13" s="13">
        <v>178076.79999999999</v>
      </c>
      <c r="H13" s="13">
        <v>26690.400000000005</v>
      </c>
      <c r="I13" s="13"/>
      <c r="J13" s="33"/>
      <c r="K13" s="33">
        <v>665018.19999999995</v>
      </c>
      <c r="L13" s="305">
        <v>646.80000000004657</v>
      </c>
      <c r="M13" s="33">
        <v>13939.2</v>
      </c>
      <c r="N13" s="127">
        <v>29482.2</v>
      </c>
      <c r="O13" s="127">
        <f>122524.6-17.6</f>
        <v>122507</v>
      </c>
      <c r="P13" s="164"/>
      <c r="Q13" s="24">
        <f t="shared" ref="Q13:Q18" si="11">+SUM(E13:P13)</f>
        <v>2321937.2000000002</v>
      </c>
      <c r="R13" s="5">
        <f t="shared" ref="R13:R18" si="12">+Q13/1.09</f>
        <v>2130217.6146788993</v>
      </c>
      <c r="S13" s="5">
        <f t="shared" ref="S13:S18" si="13">+Q13-R13</f>
        <v>191719.58532110089</v>
      </c>
      <c r="T13" s="21">
        <f t="shared" ref="T13:T18" si="14">Q13/D13</f>
        <v>1055426</v>
      </c>
      <c r="U13" s="2"/>
      <c r="V13" s="61"/>
      <c r="W13" s="13"/>
    </row>
    <row r="14" spans="1:26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6618.7</v>
      </c>
      <c r="F14" s="13">
        <v>357381.2</v>
      </c>
      <c r="G14" s="13">
        <v>57695</v>
      </c>
      <c r="H14" s="13">
        <v>7006.9999999999982</v>
      </c>
      <c r="I14" s="13"/>
      <c r="J14" s="33"/>
      <c r="K14" s="33">
        <v>68990.899999999994</v>
      </c>
      <c r="L14" s="306">
        <v>68.199999999982538</v>
      </c>
      <c r="M14" s="33">
        <v>6021.4</v>
      </c>
      <c r="N14" s="127">
        <v>970.19999999999993</v>
      </c>
      <c r="O14" s="127">
        <v>8418.2999999999993</v>
      </c>
      <c r="P14" s="164"/>
      <c r="Q14" s="24">
        <f t="shared" si="11"/>
        <v>513170.9</v>
      </c>
      <c r="R14" s="5">
        <f t="shared" si="12"/>
        <v>470798.99082568806</v>
      </c>
      <c r="S14" s="5">
        <f t="shared" si="13"/>
        <v>42371.909174311964</v>
      </c>
      <c r="T14" s="21">
        <f t="shared" si="14"/>
        <v>466519</v>
      </c>
      <c r="U14" s="71"/>
      <c r="V14" s="107">
        <v>1.1000000000000001</v>
      </c>
      <c r="W14" s="13">
        <f t="shared" ref="W14:W15" si="15">+T14*V14</f>
        <v>513170.9</v>
      </c>
    </row>
    <row r="15" spans="1:26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70.400000000000006</v>
      </c>
      <c r="F15" s="13">
        <v>3992.12</v>
      </c>
      <c r="G15" s="13">
        <v>649</v>
      </c>
      <c r="H15" s="13">
        <v>66</v>
      </c>
      <c r="I15" s="13"/>
      <c r="J15" s="33"/>
      <c r="K15" s="33">
        <v>1178.32</v>
      </c>
      <c r="L15" s="306">
        <v>0.87999999999988177</v>
      </c>
      <c r="M15" s="33">
        <v>64.239999999999995</v>
      </c>
      <c r="N15" s="127">
        <v>207.24000000000004</v>
      </c>
      <c r="O15" s="127">
        <v>90.2</v>
      </c>
      <c r="P15" s="164"/>
      <c r="Q15" s="24">
        <f t="shared" si="11"/>
        <v>6318.4</v>
      </c>
      <c r="R15" s="5">
        <f t="shared" si="12"/>
        <v>5796.697247706421</v>
      </c>
      <c r="S15" s="5">
        <f t="shared" si="13"/>
        <v>521.70275229357867</v>
      </c>
      <c r="T15" s="21">
        <f t="shared" si="14"/>
        <v>14360</v>
      </c>
      <c r="U15" s="71"/>
      <c r="V15" s="61">
        <v>1.76</v>
      </c>
      <c r="W15" s="13">
        <f t="shared" si="15"/>
        <v>25273.599999999999</v>
      </c>
    </row>
    <row r="16" spans="1:26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505.6</v>
      </c>
      <c r="F16" s="13">
        <v>19936</v>
      </c>
      <c r="G16" s="13">
        <v>3628.8</v>
      </c>
      <c r="H16" s="13">
        <v>67.200000000000017</v>
      </c>
      <c r="I16" s="13"/>
      <c r="J16" s="33"/>
      <c r="K16" s="33">
        <v>115676.8</v>
      </c>
      <c r="L16" s="306">
        <v>160</v>
      </c>
      <c r="M16" s="33">
        <v>278.39999999999998</v>
      </c>
      <c r="N16" s="127">
        <v>3465.5999999999995</v>
      </c>
      <c r="O16" s="127">
        <v>6864</v>
      </c>
      <c r="P16" s="164"/>
      <c r="Q16" s="24">
        <f t="shared" si="11"/>
        <v>150582.39999999999</v>
      </c>
      <c r="R16" s="5">
        <f t="shared" si="12"/>
        <v>138148.99082568806</v>
      </c>
      <c r="S16" s="5">
        <f t="shared" si="13"/>
        <v>12433.409174311935</v>
      </c>
      <c r="T16" s="21">
        <f t="shared" si="14"/>
        <v>47056.999999999993</v>
      </c>
      <c r="U16" s="71"/>
      <c r="V16" s="61"/>
      <c r="W16" s="13"/>
    </row>
    <row r="17" spans="1:26" ht="15" x14ac:dyDescent="0.25">
      <c r="A17" s="58" t="s">
        <v>59</v>
      </c>
      <c r="B17" s="53" t="s">
        <v>193</v>
      </c>
      <c r="C17" s="59" t="s">
        <v>94</v>
      </c>
      <c r="D17" s="62">
        <v>1.6</v>
      </c>
      <c r="E17" s="130">
        <v>116.8</v>
      </c>
      <c r="F17" s="13">
        <v>4824</v>
      </c>
      <c r="G17" s="13">
        <v>1040</v>
      </c>
      <c r="H17" s="13">
        <v>100.80000000000001</v>
      </c>
      <c r="I17" s="13"/>
      <c r="J17" s="33"/>
      <c r="K17" s="33">
        <v>15948.8</v>
      </c>
      <c r="L17" s="306">
        <v>28.80000000000291</v>
      </c>
      <c r="M17" s="33">
        <v>54.4</v>
      </c>
      <c r="N17" s="127">
        <v>171.20000000000005</v>
      </c>
      <c r="O17" s="127">
        <v>520</v>
      </c>
      <c r="P17" s="164"/>
      <c r="Q17" s="24">
        <f t="shared" si="11"/>
        <v>22804.800000000007</v>
      </c>
      <c r="R17" s="5">
        <f t="shared" si="12"/>
        <v>20921.834862385327</v>
      </c>
      <c r="S17" s="5">
        <f t="shared" si="13"/>
        <v>1882.9651376146794</v>
      </c>
      <c r="T17" s="21">
        <f t="shared" si="14"/>
        <v>14253.000000000004</v>
      </c>
      <c r="U17" s="71"/>
      <c r="V17" s="107">
        <v>1.6</v>
      </c>
      <c r="W17" s="13">
        <f t="shared" ref="W17:W18" si="16">+T17*V17</f>
        <v>22804.800000000007</v>
      </c>
    </row>
    <row r="18" spans="1:26" ht="15" x14ac:dyDescent="0.25">
      <c r="A18" s="241" t="s">
        <v>60</v>
      </c>
      <c r="B18" s="53" t="s">
        <v>194</v>
      </c>
      <c r="C18" s="63" t="s">
        <v>95</v>
      </c>
      <c r="D18" s="63">
        <v>0.64</v>
      </c>
      <c r="E18" s="132">
        <v>3.84</v>
      </c>
      <c r="F18" s="14">
        <v>133.12</v>
      </c>
      <c r="G18" s="13">
        <v>7.04</v>
      </c>
      <c r="H18" s="14">
        <v>2.56</v>
      </c>
      <c r="I18" s="14"/>
      <c r="J18" s="76"/>
      <c r="K18" s="76">
        <v>254.72</v>
      </c>
      <c r="L18" s="307">
        <v>0</v>
      </c>
      <c r="M18" s="76">
        <v>6.4</v>
      </c>
      <c r="N18" s="127">
        <v>42.240000000000009</v>
      </c>
      <c r="O18" s="127">
        <v>21.76</v>
      </c>
      <c r="P18" s="164"/>
      <c r="Q18" s="24">
        <f t="shared" si="11"/>
        <v>471.67999999999995</v>
      </c>
      <c r="R18" s="5">
        <f t="shared" si="12"/>
        <v>432.73394495412839</v>
      </c>
      <c r="S18" s="5">
        <f t="shared" si="13"/>
        <v>38.94605504587156</v>
      </c>
      <c r="T18" s="22">
        <f t="shared" si="14"/>
        <v>736.99999999999989</v>
      </c>
      <c r="U18" s="71"/>
      <c r="V18" s="61">
        <v>2.56</v>
      </c>
      <c r="W18" s="13">
        <f t="shared" si="16"/>
        <v>1886.7199999999998</v>
      </c>
    </row>
    <row r="19" spans="1:26" ht="12" customHeight="1" x14ac:dyDescent="0.2">
      <c r="A19" s="70" t="s">
        <v>15</v>
      </c>
      <c r="B19" s="52" t="s">
        <v>33</v>
      </c>
      <c r="C19" s="9" t="s">
        <v>141</v>
      </c>
      <c r="D19" s="78"/>
      <c r="E19" s="118">
        <f>+SUM(E20:E44)</f>
        <v>57398.156164383574</v>
      </c>
      <c r="F19" s="118">
        <f t="shared" ref="F19:T19" si="17">+SUM(F20:F44)</f>
        <v>2088767.0803652983</v>
      </c>
      <c r="G19" s="118">
        <f t="shared" si="17"/>
        <v>312462.92</v>
      </c>
      <c r="H19" s="118">
        <f t="shared" si="17"/>
        <v>46153.695890410949</v>
      </c>
      <c r="I19" s="118">
        <f t="shared" si="17"/>
        <v>0</v>
      </c>
      <c r="J19" s="118">
        <f t="shared" si="17"/>
        <v>0</v>
      </c>
      <c r="K19" s="118">
        <f t="shared" si="17"/>
        <v>0</v>
      </c>
      <c r="L19" s="118">
        <f t="shared" si="17"/>
        <v>0</v>
      </c>
      <c r="M19" s="118">
        <f t="shared" si="17"/>
        <v>22641.25</v>
      </c>
      <c r="N19" s="231">
        <f t="shared" ref="N19" si="18">+SUM(N20:N44)</f>
        <v>5637.6666666666661</v>
      </c>
      <c r="O19" s="118">
        <f t="shared" si="17"/>
        <v>190113.57310791017</v>
      </c>
      <c r="P19" s="118">
        <f t="shared" si="17"/>
        <v>0</v>
      </c>
      <c r="Q19" s="42">
        <f>+SUM(Q20:Q44)</f>
        <v>2723174.3421946699</v>
      </c>
      <c r="R19" s="118">
        <f t="shared" si="17"/>
        <v>2498325.0845822659</v>
      </c>
      <c r="S19" s="118">
        <f t="shared" si="17"/>
        <v>224849.25761240424</v>
      </c>
      <c r="T19" s="253">
        <f t="shared" si="17"/>
        <v>45538.932314973456</v>
      </c>
      <c r="U19" s="71"/>
      <c r="V19" s="61"/>
      <c r="W19" s="105">
        <f>+SUM(W20:W43)</f>
        <v>1808501.2001382445</v>
      </c>
    </row>
    <row r="20" spans="1:26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38306.666666666672</v>
      </c>
      <c r="F20" s="92">
        <v>1295530.0000000023</v>
      </c>
      <c r="G20" s="92">
        <v>188906.67</v>
      </c>
      <c r="H20" s="92">
        <v>27809.999999999996</v>
      </c>
      <c r="I20" s="23"/>
      <c r="J20" s="34"/>
      <c r="K20" s="34"/>
      <c r="L20" s="34"/>
      <c r="M20" s="34">
        <v>14460</v>
      </c>
      <c r="N20" s="127">
        <v>3540</v>
      </c>
      <c r="O20" s="367">
        <v>108013.33623840332</v>
      </c>
      <c r="P20" s="356"/>
      <c r="Q20" s="24">
        <f t="shared" ref="Q20:Q44" si="19">+SUM(E20:P20)</f>
        <v>1676566.6729050723</v>
      </c>
      <c r="R20" s="99">
        <f t="shared" ref="R20:R44" si="20">+Q20/1.09</f>
        <v>1538134.5622982313</v>
      </c>
      <c r="S20" s="24">
        <f>+Q20-R20</f>
        <v>138432.11060684104</v>
      </c>
      <c r="T20" s="94">
        <f t="shared" ref="T20:T43" si="21">Q20/D20</f>
        <v>16765.666729050725</v>
      </c>
      <c r="U20" s="41"/>
      <c r="V20" s="61"/>
      <c r="W20" s="106"/>
      <c r="X20"/>
      <c r="Y20" s="142"/>
      <c r="Z20"/>
    </row>
    <row r="21" spans="1:26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7196.6666666666679</v>
      </c>
      <c r="F21" s="48">
        <v>382496.66666666634</v>
      </c>
      <c r="G21" s="48">
        <v>54361.67</v>
      </c>
      <c r="H21" s="48">
        <v>8873.3333333333358</v>
      </c>
      <c r="I21" s="13"/>
      <c r="J21" s="33"/>
      <c r="K21" s="33"/>
      <c r="L21" s="33"/>
      <c r="M21" s="33">
        <v>5091.67</v>
      </c>
      <c r="N21" s="127">
        <v>209.99999999999997</v>
      </c>
      <c r="O21" s="36">
        <v>5821.6668167114258</v>
      </c>
      <c r="P21" s="357"/>
      <c r="Q21" s="24">
        <f t="shared" si="19"/>
        <v>464051.67348337773</v>
      </c>
      <c r="R21" s="5">
        <f t="shared" si="20"/>
        <v>425735.48025997955</v>
      </c>
      <c r="S21" s="5">
        <f t="shared" ref="S21:S44" si="22">+Q21-R21</f>
        <v>38316.193223398179</v>
      </c>
      <c r="T21" s="21">
        <f t="shared" si="21"/>
        <v>9281.0334696675545</v>
      </c>
      <c r="U21" s="41"/>
      <c r="V21" s="61">
        <v>50</v>
      </c>
      <c r="W21" s="13">
        <f t="shared" ref="W21:W22" si="23">+T21*V21</f>
        <v>464051.67348337773</v>
      </c>
      <c r="Y21" s="142"/>
    </row>
    <row r="22" spans="1:26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6674</v>
      </c>
      <c r="F22" s="95">
        <v>245347.33</v>
      </c>
      <c r="G22" s="95">
        <v>42255.33</v>
      </c>
      <c r="H22" s="95">
        <v>3606</v>
      </c>
      <c r="I22" s="13"/>
      <c r="J22" s="33"/>
      <c r="K22" s="33"/>
      <c r="L22" s="33"/>
      <c r="M22" s="33">
        <f>197.33+1658</f>
        <v>1855.33</v>
      </c>
      <c r="N22" s="127">
        <v>1307.3333333333333</v>
      </c>
      <c r="O22" s="36">
        <v>28732</v>
      </c>
      <c r="P22" s="357"/>
      <c r="Q22" s="24">
        <f t="shared" si="19"/>
        <v>329777.3233333333</v>
      </c>
      <c r="R22" s="5">
        <f t="shared" si="20"/>
        <v>302548.0030581039</v>
      </c>
      <c r="S22" s="5">
        <f t="shared" si="22"/>
        <v>27229.320275229402</v>
      </c>
      <c r="T22" s="21">
        <f t="shared" si="21"/>
        <v>16488.866166666667</v>
      </c>
      <c r="U22" s="41"/>
      <c r="V22" s="61">
        <v>80</v>
      </c>
      <c r="W22" s="13">
        <f t="shared" si="23"/>
        <v>1319109.2933333335</v>
      </c>
      <c r="X22" s="112"/>
      <c r="Y22" s="142"/>
    </row>
    <row r="23" spans="1:26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4932</v>
      </c>
      <c r="F23" s="95">
        <v>153420</v>
      </c>
      <c r="G23" s="95">
        <v>25266</v>
      </c>
      <c r="H23" s="95">
        <v>5199</v>
      </c>
      <c r="I23" s="13"/>
      <c r="J23" s="33"/>
      <c r="K23" s="33"/>
      <c r="L23" s="33"/>
      <c r="M23" s="33">
        <v>1134</v>
      </c>
      <c r="N23" s="127">
        <v>567</v>
      </c>
      <c r="O23" s="33">
        <v>42363</v>
      </c>
      <c r="P23" s="357"/>
      <c r="Q23" s="24">
        <f t="shared" si="19"/>
        <v>232881</v>
      </c>
      <c r="R23" s="5">
        <f t="shared" si="20"/>
        <v>213652.29357798165</v>
      </c>
      <c r="S23" s="5">
        <f t="shared" si="22"/>
        <v>19228.706422018353</v>
      </c>
      <c r="T23" s="21">
        <f t="shared" si="21"/>
        <v>2587.5666666666666</v>
      </c>
      <c r="U23" s="41"/>
      <c r="V23" s="61"/>
      <c r="W23" s="13"/>
      <c r="Y23" s="142"/>
    </row>
    <row r="24" spans="1:26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213</v>
      </c>
      <c r="F24" s="95">
        <v>8826</v>
      </c>
      <c r="G24" s="95">
        <v>1356</v>
      </c>
      <c r="H24" s="95">
        <v>501</v>
      </c>
      <c r="I24" s="13"/>
      <c r="J24" s="33"/>
      <c r="K24" s="33"/>
      <c r="L24" s="33"/>
      <c r="M24" s="33">
        <v>22.5</v>
      </c>
      <c r="N24" s="127">
        <v>0</v>
      </c>
      <c r="O24" s="33">
        <v>1348.5</v>
      </c>
      <c r="P24" s="357"/>
      <c r="Q24" s="24">
        <f t="shared" si="19"/>
        <v>12267</v>
      </c>
      <c r="R24" s="5">
        <f t="shared" si="20"/>
        <v>11254.128440366972</v>
      </c>
      <c r="S24" s="5">
        <f t="shared" si="22"/>
        <v>1012.8715596330276</v>
      </c>
      <c r="T24" s="21">
        <f t="shared" si="21"/>
        <v>272.60000000000002</v>
      </c>
      <c r="U24" s="35"/>
      <c r="V24" s="61">
        <v>45</v>
      </c>
      <c r="W24" s="13">
        <f t="shared" ref="W24:W25" si="24">+T24*V24</f>
        <v>12267.000000000002</v>
      </c>
      <c r="Y24" s="142"/>
    </row>
    <row r="25" spans="1:26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52.8</v>
      </c>
      <c r="F25" s="95">
        <v>902.4</v>
      </c>
      <c r="G25" s="95">
        <v>118.8</v>
      </c>
      <c r="H25" s="95">
        <v>0.60000000000000142</v>
      </c>
      <c r="I25" s="13"/>
      <c r="J25" s="33"/>
      <c r="K25" s="33"/>
      <c r="L25" s="33"/>
      <c r="M25" s="33">
        <v>22.8</v>
      </c>
      <c r="N25" s="127">
        <v>0</v>
      </c>
      <c r="O25" s="33">
        <v>344.4</v>
      </c>
      <c r="P25" s="357"/>
      <c r="Q25" s="24">
        <f t="shared" si="19"/>
        <v>1441.7999999999997</v>
      </c>
      <c r="R25" s="5">
        <f t="shared" si="20"/>
        <v>1322.7522935779814</v>
      </c>
      <c r="S25" s="5">
        <f t="shared" si="22"/>
        <v>119.04770642201834</v>
      </c>
      <c r="T25" s="21">
        <f t="shared" si="21"/>
        <v>80.09999999999998</v>
      </c>
      <c r="U25" s="35"/>
      <c r="V25" s="61">
        <v>72</v>
      </c>
      <c r="W25" s="13">
        <f t="shared" si="24"/>
        <v>5767.1999999999989</v>
      </c>
      <c r="Y25" s="142"/>
    </row>
    <row r="26" spans="1:26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/>
      <c r="F26" s="95">
        <v>503.33333333333337</v>
      </c>
      <c r="G26" s="95">
        <v>0</v>
      </c>
      <c r="H26" s="95"/>
      <c r="I26" s="13"/>
      <c r="J26" s="33"/>
      <c r="K26" s="33"/>
      <c r="L26" s="33"/>
      <c r="M26" s="33">
        <v>53.33</v>
      </c>
      <c r="N26" s="127">
        <v>0</v>
      </c>
      <c r="O26" s="33">
        <v>1136.66671875</v>
      </c>
      <c r="P26" s="357"/>
      <c r="Q26" s="24">
        <f t="shared" si="19"/>
        <v>1693.3300520833334</v>
      </c>
      <c r="R26" s="5">
        <f t="shared" si="20"/>
        <v>1553.5138092507646</v>
      </c>
      <c r="S26" s="5">
        <f t="shared" si="22"/>
        <v>139.81624283256883</v>
      </c>
      <c r="T26" s="21">
        <f t="shared" si="21"/>
        <v>5.6444335069444449</v>
      </c>
      <c r="U26" s="35"/>
      <c r="V26" s="61"/>
      <c r="W26" s="13"/>
      <c r="Y26" s="142"/>
    </row>
    <row r="27" spans="1:26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691.66666666666674</v>
      </c>
      <c r="G27" s="95">
        <v>6.67</v>
      </c>
      <c r="H27" s="95"/>
      <c r="I27" s="13"/>
      <c r="J27" s="33"/>
      <c r="K27" s="33"/>
      <c r="L27" s="33"/>
      <c r="M27" s="33"/>
      <c r="N27" s="127">
        <v>0</v>
      </c>
      <c r="O27" s="33">
        <v>105.0000048828125</v>
      </c>
      <c r="P27" s="357"/>
      <c r="Q27" s="24">
        <f t="shared" si="19"/>
        <v>803.33667154947921</v>
      </c>
      <c r="R27" s="5">
        <f t="shared" si="20"/>
        <v>737.00612068759551</v>
      </c>
      <c r="S27" s="5">
        <f t="shared" si="22"/>
        <v>66.330550861883694</v>
      </c>
      <c r="T27" s="21">
        <f t="shared" si="21"/>
        <v>5.3555778103298612</v>
      </c>
      <c r="U27" s="35"/>
      <c r="V27" s="61">
        <v>150</v>
      </c>
      <c r="W27" s="13">
        <f t="shared" ref="W27:W43" si="25">+T27*V27</f>
        <v>803.33667154947921</v>
      </c>
      <c r="Y27" s="142"/>
    </row>
    <row r="28" spans="1:26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20.666666666666671</v>
      </c>
      <c r="F28" s="95">
        <v>700</v>
      </c>
      <c r="G28" s="95">
        <v>91.33</v>
      </c>
      <c r="H28" s="95">
        <v>20</v>
      </c>
      <c r="I28" s="13"/>
      <c r="J28" s="33"/>
      <c r="K28" s="33"/>
      <c r="L28" s="33"/>
      <c r="M28" s="33"/>
      <c r="N28" s="127">
        <v>13.333333333333336</v>
      </c>
      <c r="O28" s="33">
        <v>570.66999999999996</v>
      </c>
      <c r="P28" s="357"/>
      <c r="Q28" s="24">
        <f t="shared" si="19"/>
        <v>1416</v>
      </c>
      <c r="R28" s="5">
        <f t="shared" si="20"/>
        <v>1299.0825688073394</v>
      </c>
      <c r="S28" s="5">
        <f t="shared" si="22"/>
        <v>116.91743119266062</v>
      </c>
      <c r="T28" s="21">
        <f t="shared" si="21"/>
        <v>23.6</v>
      </c>
      <c r="U28" s="35"/>
      <c r="V28" s="61">
        <v>240</v>
      </c>
      <c r="W28" s="13">
        <f t="shared" si="25"/>
        <v>5664</v>
      </c>
      <c r="Y28" s="142"/>
    </row>
    <row r="29" spans="1:26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33</v>
      </c>
      <c r="G29" s="95"/>
      <c r="H29" s="95">
        <v>96</v>
      </c>
      <c r="I29" s="13"/>
      <c r="J29" s="33"/>
      <c r="K29" s="33"/>
      <c r="L29" s="33"/>
      <c r="M29" s="33"/>
      <c r="N29" s="127">
        <v>0</v>
      </c>
      <c r="O29" s="33">
        <v>1398</v>
      </c>
      <c r="P29" s="357"/>
      <c r="Q29" s="24">
        <f t="shared" si="19"/>
        <v>1527</v>
      </c>
      <c r="R29" s="5">
        <f t="shared" si="20"/>
        <v>1400.9174311926604</v>
      </c>
      <c r="S29" s="5">
        <f t="shared" si="22"/>
        <v>126.08256880733961</v>
      </c>
      <c r="T29" s="21">
        <f t="shared" si="21"/>
        <v>5.6555555555555559</v>
      </c>
      <c r="U29" s="35"/>
      <c r="V29" s="61"/>
      <c r="W29" s="13"/>
      <c r="Y29" s="142"/>
    </row>
    <row r="30" spans="1:26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6</v>
      </c>
      <c r="G30" s="95"/>
      <c r="H30" s="95"/>
      <c r="I30" s="13"/>
      <c r="J30" s="33"/>
      <c r="K30" s="33"/>
      <c r="L30" s="33"/>
      <c r="M30" s="33"/>
      <c r="N30" s="127">
        <v>0</v>
      </c>
      <c r="O30" s="33"/>
      <c r="P30" s="357"/>
      <c r="Q30" s="24">
        <f t="shared" si="19"/>
        <v>6</v>
      </c>
      <c r="R30" s="5">
        <f t="shared" si="20"/>
        <v>5.5045871559633026</v>
      </c>
      <c r="S30" s="5">
        <f t="shared" si="22"/>
        <v>0.49541284403669739</v>
      </c>
      <c r="T30" s="21">
        <f t="shared" si="21"/>
        <v>4.4444444444444446E-2</v>
      </c>
      <c r="U30" s="35"/>
      <c r="V30" s="61">
        <v>135</v>
      </c>
      <c r="W30" s="13">
        <f t="shared" si="25"/>
        <v>6</v>
      </c>
      <c r="Y30" s="142"/>
    </row>
    <row r="31" spans="1:26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/>
      <c r="F31" s="95"/>
      <c r="G31" s="95"/>
      <c r="H31" s="95"/>
      <c r="I31" s="13"/>
      <c r="J31" s="33"/>
      <c r="K31" s="33"/>
      <c r="L31" s="33"/>
      <c r="M31" s="33"/>
      <c r="N31" s="127">
        <v>0</v>
      </c>
      <c r="O31" s="33">
        <v>6</v>
      </c>
      <c r="P31" s="357"/>
      <c r="Q31" s="24">
        <f t="shared" si="19"/>
        <v>6</v>
      </c>
      <c r="R31" s="5">
        <f t="shared" si="20"/>
        <v>5.5045871559633026</v>
      </c>
      <c r="S31" s="5">
        <f t="shared" si="22"/>
        <v>0.49541284403669739</v>
      </c>
      <c r="T31" s="21">
        <f t="shared" si="21"/>
        <v>0.1111111111111111</v>
      </c>
      <c r="U31" s="35"/>
      <c r="V31" s="61">
        <v>216</v>
      </c>
      <c r="W31" s="13">
        <f t="shared" si="25"/>
        <v>24</v>
      </c>
      <c r="Y31" s="142"/>
    </row>
    <row r="32" spans="1:26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93.333333333333314</v>
      </c>
      <c r="G32" s="95"/>
      <c r="H32" s="95"/>
      <c r="I32" s="13"/>
      <c r="J32" s="33"/>
      <c r="K32" s="33"/>
      <c r="L32" s="33"/>
      <c r="M32" s="33"/>
      <c r="N32" s="127">
        <v>0</v>
      </c>
      <c r="O32" s="33"/>
      <c r="P32" s="357"/>
      <c r="Q32" s="24">
        <f t="shared" si="19"/>
        <v>93.333333333333314</v>
      </c>
      <c r="R32" s="5">
        <f t="shared" si="20"/>
        <v>85.626911314984682</v>
      </c>
      <c r="S32" s="5">
        <f t="shared" si="22"/>
        <v>7.7064220183486327</v>
      </c>
      <c r="T32" s="21">
        <f t="shared" si="21"/>
        <v>0.15555555555555553</v>
      </c>
      <c r="U32" s="35"/>
      <c r="V32" s="61"/>
      <c r="W32" s="13"/>
      <c r="Y32" s="142"/>
    </row>
    <row r="33" spans="1:26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18.333333333333332</v>
      </c>
      <c r="G33" s="95">
        <v>51.67</v>
      </c>
      <c r="H33" s="95"/>
      <c r="I33" s="13"/>
      <c r="J33" s="33"/>
      <c r="K33" s="33"/>
      <c r="L33" s="33"/>
      <c r="M33" s="33"/>
      <c r="N33" s="127">
        <v>0</v>
      </c>
      <c r="O33" s="33"/>
      <c r="P33" s="357"/>
      <c r="Q33" s="24">
        <f t="shared" si="19"/>
        <v>70.00333333333333</v>
      </c>
      <c r="R33" s="5">
        <f t="shared" si="20"/>
        <v>64.223241590214059</v>
      </c>
      <c r="S33" s="5">
        <f t="shared" si="22"/>
        <v>5.7800917431192715</v>
      </c>
      <c r="T33" s="21">
        <f t="shared" si="21"/>
        <v>0.23334444444444444</v>
      </c>
      <c r="U33" s="35"/>
      <c r="V33" s="61">
        <v>300</v>
      </c>
      <c r="W33" s="13">
        <f t="shared" si="25"/>
        <v>70.00333333333333</v>
      </c>
      <c r="Y33" s="142"/>
    </row>
    <row r="34" spans="1:26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/>
      <c r="F34" s="95">
        <v>20.67</v>
      </c>
      <c r="G34" s="95">
        <v>20.67</v>
      </c>
      <c r="H34" s="95"/>
      <c r="I34" s="13"/>
      <c r="J34" s="33"/>
      <c r="K34" s="33"/>
      <c r="L34" s="33"/>
      <c r="M34" s="33"/>
      <c r="N34" s="127">
        <v>0</v>
      </c>
      <c r="O34" s="33">
        <v>81.999996032714847</v>
      </c>
      <c r="P34" s="357"/>
      <c r="Q34" s="24">
        <f t="shared" si="19"/>
        <v>123.33999603271485</v>
      </c>
      <c r="R34" s="5">
        <f t="shared" si="20"/>
        <v>113.15595966304114</v>
      </c>
      <c r="S34" s="5">
        <f t="shared" si="22"/>
        <v>10.184036369673706</v>
      </c>
      <c r="T34" s="21">
        <f t="shared" si="21"/>
        <v>1.0278333002726237</v>
      </c>
      <c r="U34" s="35"/>
      <c r="V34" s="61">
        <v>480</v>
      </c>
      <c r="W34" s="13">
        <f t="shared" si="25"/>
        <v>493.35998413085935</v>
      </c>
      <c r="Y34" s="142"/>
    </row>
    <row r="35" spans="1:26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127">
        <v>0</v>
      </c>
      <c r="O35" s="33">
        <v>138</v>
      </c>
      <c r="P35" s="357"/>
      <c r="Q35" s="24">
        <f t="shared" si="19"/>
        <v>138</v>
      </c>
      <c r="R35" s="5">
        <f t="shared" si="20"/>
        <v>126.60550458715595</v>
      </c>
      <c r="S35" s="5">
        <f t="shared" si="22"/>
        <v>11.394495412844051</v>
      </c>
      <c r="T35" s="21">
        <f t="shared" si="21"/>
        <v>0.25555555555555554</v>
      </c>
      <c r="U35" s="35"/>
      <c r="V35" s="61"/>
      <c r="W35" s="13"/>
      <c r="Y35" s="142"/>
    </row>
    <row r="36" spans="1:26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127">
        <v>0</v>
      </c>
      <c r="O36" s="33"/>
      <c r="P36" s="357"/>
      <c r="Q36" s="24">
        <f t="shared" si="19"/>
        <v>0</v>
      </c>
      <c r="R36" s="5">
        <f t="shared" si="20"/>
        <v>0</v>
      </c>
      <c r="S36" s="5">
        <f t="shared" si="22"/>
        <v>0</v>
      </c>
      <c r="T36" s="21">
        <f t="shared" si="21"/>
        <v>0</v>
      </c>
      <c r="U36" s="35"/>
      <c r="V36" s="61">
        <v>270</v>
      </c>
      <c r="W36" s="13">
        <f t="shared" si="25"/>
        <v>0</v>
      </c>
      <c r="Y36" s="142"/>
    </row>
    <row r="37" spans="1:26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/>
      <c r="I37" s="13"/>
      <c r="J37" s="33"/>
      <c r="K37" s="33"/>
      <c r="L37" s="33"/>
      <c r="M37" s="33"/>
      <c r="N37" s="127">
        <v>0</v>
      </c>
      <c r="O37" s="33"/>
      <c r="P37" s="357"/>
      <c r="Q37" s="24">
        <f t="shared" si="19"/>
        <v>0</v>
      </c>
      <c r="R37" s="5">
        <f t="shared" si="20"/>
        <v>0</v>
      </c>
      <c r="S37" s="5">
        <f t="shared" si="22"/>
        <v>0</v>
      </c>
      <c r="T37" s="21">
        <f t="shared" si="21"/>
        <v>0</v>
      </c>
      <c r="U37" s="35"/>
      <c r="V37" s="61">
        <v>432</v>
      </c>
      <c r="W37" s="13">
        <f t="shared" si="25"/>
        <v>0</v>
      </c>
      <c r="Y37" s="142"/>
    </row>
    <row r="38" spans="1:26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/>
      <c r="I38" s="13"/>
      <c r="J38" s="33"/>
      <c r="K38" s="33"/>
      <c r="L38" s="33"/>
      <c r="M38" s="33"/>
      <c r="N38" s="127">
        <v>0</v>
      </c>
      <c r="O38" s="33"/>
      <c r="P38" s="357"/>
      <c r="Q38" s="24">
        <f t="shared" si="19"/>
        <v>0</v>
      </c>
      <c r="R38" s="5">
        <f t="shared" si="20"/>
        <v>0</v>
      </c>
      <c r="S38" s="5">
        <f t="shared" si="22"/>
        <v>0</v>
      </c>
      <c r="T38" s="21">
        <f t="shared" si="21"/>
        <v>0</v>
      </c>
      <c r="U38" s="35"/>
      <c r="V38" s="61"/>
      <c r="W38" s="13"/>
      <c r="Y38" s="142"/>
    </row>
    <row r="39" spans="1:26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/>
      <c r="G39" s="95"/>
      <c r="H39" s="95"/>
      <c r="I39" s="13"/>
      <c r="J39" s="33"/>
      <c r="K39" s="33"/>
      <c r="L39" s="33"/>
      <c r="M39" s="33"/>
      <c r="N39" s="127">
        <v>0</v>
      </c>
      <c r="O39" s="33"/>
      <c r="P39" s="357"/>
      <c r="Q39" s="24">
        <f t="shared" si="19"/>
        <v>0</v>
      </c>
      <c r="R39" s="5">
        <f t="shared" si="20"/>
        <v>0</v>
      </c>
      <c r="S39" s="5">
        <f t="shared" si="22"/>
        <v>0</v>
      </c>
      <c r="T39" s="21">
        <f t="shared" si="21"/>
        <v>0</v>
      </c>
      <c r="U39" s="35"/>
      <c r="V39" s="61">
        <v>450</v>
      </c>
      <c r="W39" s="13">
        <f t="shared" si="25"/>
        <v>0</v>
      </c>
      <c r="Y39" s="142"/>
    </row>
    <row r="40" spans="1:26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250">
        <v>41.333333333333343</v>
      </c>
      <c r="G40" s="95"/>
      <c r="H40" s="95">
        <v>10.666666666666686</v>
      </c>
      <c r="I40" s="13"/>
      <c r="J40" s="33"/>
      <c r="K40" s="33"/>
      <c r="L40" s="33"/>
      <c r="M40" s="33"/>
      <c r="N40" s="127">
        <v>0</v>
      </c>
      <c r="O40" s="33">
        <v>9.3333331298828117</v>
      </c>
      <c r="P40" s="357"/>
      <c r="Q40" s="24">
        <f t="shared" si="19"/>
        <v>61.333333129882838</v>
      </c>
      <c r="R40" s="5">
        <f t="shared" si="20"/>
        <v>56.269112963195262</v>
      </c>
      <c r="S40" s="5">
        <f t="shared" si="22"/>
        <v>5.0642201666875764</v>
      </c>
      <c r="T40" s="21">
        <f t="shared" si="21"/>
        <v>0.3407407396104602</v>
      </c>
      <c r="U40" s="35"/>
      <c r="V40" s="61">
        <v>720</v>
      </c>
      <c r="W40" s="13">
        <f t="shared" si="25"/>
        <v>245.33333251953135</v>
      </c>
      <c r="Y40" s="142"/>
    </row>
    <row r="41" spans="1:26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127">
        <v>0</v>
      </c>
      <c r="O41" s="33">
        <v>45</v>
      </c>
      <c r="P41" s="357"/>
      <c r="Q41" s="24">
        <f t="shared" si="19"/>
        <v>45</v>
      </c>
      <c r="R41" s="5">
        <f t="shared" si="20"/>
        <v>41.284403669724767</v>
      </c>
      <c r="S41" s="5">
        <f t="shared" si="22"/>
        <v>3.7155963302752326</v>
      </c>
      <c r="T41" s="21">
        <f t="shared" si="21"/>
        <v>5.5555555555555552E-2</v>
      </c>
      <c r="U41" s="71"/>
      <c r="V41" s="61"/>
      <c r="W41" s="13"/>
      <c r="Y41" s="142"/>
    </row>
    <row r="42" spans="1:26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127">
        <v>0</v>
      </c>
      <c r="O42" s="33"/>
      <c r="P42" s="357"/>
      <c r="Q42" s="24">
        <f t="shared" si="19"/>
        <v>0</v>
      </c>
      <c r="R42" s="5">
        <f t="shared" si="20"/>
        <v>0</v>
      </c>
      <c r="S42" s="5">
        <f t="shared" si="22"/>
        <v>0</v>
      </c>
      <c r="T42" s="21">
        <f t="shared" si="21"/>
        <v>0</v>
      </c>
      <c r="U42" s="71"/>
      <c r="V42" s="61">
        <v>405</v>
      </c>
      <c r="W42" s="13">
        <f t="shared" si="25"/>
        <v>0</v>
      </c>
      <c r="Y42" s="142"/>
    </row>
    <row r="43" spans="1:26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21">
        <v>0</v>
      </c>
      <c r="O43" s="239"/>
      <c r="P43" s="358"/>
      <c r="Q43" s="24">
        <f t="shared" si="19"/>
        <v>0</v>
      </c>
      <c r="R43" s="26">
        <f t="shared" si="20"/>
        <v>0</v>
      </c>
      <c r="S43" s="26">
        <f t="shared" si="22"/>
        <v>0</v>
      </c>
      <c r="T43" s="39">
        <f t="shared" si="21"/>
        <v>0</v>
      </c>
      <c r="U43" s="71"/>
      <c r="V43" s="61">
        <v>648</v>
      </c>
      <c r="W43" s="13">
        <f t="shared" si="25"/>
        <v>0</v>
      </c>
      <c r="Y43" s="142"/>
    </row>
    <row r="44" spans="1:26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2.3561643835616435</v>
      </c>
      <c r="F44" s="124">
        <v>137.01369863013696</v>
      </c>
      <c r="G44" s="124">
        <v>28.11</v>
      </c>
      <c r="H44" s="124">
        <v>37.095890410958873</v>
      </c>
      <c r="I44" s="124"/>
      <c r="J44" s="124"/>
      <c r="K44" s="124"/>
      <c r="L44" s="124"/>
      <c r="M44" s="124">
        <v>1.62</v>
      </c>
      <c r="N44" s="124">
        <v>0</v>
      </c>
      <c r="O44" s="124"/>
      <c r="P44" s="352"/>
      <c r="Q44" s="24">
        <f t="shared" si="19"/>
        <v>206.19575342465748</v>
      </c>
      <c r="R44" s="124">
        <f t="shared" si="20"/>
        <v>189.17041598592428</v>
      </c>
      <c r="S44" s="6">
        <f t="shared" si="22"/>
        <v>17.025337438733203</v>
      </c>
      <c r="T44" s="22">
        <f>+Q44/D44</f>
        <v>20.619575342465748</v>
      </c>
      <c r="U44" s="71"/>
      <c r="V44" s="61"/>
      <c r="W44" s="13"/>
      <c r="X44" s="2"/>
      <c r="Y44" s="1"/>
    </row>
    <row r="45" spans="1:26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4724.3600000000006</v>
      </c>
      <c r="F45" s="82">
        <f>+SUM(F46:F54)</f>
        <v>188486.74</v>
      </c>
      <c r="G45" s="82">
        <f>+SUM(G46:G54)</f>
        <v>28304.030000000002</v>
      </c>
      <c r="H45" s="82">
        <f>+SUM(H46:H54)</f>
        <v>5788.3899999999994</v>
      </c>
      <c r="I45" s="82">
        <f t="shared" ref="I45:T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1682.19</v>
      </c>
      <c r="N45" s="100">
        <f t="shared" si="26"/>
        <v>1366.3400000000004</v>
      </c>
      <c r="O45" s="100">
        <f t="shared" si="26"/>
        <v>17959.43</v>
      </c>
      <c r="P45" s="100">
        <f t="shared" si="26"/>
        <v>0</v>
      </c>
      <c r="Q45" s="42">
        <f>+SUM(Q46:Q54)</f>
        <v>248311.48</v>
      </c>
      <c r="R45" s="82">
        <f t="shared" si="26"/>
        <v>227808.69724770638</v>
      </c>
      <c r="S45" s="82">
        <f t="shared" si="26"/>
        <v>20502.782752293602</v>
      </c>
      <c r="T45" s="19">
        <f t="shared" si="26"/>
        <v>36460.6</v>
      </c>
      <c r="U45" s="71"/>
      <c r="V45" s="61"/>
      <c r="W45" s="105">
        <f>+SUM(W46:W69)</f>
        <v>352542.11999999994</v>
      </c>
    </row>
    <row r="46" spans="1:26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756</v>
      </c>
      <c r="F46" s="92">
        <v>21180</v>
      </c>
      <c r="G46" s="28">
        <v>3324</v>
      </c>
      <c r="H46" s="347">
        <v>540</v>
      </c>
      <c r="I46" s="83"/>
      <c r="J46" s="75"/>
      <c r="K46" s="75"/>
      <c r="L46" s="75"/>
      <c r="M46" s="75">
        <v>228</v>
      </c>
      <c r="N46" s="127">
        <v>312</v>
      </c>
      <c r="O46" s="75">
        <v>1788</v>
      </c>
      <c r="P46" s="356"/>
      <c r="Q46" s="24">
        <f t="shared" ref="Q46:Q54" si="27">+SUM(E46:P46)</f>
        <v>28128</v>
      </c>
      <c r="R46" s="99">
        <f t="shared" ref="R46:R54" si="28">+Q46/1.09</f>
        <v>25805.50458715596</v>
      </c>
      <c r="S46" s="64">
        <f t="shared" ref="S46:S54" si="29">+Q46-R46</f>
        <v>2322.4954128440404</v>
      </c>
      <c r="T46" s="85">
        <f t="shared" ref="T46:T54" si="30">Q46/D46</f>
        <v>2344</v>
      </c>
      <c r="U46" s="71"/>
      <c r="V46" s="61"/>
      <c r="W46" s="13"/>
      <c r="X46"/>
      <c r="Y46" s="142"/>
      <c r="Z46"/>
    </row>
    <row r="47" spans="1:26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156</v>
      </c>
      <c r="F47" s="48">
        <v>2160</v>
      </c>
      <c r="G47" s="17">
        <v>348</v>
      </c>
      <c r="H47" s="347">
        <v>24</v>
      </c>
      <c r="I47" s="13"/>
      <c r="J47" s="33"/>
      <c r="K47" s="33"/>
      <c r="L47" s="33"/>
      <c r="M47" s="33">
        <v>24</v>
      </c>
      <c r="N47" s="127">
        <v>24</v>
      </c>
      <c r="O47" s="33">
        <v>270</v>
      </c>
      <c r="P47" s="357"/>
      <c r="Q47" s="24">
        <f t="shared" si="27"/>
        <v>3006</v>
      </c>
      <c r="R47" s="5">
        <f t="shared" si="28"/>
        <v>2757.7981651376144</v>
      </c>
      <c r="S47" s="5">
        <f t="shared" si="29"/>
        <v>248.20183486238557</v>
      </c>
      <c r="T47" s="31">
        <f t="shared" si="30"/>
        <v>501</v>
      </c>
      <c r="U47" s="71"/>
      <c r="V47" s="61">
        <v>6</v>
      </c>
      <c r="W47" s="13">
        <f t="shared" ref="W47:W48" si="31">+T47*V47</f>
        <v>3006</v>
      </c>
      <c r="Y47" s="142"/>
    </row>
    <row r="48" spans="1:26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1068</v>
      </c>
      <c r="F48" s="95">
        <v>45734.400000000001</v>
      </c>
      <c r="G48" s="17">
        <v>8452.7999999999993</v>
      </c>
      <c r="H48" s="347">
        <v>403.2</v>
      </c>
      <c r="I48" s="13"/>
      <c r="J48" s="33"/>
      <c r="K48" s="33"/>
      <c r="L48" s="33"/>
      <c r="M48" s="33">
        <f>9.6+374.4</f>
        <v>384</v>
      </c>
      <c r="N48" s="127">
        <v>369.60000000000008</v>
      </c>
      <c r="O48" s="33">
        <v>2613.6</v>
      </c>
      <c r="P48" s="357"/>
      <c r="Q48" s="24">
        <f t="shared" si="27"/>
        <v>59025.599999999991</v>
      </c>
      <c r="R48" s="5">
        <f t="shared" si="28"/>
        <v>54151.926605504574</v>
      </c>
      <c r="S48" s="5">
        <f t="shared" si="29"/>
        <v>4873.6733944954176</v>
      </c>
      <c r="T48" s="31">
        <f t="shared" si="30"/>
        <v>24593.999999999996</v>
      </c>
      <c r="U48" s="71"/>
      <c r="V48" s="61">
        <v>9.6</v>
      </c>
      <c r="W48" s="13">
        <f t="shared" si="31"/>
        <v>236102.39999999997</v>
      </c>
      <c r="Y48" s="142"/>
    </row>
    <row r="49" spans="1:25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385</v>
      </c>
      <c r="F49" s="13">
        <v>23037</v>
      </c>
      <c r="G49" s="13">
        <v>2380</v>
      </c>
      <c r="H49" s="348">
        <v>896</v>
      </c>
      <c r="I49" s="13"/>
      <c r="J49" s="33"/>
      <c r="K49" s="33"/>
      <c r="L49" s="33"/>
      <c r="M49" s="33">
        <v>133</v>
      </c>
      <c r="N49" s="127">
        <v>63</v>
      </c>
      <c r="O49" s="33">
        <v>3178</v>
      </c>
      <c r="P49" s="357"/>
      <c r="Q49" s="24">
        <f t="shared" si="27"/>
        <v>30072</v>
      </c>
      <c r="R49" s="5">
        <f t="shared" si="28"/>
        <v>27588.99082568807</v>
      </c>
      <c r="S49" s="5">
        <f t="shared" si="29"/>
        <v>2483.0091743119301</v>
      </c>
      <c r="T49" s="31">
        <f t="shared" si="30"/>
        <v>1432</v>
      </c>
      <c r="U49" s="71"/>
      <c r="V49" s="61"/>
      <c r="W49" s="13"/>
      <c r="Y49" s="142"/>
    </row>
    <row r="50" spans="1:25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84</v>
      </c>
      <c r="F50" s="13">
        <v>2208.5</v>
      </c>
      <c r="G50" s="13">
        <v>367.5</v>
      </c>
      <c r="H50" s="348">
        <v>52.5</v>
      </c>
      <c r="I50" s="13"/>
      <c r="J50" s="33"/>
      <c r="K50" s="33"/>
      <c r="L50" s="33"/>
      <c r="M50" s="33">
        <v>28</v>
      </c>
      <c r="N50" s="127">
        <v>10.5</v>
      </c>
      <c r="O50" s="33">
        <v>189</v>
      </c>
      <c r="P50" s="357"/>
      <c r="Q50" s="24">
        <f t="shared" si="27"/>
        <v>2940</v>
      </c>
      <c r="R50" s="5">
        <f t="shared" si="28"/>
        <v>2697.2477064220179</v>
      </c>
      <c r="S50" s="5">
        <f t="shared" si="29"/>
        <v>242.75229357798207</v>
      </c>
      <c r="T50" s="21">
        <f t="shared" si="30"/>
        <v>280</v>
      </c>
      <c r="U50" s="71"/>
      <c r="V50" s="61">
        <v>10.5</v>
      </c>
      <c r="W50" s="13">
        <f t="shared" ref="W50:W51" si="32">+T50*V50</f>
        <v>2940</v>
      </c>
      <c r="Y50" s="142"/>
    </row>
    <row r="51" spans="1:25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177.8</v>
      </c>
      <c r="F51" s="13">
        <v>10180.799999999999</v>
      </c>
      <c r="G51" s="13">
        <v>1159.2</v>
      </c>
      <c r="H51" s="348">
        <v>170.80000000000004</v>
      </c>
      <c r="I51" s="13"/>
      <c r="J51" s="33"/>
      <c r="K51" s="33"/>
      <c r="L51" s="33"/>
      <c r="M51" s="33">
        <f>4.2+53.2</f>
        <v>57.400000000000006</v>
      </c>
      <c r="N51" s="127">
        <v>142.80000000000004</v>
      </c>
      <c r="O51" s="33">
        <v>1563.8</v>
      </c>
      <c r="P51" s="357"/>
      <c r="Q51" s="24">
        <f t="shared" si="27"/>
        <v>13452.599999999997</v>
      </c>
      <c r="R51" s="5">
        <f t="shared" si="28"/>
        <v>12341.834862385318</v>
      </c>
      <c r="S51" s="5">
        <f t="shared" si="29"/>
        <v>1110.7651376146787</v>
      </c>
      <c r="T51" s="21">
        <f t="shared" si="30"/>
        <v>3202.9999999999991</v>
      </c>
      <c r="U51" s="71"/>
      <c r="V51" s="61">
        <v>16.8</v>
      </c>
      <c r="W51" s="13">
        <f t="shared" si="32"/>
        <v>53810.399999999987</v>
      </c>
      <c r="Y51" s="142"/>
    </row>
    <row r="52" spans="1:25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1734.3</v>
      </c>
      <c r="F52" s="13">
        <v>68941.5</v>
      </c>
      <c r="G52" s="13">
        <v>10020.4</v>
      </c>
      <c r="H52" s="348">
        <v>2931.5</v>
      </c>
      <c r="I52" s="13"/>
      <c r="J52" s="33"/>
      <c r="K52" s="33"/>
      <c r="L52" s="33"/>
      <c r="M52" s="33">
        <v>639.6</v>
      </c>
      <c r="N52" s="127">
        <v>397.70000000000005</v>
      </c>
      <c r="O52" s="33">
        <v>6203.3</v>
      </c>
      <c r="P52" s="357"/>
      <c r="Q52" s="24">
        <f t="shared" si="27"/>
        <v>90868.3</v>
      </c>
      <c r="R52" s="5">
        <f t="shared" si="28"/>
        <v>83365.412844036691</v>
      </c>
      <c r="S52" s="5">
        <f t="shared" si="29"/>
        <v>7502.8871559633117</v>
      </c>
      <c r="T52" s="21">
        <f t="shared" si="30"/>
        <v>2216.3000000000002</v>
      </c>
      <c r="U52" s="71"/>
      <c r="V52" s="61"/>
      <c r="W52" s="13"/>
      <c r="Y52" s="142"/>
    </row>
    <row r="53" spans="1:25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127.1</v>
      </c>
      <c r="F53" s="13">
        <v>6961.8</v>
      </c>
      <c r="G53" s="13">
        <v>1035.25</v>
      </c>
      <c r="H53" s="348">
        <v>284.95</v>
      </c>
      <c r="I53" s="13"/>
      <c r="J53" s="33"/>
      <c r="K53" s="33"/>
      <c r="L53" s="33"/>
      <c r="M53" s="33">
        <v>43.05</v>
      </c>
      <c r="N53" s="127">
        <v>0</v>
      </c>
      <c r="O53" s="33">
        <v>412.05</v>
      </c>
      <c r="P53" s="357"/>
      <c r="Q53" s="24">
        <f t="shared" si="27"/>
        <v>8864.1999999999989</v>
      </c>
      <c r="R53" s="5">
        <f t="shared" si="28"/>
        <v>8132.2935779816498</v>
      </c>
      <c r="S53" s="5">
        <f t="shared" si="29"/>
        <v>731.90642201834908</v>
      </c>
      <c r="T53" s="21">
        <f t="shared" si="30"/>
        <v>432.39999999999992</v>
      </c>
      <c r="U53" s="71"/>
      <c r="V53" s="61">
        <v>20.5</v>
      </c>
      <c r="W53" s="13">
        <f t="shared" ref="W53:W54" si="33">+T53*V53</f>
        <v>8864.1999999999989</v>
      </c>
      <c r="Y53" s="142"/>
    </row>
    <row r="54" spans="1:25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236.16</v>
      </c>
      <c r="F54" s="14">
        <v>8082.74</v>
      </c>
      <c r="G54" s="14">
        <v>1216.8800000000001</v>
      </c>
      <c r="H54" s="349">
        <v>485.44</v>
      </c>
      <c r="I54" s="14"/>
      <c r="J54" s="76"/>
      <c r="K54" s="76"/>
      <c r="L54" s="76"/>
      <c r="M54" s="76">
        <f>8.2+136.94</f>
        <v>145.13999999999999</v>
      </c>
      <c r="N54" s="148">
        <v>46.740000000000009</v>
      </c>
      <c r="O54" s="76">
        <v>1741.68</v>
      </c>
      <c r="P54" s="224"/>
      <c r="Q54" s="359">
        <f t="shared" si="27"/>
        <v>11954.779999999999</v>
      </c>
      <c r="R54" s="6">
        <f t="shared" si="28"/>
        <v>10967.688073394493</v>
      </c>
      <c r="S54" s="6">
        <f t="shared" si="29"/>
        <v>987.09192660550616</v>
      </c>
      <c r="T54" s="22">
        <f t="shared" si="30"/>
        <v>1457.9</v>
      </c>
      <c r="U54" s="35"/>
      <c r="V54" s="61">
        <v>32.799999999999997</v>
      </c>
      <c r="W54" s="13">
        <f t="shared" si="33"/>
        <v>47819.119999999995</v>
      </c>
      <c r="Y54" s="142"/>
    </row>
    <row r="55" spans="1:25" x14ac:dyDescent="0.25"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6" spans="1:2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</row>
    <row r="58" spans="1:25" x14ac:dyDescent="0.25">
      <c r="O58" s="137"/>
      <c r="P58" s="137"/>
    </row>
    <row r="74" spans="2:2" x14ac:dyDescent="0.25">
      <c r="B74" s="1"/>
    </row>
  </sheetData>
  <mergeCells count="19">
    <mergeCell ref="W4:W5"/>
    <mergeCell ref="Q4:Q5"/>
    <mergeCell ref="R4:R5"/>
    <mergeCell ref="S4:S5"/>
    <mergeCell ref="T4:T5"/>
    <mergeCell ref="N4:N5"/>
    <mergeCell ref="O4:P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AH66"/>
  <sheetViews>
    <sheetView zoomScaleNormal="100" workbookViewId="0">
      <pane xSplit="4" ySplit="4" topLeftCell="Q5" activePane="bottomRight" state="frozen"/>
      <selection pane="topRight" activeCell="E1" sqref="E1"/>
      <selection pane="bottomLeft" activeCell="A5" sqref="A5"/>
      <selection pane="bottomRight" activeCell="O3" sqref="O3:P4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47" style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2.109375" style="1" customWidth="1"/>
    <col min="16" max="16" width="11.6640625" style="1" hidden="1" customWidth="1" outlineLevel="1"/>
    <col min="17" max="17" width="12.33203125" style="1" bestFit="1" customWidth="1" collapsed="1"/>
    <col min="18" max="19" width="12.33203125" style="1" customWidth="1"/>
    <col min="20" max="20" width="11.33203125" style="1" customWidth="1" outlineLevel="1"/>
    <col min="21" max="21" width="3.109375" style="1" customWidth="1"/>
    <col min="22" max="22" width="5.109375" style="1" customWidth="1"/>
    <col min="23" max="23" width="13.33203125" style="2" customWidth="1"/>
    <col min="24" max="24" width="11.33203125" style="2" bestFit="1" customWidth="1"/>
    <col min="25" max="25" width="11.6640625" style="1" customWidth="1"/>
    <col min="26" max="16384" width="8.88671875" style="1"/>
  </cols>
  <sheetData>
    <row r="1" spans="1:26" ht="15.6" customHeight="1" x14ac:dyDescent="0.3">
      <c r="A1" s="40" t="s">
        <v>393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"/>
    </row>
    <row r="2" spans="1:26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9"/>
      <c r="R2" s="2"/>
      <c r="S2" s="2"/>
    </row>
    <row r="3" spans="1:26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148</v>
      </c>
    </row>
    <row r="4" spans="1:26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575"/>
      <c r="O4" s="587"/>
      <c r="P4" s="600"/>
      <c r="Q4" s="597"/>
      <c r="R4" s="597"/>
      <c r="S4" s="597"/>
      <c r="T4" s="597"/>
      <c r="V4" s="87"/>
      <c r="W4" s="585"/>
    </row>
    <row r="5" spans="1:26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50339.638675799077</v>
      </c>
      <c r="F5" s="187">
        <f t="shared" si="0"/>
        <v>1772413.8466666674</v>
      </c>
      <c r="G5" s="82">
        <f t="shared" si="0"/>
        <v>276805.27954337903</v>
      </c>
      <c r="H5" s="82">
        <f t="shared" si="0"/>
        <v>43178.449223744283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20631.609999999997</v>
      </c>
      <c r="N5" s="192">
        <f>+N6+N18+N44</f>
        <v>1897.313333333333</v>
      </c>
      <c r="O5" s="42">
        <f>+O6+O18+O44</f>
        <v>193643.3553200243</v>
      </c>
      <c r="P5" s="42">
        <f>+P6+P18+P44</f>
        <v>0</v>
      </c>
      <c r="Q5" s="42">
        <f t="shared" ref="Q5:Q10" si="1">+SUM(E5:P5)</f>
        <v>2358909.4927629475</v>
      </c>
      <c r="R5" s="42">
        <f>+R6+R18+R44</f>
        <v>2164137.1493238038</v>
      </c>
      <c r="S5" s="42">
        <f>+S6+S18+S44</f>
        <v>194772.34343914257</v>
      </c>
      <c r="T5" s="44">
        <f>+T6+T18+T44</f>
        <v>41824.919495590409</v>
      </c>
      <c r="U5" s="71"/>
      <c r="V5" s="87"/>
      <c r="W5" s="135">
        <f>+W7+W18+W44</f>
        <v>1654672.0669467025</v>
      </c>
      <c r="Y5" s="2"/>
    </row>
    <row r="6" spans="1:26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42">
        <f>+O7+O11</f>
        <v>0</v>
      </c>
      <c r="P6" s="42">
        <f>+P7+P11</f>
        <v>0</v>
      </c>
      <c r="Q6" s="42">
        <f t="shared" si="1"/>
        <v>0</v>
      </c>
      <c r="R6" s="42">
        <f>+R7+R11</f>
        <v>0</v>
      </c>
      <c r="S6" s="42">
        <f>+S7+S11</f>
        <v>0</v>
      </c>
      <c r="T6" s="44">
        <f>+T7+T11</f>
        <v>0</v>
      </c>
      <c r="V6" s="61"/>
      <c r="W6" s="13"/>
    </row>
    <row r="7" spans="1:26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354">
        <f t="shared" si="4"/>
        <v>0</v>
      </c>
      <c r="P7" s="354">
        <f t="shared" si="4"/>
        <v>0</v>
      </c>
      <c r="Q7" s="43">
        <f t="shared" si="1"/>
        <v>0</v>
      </c>
      <c r="R7" s="354">
        <f t="shared" si="4"/>
        <v>0</v>
      </c>
      <c r="S7" s="354">
        <f t="shared" si="4"/>
        <v>0</v>
      </c>
      <c r="T7" s="240">
        <f t="shared" si="4"/>
        <v>0</v>
      </c>
      <c r="U7" s="71"/>
      <c r="V7" s="134"/>
      <c r="W7" s="105">
        <f>+SUM(W8:W17)</f>
        <v>0</v>
      </c>
    </row>
    <row r="8" spans="1:26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64"/>
      <c r="Q8" s="24">
        <f t="shared" si="1"/>
        <v>0</v>
      </c>
      <c r="R8" s="127">
        <f t="shared" ref="R8:R53" si="5">+Q8/1.09</f>
        <v>0</v>
      </c>
      <c r="S8" s="24">
        <f t="shared" ref="S8:S17" si="6">+Q8-R8</f>
        <v>0</v>
      </c>
      <c r="T8" s="94">
        <f>+Q8/D8</f>
        <v>0</v>
      </c>
      <c r="U8" s="71"/>
      <c r="V8" s="61"/>
      <c r="W8" s="13"/>
    </row>
    <row r="9" spans="1:26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64"/>
      <c r="Q9" s="24">
        <f t="shared" si="1"/>
        <v>0</v>
      </c>
      <c r="R9" s="127">
        <f t="shared" si="5"/>
        <v>0</v>
      </c>
      <c r="S9" s="26">
        <f t="shared" si="6"/>
        <v>0</v>
      </c>
      <c r="T9" s="94">
        <f>+Q9/D9</f>
        <v>0</v>
      </c>
      <c r="U9" s="71"/>
      <c r="V9" s="61">
        <v>1.75</v>
      </c>
      <c r="W9" s="13">
        <f>+T9*V9</f>
        <v>0</v>
      </c>
    </row>
    <row r="10" spans="1:26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44"/>
      <c r="P10" s="350"/>
      <c r="Q10" s="24">
        <f t="shared" si="1"/>
        <v>0</v>
      </c>
      <c r="R10" s="26">
        <f t="shared" si="5"/>
        <v>0</v>
      </c>
      <c r="S10" s="26">
        <f t="shared" si="6"/>
        <v>0</v>
      </c>
      <c r="T10" s="39">
        <f>Q10/D10</f>
        <v>0</v>
      </c>
      <c r="U10" s="71"/>
      <c r="V10" s="107">
        <v>2.8</v>
      </c>
      <c r="W10" s="13">
        <f>+T10*V10</f>
        <v>0</v>
      </c>
      <c r="Y10" s="138"/>
      <c r="Z10" s="2"/>
    </row>
    <row r="11" spans="1:26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" si="9">+SUM(N12:N17)</f>
        <v>0</v>
      </c>
      <c r="O11" s="101">
        <f t="shared" si="8"/>
        <v>0</v>
      </c>
      <c r="P11" s="101">
        <f t="shared" si="8"/>
        <v>0</v>
      </c>
      <c r="Q11" s="43">
        <f t="shared" si="8"/>
        <v>0</v>
      </c>
      <c r="R11" s="72">
        <f t="shared" si="8"/>
        <v>0</v>
      </c>
      <c r="S11" s="43">
        <f t="shared" si="8"/>
        <v>0</v>
      </c>
      <c r="T11" s="45">
        <f t="shared" si="8"/>
        <v>0</v>
      </c>
      <c r="U11" s="71"/>
      <c r="V11" s="61"/>
      <c r="W11" s="13"/>
    </row>
    <row r="12" spans="1:26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64"/>
      <c r="Q12" s="24">
        <f t="shared" ref="Q12:Q17" si="10">+SUM(E12:P12)</f>
        <v>0</v>
      </c>
      <c r="R12" s="127">
        <f t="shared" si="5"/>
        <v>0</v>
      </c>
      <c r="S12" s="5">
        <f t="shared" si="6"/>
        <v>0</v>
      </c>
      <c r="T12" s="94">
        <f t="shared" ref="T12:T17" si="11">+Q12/D12</f>
        <v>0</v>
      </c>
      <c r="U12" s="71"/>
      <c r="V12" s="61"/>
      <c r="W12" s="13"/>
      <c r="Z12" s="104"/>
    </row>
    <row r="13" spans="1:26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64"/>
      <c r="Q13" s="24">
        <f t="shared" si="10"/>
        <v>0</v>
      </c>
      <c r="R13" s="127">
        <f t="shared" si="5"/>
        <v>0</v>
      </c>
      <c r="S13" s="5">
        <f t="shared" si="6"/>
        <v>0</v>
      </c>
      <c r="T13" s="94">
        <f t="shared" si="11"/>
        <v>0</v>
      </c>
      <c r="U13" s="71"/>
      <c r="V13" s="107">
        <v>1.1000000000000001</v>
      </c>
      <c r="W13" s="13">
        <f t="shared" ref="W13:W14" si="12">+T13*V13</f>
        <v>0</v>
      </c>
      <c r="Z13" s="104"/>
    </row>
    <row r="14" spans="1:26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64"/>
      <c r="Q14" s="24">
        <f t="shared" si="10"/>
        <v>0</v>
      </c>
      <c r="R14" s="127">
        <f t="shared" si="5"/>
        <v>0</v>
      </c>
      <c r="S14" s="5">
        <f t="shared" si="6"/>
        <v>0</v>
      </c>
      <c r="T14" s="94">
        <f t="shared" si="11"/>
        <v>0</v>
      </c>
      <c r="U14" s="71"/>
      <c r="V14" s="61">
        <v>1.76</v>
      </c>
      <c r="W14" s="13">
        <f t="shared" si="12"/>
        <v>0</v>
      </c>
      <c r="Z14" s="104"/>
    </row>
    <row r="15" spans="1:26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64"/>
      <c r="Q15" s="24">
        <f t="shared" si="10"/>
        <v>0</v>
      </c>
      <c r="R15" s="127">
        <f t="shared" si="5"/>
        <v>0</v>
      </c>
      <c r="S15" s="5">
        <f t="shared" si="6"/>
        <v>0</v>
      </c>
      <c r="T15" s="94">
        <f t="shared" si="11"/>
        <v>0</v>
      </c>
      <c r="U15" s="71"/>
      <c r="V15" s="61"/>
      <c r="W15" s="13"/>
      <c r="Z15" s="104"/>
    </row>
    <row r="16" spans="1:26" ht="12.75" x14ac:dyDescent="0.2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64"/>
      <c r="Q16" s="24">
        <f t="shared" si="10"/>
        <v>0</v>
      </c>
      <c r="R16" s="127">
        <f t="shared" si="5"/>
        <v>0</v>
      </c>
      <c r="S16" s="5">
        <f t="shared" si="6"/>
        <v>0</v>
      </c>
      <c r="T16" s="94">
        <f t="shared" si="11"/>
        <v>0</v>
      </c>
      <c r="U16" s="71"/>
      <c r="V16" s="61">
        <v>1.6</v>
      </c>
      <c r="W16" s="13">
        <f t="shared" ref="W16:W17" si="13">+T16*V16</f>
        <v>0</v>
      </c>
      <c r="Z16" s="104"/>
    </row>
    <row r="17" spans="1:3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64"/>
      <c r="Q17" s="24">
        <f t="shared" si="10"/>
        <v>0</v>
      </c>
      <c r="R17" s="127">
        <f t="shared" si="5"/>
        <v>0</v>
      </c>
      <c r="S17" s="5">
        <f t="shared" si="6"/>
        <v>0</v>
      </c>
      <c r="T17" s="94">
        <f t="shared" si="11"/>
        <v>0</v>
      </c>
      <c r="U17" s="71"/>
      <c r="V17" s="61">
        <v>2.56</v>
      </c>
      <c r="W17" s="13">
        <f t="shared" si="13"/>
        <v>0</v>
      </c>
      <c r="Z17" s="104"/>
    </row>
    <row r="18" spans="1:34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49837.578675799079</v>
      </c>
      <c r="F18" s="231">
        <f t="shared" ref="F18:P18" si="14">+SUM(F19:F43)</f>
        <v>1756008.2266666673</v>
      </c>
      <c r="G18" s="231">
        <f t="shared" si="14"/>
        <v>274129.19954337901</v>
      </c>
      <c r="H18" s="231">
        <f t="shared" si="14"/>
        <v>42808.32922374428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20584.529999999995</v>
      </c>
      <c r="N18" s="231">
        <f t="shared" si="14"/>
        <v>1807.333333333333</v>
      </c>
      <c r="O18" s="238">
        <f t="shared" si="14"/>
        <v>191716.04532002431</v>
      </c>
      <c r="P18" s="238">
        <f t="shared" si="14"/>
        <v>0</v>
      </c>
      <c r="Q18" s="42">
        <f>+SUM(Q19:Q43)</f>
        <v>2336891.2427629475</v>
      </c>
      <c r="R18" s="42">
        <f t="shared" ref="R18:T18" si="15">+SUM(R19:R43)</f>
        <v>2143936.9199660057</v>
      </c>
      <c r="S18" s="42">
        <f t="shared" si="15"/>
        <v>192954.32279694075</v>
      </c>
      <c r="T18" s="42">
        <f t="shared" si="15"/>
        <v>40871.18616225708</v>
      </c>
      <c r="U18" s="71"/>
      <c r="V18" s="61"/>
      <c r="W18" s="105">
        <f>+SUM(W19:W42)</f>
        <v>1641293.9169467026</v>
      </c>
    </row>
    <row r="19" spans="1:3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31660</v>
      </c>
      <c r="F19" s="127">
        <v>1050976.666666667</v>
      </c>
      <c r="G19" s="127">
        <v>160436.66666666663</v>
      </c>
      <c r="H19" s="127">
        <v>22246.666666666668</v>
      </c>
      <c r="I19" s="127"/>
      <c r="J19" s="127"/>
      <c r="K19" s="127"/>
      <c r="L19" s="127"/>
      <c r="M19" s="127">
        <v>13700</v>
      </c>
      <c r="N19" s="127">
        <v>1166.6666666666665</v>
      </c>
      <c r="O19" s="127">
        <v>101720.00334472656</v>
      </c>
      <c r="P19" s="164"/>
      <c r="Q19" s="24">
        <f t="shared" ref="Q19:Q43" si="16">+SUM(E19:P19)</f>
        <v>1381906.6700113935</v>
      </c>
      <c r="R19" s="127">
        <f t="shared" si="5"/>
        <v>1267804.2844141223</v>
      </c>
      <c r="S19" s="24">
        <f>+Q19-R19</f>
        <v>114102.38559727115</v>
      </c>
      <c r="T19" s="94">
        <f t="shared" ref="T19:T43" si="17">+Q19/D19</f>
        <v>13819.066700113935</v>
      </c>
      <c r="U19" s="71"/>
      <c r="V19" s="61"/>
      <c r="W19" s="106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</row>
    <row r="20" spans="1:34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7395</v>
      </c>
      <c r="F20" s="127">
        <v>323438.33</v>
      </c>
      <c r="G20" s="127">
        <v>48225</v>
      </c>
      <c r="H20" s="127">
        <v>9266.6666666666661</v>
      </c>
      <c r="I20" s="127"/>
      <c r="J20" s="127"/>
      <c r="K20" s="127"/>
      <c r="L20" s="127"/>
      <c r="M20" s="127">
        <v>4280</v>
      </c>
      <c r="N20" s="127">
        <v>48.333333333333321</v>
      </c>
      <c r="O20" s="127">
        <v>6630.0002287292482</v>
      </c>
      <c r="P20" s="164"/>
      <c r="Q20" s="24">
        <f t="shared" si="16"/>
        <v>399283.33022872929</v>
      </c>
      <c r="R20" s="127">
        <f t="shared" si="5"/>
        <v>366314.98186121951</v>
      </c>
      <c r="S20" s="5">
        <f t="shared" ref="S20:S43" si="18">+Q20-R20</f>
        <v>32968.348367509781</v>
      </c>
      <c r="T20" s="94">
        <f t="shared" si="17"/>
        <v>7985.666604574586</v>
      </c>
      <c r="U20" s="71"/>
      <c r="V20" s="61">
        <v>50</v>
      </c>
      <c r="W20" s="13">
        <f t="shared" ref="W20:W21" si="19">+T20*V20</f>
        <v>399283.33022872929</v>
      </c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</row>
    <row r="21" spans="1:34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5942.67</v>
      </c>
      <c r="F21" s="127">
        <v>217788.67</v>
      </c>
      <c r="G21" s="127">
        <v>40034.67</v>
      </c>
      <c r="H21" s="127">
        <v>3040.0000000000005</v>
      </c>
      <c r="I21" s="13"/>
      <c r="J21" s="127"/>
      <c r="K21" s="127"/>
      <c r="L21" s="127"/>
      <c r="M21" s="127">
        <f>107.33+1277.33</f>
        <v>1384.6599999999999</v>
      </c>
      <c r="N21" s="127">
        <v>367.33333333333326</v>
      </c>
      <c r="O21" s="127">
        <v>25859.33333333</v>
      </c>
      <c r="P21" s="164"/>
      <c r="Q21" s="24">
        <f t="shared" si="16"/>
        <v>294417.33666666329</v>
      </c>
      <c r="R21" s="127">
        <f t="shared" si="5"/>
        <v>270107.64831803972</v>
      </c>
      <c r="S21" s="5">
        <f t="shared" si="18"/>
        <v>24309.688348623575</v>
      </c>
      <c r="T21" s="94">
        <f t="shared" si="17"/>
        <v>14720.866833333164</v>
      </c>
      <c r="U21" s="71"/>
      <c r="V21" s="61">
        <v>80</v>
      </c>
      <c r="W21" s="13">
        <f t="shared" si="19"/>
        <v>1177669.3466666532</v>
      </c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</row>
    <row r="22" spans="1:34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3648</v>
      </c>
      <c r="F22" s="127">
        <v>131799</v>
      </c>
      <c r="G22" s="127">
        <v>21282</v>
      </c>
      <c r="H22" s="127">
        <v>4128</v>
      </c>
      <c r="I22" s="96"/>
      <c r="J22" s="127"/>
      <c r="K22" s="127"/>
      <c r="L22" s="127"/>
      <c r="M22" s="127">
        <v>1110</v>
      </c>
      <c r="N22" s="127">
        <v>225</v>
      </c>
      <c r="O22" s="127">
        <v>36399</v>
      </c>
      <c r="P22" s="164"/>
      <c r="Q22" s="24">
        <f t="shared" si="16"/>
        <v>198591</v>
      </c>
      <c r="R22" s="127">
        <f t="shared" si="5"/>
        <v>182193.57798165135</v>
      </c>
      <c r="S22" s="5">
        <f t="shared" si="18"/>
        <v>16397.422018348647</v>
      </c>
      <c r="T22" s="94">
        <f t="shared" si="17"/>
        <v>2206.5666666666666</v>
      </c>
      <c r="U22" s="71"/>
      <c r="V22" s="61"/>
      <c r="W22" s="13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</row>
    <row r="23" spans="1:34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v>192</v>
      </c>
      <c r="F23" s="127">
        <v>7165.5</v>
      </c>
      <c r="G23" s="127">
        <v>1429.5</v>
      </c>
      <c r="H23" s="127">
        <v>337.5</v>
      </c>
      <c r="I23" s="127"/>
      <c r="J23" s="127"/>
      <c r="K23" s="127"/>
      <c r="L23" s="127"/>
      <c r="M23" s="127">
        <v>18</v>
      </c>
      <c r="N23" s="127"/>
      <c r="O23" s="127">
        <v>1770</v>
      </c>
      <c r="P23" s="164"/>
      <c r="Q23" s="24">
        <f t="shared" si="16"/>
        <v>10912.5</v>
      </c>
      <c r="R23" s="127">
        <f t="shared" si="5"/>
        <v>10011.467889908256</v>
      </c>
      <c r="S23" s="5">
        <f t="shared" si="18"/>
        <v>901.03211009174447</v>
      </c>
      <c r="T23" s="94">
        <f t="shared" si="17"/>
        <v>242.5</v>
      </c>
      <c r="U23" s="71"/>
      <c r="V23" s="61">
        <v>45</v>
      </c>
      <c r="W23" s="13">
        <f t="shared" ref="W23:W24" si="20">+T23*V23</f>
        <v>10912.5</v>
      </c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</row>
    <row r="24" spans="1:34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117</v>
      </c>
      <c r="F24" s="127">
        <v>905.4</v>
      </c>
      <c r="G24" s="127">
        <v>226.8</v>
      </c>
      <c r="H24" s="127">
        <v>44.4</v>
      </c>
      <c r="I24" s="127"/>
      <c r="J24" s="127"/>
      <c r="K24" s="127"/>
      <c r="L24" s="127"/>
      <c r="M24" s="127">
        <v>15</v>
      </c>
      <c r="N24" s="127"/>
      <c r="O24" s="127">
        <v>477.6</v>
      </c>
      <c r="P24" s="164"/>
      <c r="Q24" s="24">
        <f t="shared" si="16"/>
        <v>1786.2000000000003</v>
      </c>
      <c r="R24" s="127">
        <f t="shared" si="5"/>
        <v>1638.7155963302753</v>
      </c>
      <c r="S24" s="5">
        <f t="shared" si="18"/>
        <v>147.484403669725</v>
      </c>
      <c r="T24" s="94">
        <f t="shared" si="17"/>
        <v>99.233333333333348</v>
      </c>
      <c r="U24" s="71"/>
      <c r="V24" s="61">
        <v>72</v>
      </c>
      <c r="W24" s="13">
        <f t="shared" si="20"/>
        <v>7144.8000000000011</v>
      </c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</row>
    <row r="25" spans="1:3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103.33</v>
      </c>
      <c r="F25" s="127">
        <v>2763.33</v>
      </c>
      <c r="G25" s="127">
        <v>190</v>
      </c>
      <c r="H25" s="127">
        <v>206.66666666666669</v>
      </c>
      <c r="I25" s="127"/>
      <c r="J25" s="127"/>
      <c r="K25" s="127"/>
      <c r="L25" s="127"/>
      <c r="M25" s="127"/>
      <c r="N25" s="127"/>
      <c r="O25" s="127">
        <v>4460.000271911621</v>
      </c>
      <c r="P25" s="164"/>
      <c r="Q25" s="24">
        <f t="shared" si="16"/>
        <v>7723.3269385782878</v>
      </c>
      <c r="R25" s="127">
        <f t="shared" si="5"/>
        <v>7085.6210445672359</v>
      </c>
      <c r="S25" s="5">
        <f t="shared" si="18"/>
        <v>637.7058940110519</v>
      </c>
      <c r="T25" s="94">
        <f t="shared" si="17"/>
        <v>25.744423128594292</v>
      </c>
      <c r="U25" s="71"/>
      <c r="V25" s="61"/>
      <c r="W25" s="13"/>
      <c r="X25" s="112"/>
      <c r="Y25" s="112"/>
    </row>
    <row r="26" spans="1:3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3434.9999999999986</v>
      </c>
      <c r="G26" s="127">
        <v>201.66666666666663</v>
      </c>
      <c r="H26" s="127">
        <f>310+78.33+51.67</f>
        <v>440</v>
      </c>
      <c r="I26" s="127"/>
      <c r="J26" s="127"/>
      <c r="K26" s="127"/>
      <c r="L26" s="127"/>
      <c r="M26" s="127"/>
      <c r="N26" s="127"/>
      <c r="O26" s="127">
        <v>731.66670822143556</v>
      </c>
      <c r="P26" s="164"/>
      <c r="Q26" s="24">
        <f t="shared" si="16"/>
        <v>4808.3333748881005</v>
      </c>
      <c r="R26" s="127">
        <f t="shared" si="5"/>
        <v>4411.3150228331197</v>
      </c>
      <c r="S26" s="5">
        <f t="shared" si="18"/>
        <v>397.01835205498082</v>
      </c>
      <c r="T26" s="94">
        <f t="shared" si="17"/>
        <v>32.055555832587338</v>
      </c>
      <c r="U26" s="71"/>
      <c r="V26" s="61">
        <v>150</v>
      </c>
      <c r="W26" s="13">
        <f t="shared" ref="W26:W42" si="21">+T26*V26</f>
        <v>4808.3333748881005</v>
      </c>
      <c r="X26" s="112"/>
      <c r="Y26" s="112"/>
    </row>
    <row r="27" spans="1:3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64.67</v>
      </c>
      <c r="F27" s="127">
        <v>3955.33</v>
      </c>
      <c r="G27" s="127">
        <v>406</v>
      </c>
      <c r="H27" s="127">
        <f>20.6666666666667+35.33+82.67</f>
        <v>138.66666666666669</v>
      </c>
      <c r="I27" s="127"/>
      <c r="J27" s="127"/>
      <c r="K27" s="127"/>
      <c r="L27" s="127"/>
      <c r="M27" s="127">
        <v>14.67</v>
      </c>
      <c r="N27" s="127"/>
      <c r="O27" s="127">
        <v>3378.67</v>
      </c>
      <c r="P27" s="164"/>
      <c r="Q27" s="24">
        <f t="shared" si="16"/>
        <v>7958.0066666666671</v>
      </c>
      <c r="R27" s="127">
        <f t="shared" si="5"/>
        <v>7300.9235474006118</v>
      </c>
      <c r="S27" s="5">
        <f t="shared" si="18"/>
        <v>657.08311926605529</v>
      </c>
      <c r="T27" s="94">
        <f t="shared" si="17"/>
        <v>132.63344444444445</v>
      </c>
      <c r="U27" s="71"/>
      <c r="V27" s="61">
        <v>240</v>
      </c>
      <c r="W27" s="13">
        <f t="shared" si="21"/>
        <v>31832.026666666668</v>
      </c>
      <c r="X27" s="112"/>
      <c r="Y27" s="112"/>
    </row>
    <row r="28" spans="1:34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558</v>
      </c>
      <c r="G28" s="127"/>
      <c r="H28" s="127">
        <f>45+93</f>
        <v>138</v>
      </c>
      <c r="I28" s="127"/>
      <c r="J28" s="127"/>
      <c r="K28" s="127"/>
      <c r="L28" s="127"/>
      <c r="M28" s="127"/>
      <c r="N28" s="127"/>
      <c r="O28" s="127">
        <v>7299</v>
      </c>
      <c r="P28" s="164"/>
      <c r="Q28" s="24">
        <f t="shared" si="16"/>
        <v>7995</v>
      </c>
      <c r="R28" s="127">
        <f t="shared" si="5"/>
        <v>7334.8623853211002</v>
      </c>
      <c r="S28" s="5">
        <f t="shared" si="18"/>
        <v>660.13761467889981</v>
      </c>
      <c r="T28" s="94">
        <f t="shared" si="17"/>
        <v>29.611111111111111</v>
      </c>
      <c r="U28" s="71"/>
      <c r="V28" s="61"/>
      <c r="W28" s="13"/>
      <c r="X28" s="112"/>
      <c r="Y28" s="112"/>
    </row>
    <row r="29" spans="1:34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46.5</v>
      </c>
      <c r="G29" s="127"/>
      <c r="H29" s="127">
        <v>46.5</v>
      </c>
      <c r="I29" s="127"/>
      <c r="J29" s="127"/>
      <c r="K29" s="127"/>
      <c r="L29" s="127"/>
      <c r="M29" s="127"/>
      <c r="N29" s="127"/>
      <c r="O29" s="127"/>
      <c r="P29" s="164"/>
      <c r="Q29" s="24">
        <f t="shared" si="16"/>
        <v>93</v>
      </c>
      <c r="R29" s="127">
        <f t="shared" si="5"/>
        <v>85.321100917431181</v>
      </c>
      <c r="S29" s="5">
        <f t="shared" si="18"/>
        <v>7.6788990825688188</v>
      </c>
      <c r="T29" s="94">
        <f t="shared" si="17"/>
        <v>0.68888888888888888</v>
      </c>
      <c r="U29" s="71"/>
      <c r="V29" s="61">
        <v>135</v>
      </c>
      <c r="W29" s="13">
        <f t="shared" si="21"/>
        <v>93</v>
      </c>
      <c r="X29" s="112"/>
      <c r="Y29" s="112"/>
    </row>
    <row r="30" spans="1:34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/>
      <c r="F30" s="127"/>
      <c r="G30" s="127"/>
      <c r="H30" s="127"/>
      <c r="I30" s="127"/>
      <c r="J30" s="127"/>
      <c r="K30" s="127"/>
      <c r="L30" s="127"/>
      <c r="M30" s="127">
        <v>18.600000000000001</v>
      </c>
      <c r="N30" s="127"/>
      <c r="O30" s="127">
        <f>144-18.6</f>
        <v>125.4</v>
      </c>
      <c r="P30" s="164"/>
      <c r="Q30" s="24">
        <f t="shared" si="16"/>
        <v>144</v>
      </c>
      <c r="R30" s="127">
        <f t="shared" si="5"/>
        <v>132.11009174311926</v>
      </c>
      <c r="S30" s="5">
        <f t="shared" si="18"/>
        <v>11.889908256880744</v>
      </c>
      <c r="T30" s="94">
        <f t="shared" si="17"/>
        <v>2.6666666666666665</v>
      </c>
      <c r="U30" s="71"/>
      <c r="V30" s="61">
        <v>216</v>
      </c>
      <c r="W30" s="13">
        <f t="shared" si="21"/>
        <v>576</v>
      </c>
      <c r="X30" s="112"/>
      <c r="Y30" s="112"/>
    </row>
    <row r="31" spans="1:3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103.33</v>
      </c>
      <c r="F31" s="127">
        <v>206.66666666666663</v>
      </c>
      <c r="G31" s="127"/>
      <c r="H31" s="127">
        <v>103.33</v>
      </c>
      <c r="I31" s="127"/>
      <c r="J31" s="127"/>
      <c r="K31" s="127"/>
      <c r="L31" s="127"/>
      <c r="M31" s="127"/>
      <c r="N31" s="127"/>
      <c r="O31" s="127"/>
      <c r="P31" s="164"/>
      <c r="Q31" s="24">
        <f t="shared" si="16"/>
        <v>413.3266666666666</v>
      </c>
      <c r="R31" s="127">
        <f t="shared" si="5"/>
        <v>379.19877675840968</v>
      </c>
      <c r="S31" s="5">
        <f t="shared" si="18"/>
        <v>34.127889908256918</v>
      </c>
      <c r="T31" s="94">
        <f t="shared" si="17"/>
        <v>0.6888777777777777</v>
      </c>
      <c r="U31" s="71"/>
      <c r="V31" s="61"/>
      <c r="W31" s="13"/>
      <c r="X31" s="112"/>
      <c r="Y31" s="112"/>
    </row>
    <row r="32" spans="1:3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461.66666666666657</v>
      </c>
      <c r="G32" s="127">
        <v>81.666666666666657</v>
      </c>
      <c r="H32" s="127">
        <f>50+51.67+155+51.67</f>
        <v>308.34000000000003</v>
      </c>
      <c r="I32" s="127"/>
      <c r="J32" s="127"/>
      <c r="K32" s="127"/>
      <c r="L32" s="127"/>
      <c r="M32" s="127"/>
      <c r="N32" s="127"/>
      <c r="O32" s="127">
        <v>155.00000976562501</v>
      </c>
      <c r="P32" s="164"/>
      <c r="Q32" s="24">
        <f t="shared" si="16"/>
        <v>1006.6733430989583</v>
      </c>
      <c r="R32" s="127">
        <f t="shared" si="5"/>
        <v>923.55352577886072</v>
      </c>
      <c r="S32" s="5">
        <f t="shared" si="18"/>
        <v>83.119817320097582</v>
      </c>
      <c r="T32" s="94">
        <f t="shared" si="17"/>
        <v>3.3555778103298608</v>
      </c>
      <c r="U32" s="71"/>
      <c r="V32" s="61">
        <v>300</v>
      </c>
      <c r="W32" s="13">
        <f t="shared" si="21"/>
        <v>1006.6733430989582</v>
      </c>
      <c r="X32" s="112"/>
      <c r="Y32" s="112"/>
    </row>
    <row r="33" spans="1:26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74.67</v>
      </c>
      <c r="F33" s="127">
        <v>654.66999999999996</v>
      </c>
      <c r="G33" s="127">
        <v>64.666666666666686</v>
      </c>
      <c r="H33" s="127"/>
      <c r="I33" s="127"/>
      <c r="J33" s="127"/>
      <c r="K33" s="127"/>
      <c r="L33" s="127"/>
      <c r="M33" s="127">
        <v>20.67</v>
      </c>
      <c r="N33" s="127"/>
      <c r="O33" s="127">
        <v>567.33000000000004</v>
      </c>
      <c r="P33" s="164"/>
      <c r="Q33" s="24">
        <f t="shared" si="16"/>
        <v>1382.0066666666667</v>
      </c>
      <c r="R33" s="127">
        <f t="shared" si="5"/>
        <v>1267.8960244648317</v>
      </c>
      <c r="S33" s="5">
        <f t="shared" si="18"/>
        <v>114.11064220183493</v>
      </c>
      <c r="T33" s="94">
        <f t="shared" si="17"/>
        <v>11.516722222222223</v>
      </c>
      <c r="U33" s="71"/>
      <c r="V33" s="61">
        <v>480</v>
      </c>
      <c r="W33" s="13">
        <f t="shared" si="21"/>
        <v>5528.0266666666666</v>
      </c>
      <c r="X33" s="112"/>
      <c r="Y33" s="112"/>
    </row>
    <row r="34" spans="1:26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>
        <v>1092</v>
      </c>
      <c r="P34" s="164"/>
      <c r="Q34" s="24">
        <f t="shared" si="16"/>
        <v>1092</v>
      </c>
      <c r="R34" s="127">
        <f t="shared" si="5"/>
        <v>1001.834862385321</v>
      </c>
      <c r="S34" s="5">
        <f t="shared" si="18"/>
        <v>90.165137614678997</v>
      </c>
      <c r="T34" s="94">
        <f t="shared" si="17"/>
        <v>2.0222222222222221</v>
      </c>
      <c r="U34" s="71"/>
      <c r="V34" s="61"/>
      <c r="W34" s="13"/>
      <c r="X34" s="112"/>
      <c r="Y34" s="112"/>
    </row>
    <row r="35" spans="1:26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64"/>
      <c r="Q35" s="24">
        <f t="shared" si="16"/>
        <v>0</v>
      </c>
      <c r="R35" s="127">
        <f t="shared" si="5"/>
        <v>0</v>
      </c>
      <c r="S35" s="5">
        <f t="shared" si="18"/>
        <v>0</v>
      </c>
      <c r="T35" s="94">
        <f t="shared" si="17"/>
        <v>0</v>
      </c>
      <c r="U35" s="71"/>
      <c r="V35" s="61">
        <v>270</v>
      </c>
      <c r="W35" s="13">
        <f t="shared" si="21"/>
        <v>0</v>
      </c>
      <c r="X35" s="112"/>
      <c r="Y35" s="112"/>
    </row>
    <row r="36" spans="1:26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/>
      <c r="F36" s="127">
        <v>3.6</v>
      </c>
      <c r="G36" s="127"/>
      <c r="H36" s="127"/>
      <c r="I36" s="127"/>
      <c r="J36" s="127"/>
      <c r="K36" s="127"/>
      <c r="L36" s="127"/>
      <c r="M36" s="127"/>
      <c r="N36" s="127"/>
      <c r="O36" s="127">
        <v>25.2</v>
      </c>
      <c r="P36" s="164"/>
      <c r="Q36" s="24">
        <f t="shared" si="16"/>
        <v>28.8</v>
      </c>
      <c r="R36" s="127">
        <f t="shared" si="5"/>
        <v>26.422018348623851</v>
      </c>
      <c r="S36" s="5">
        <f t="shared" si="18"/>
        <v>2.3779816513761496</v>
      </c>
      <c r="T36" s="94">
        <f t="shared" si="17"/>
        <v>0.26666666666666666</v>
      </c>
      <c r="U36" s="71"/>
      <c r="V36" s="61">
        <v>432</v>
      </c>
      <c r="W36" s="13">
        <f t="shared" si="21"/>
        <v>115.2</v>
      </c>
      <c r="X36" s="112"/>
      <c r="Y36" s="112"/>
    </row>
    <row r="37" spans="1:26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309.99999999999994</v>
      </c>
      <c r="F37" s="127"/>
      <c r="G37" s="127"/>
      <c r="H37" s="127">
        <v>206.66666666666652</v>
      </c>
      <c r="I37" s="127"/>
      <c r="J37" s="127"/>
      <c r="K37" s="127"/>
      <c r="L37" s="127"/>
      <c r="M37" s="127"/>
      <c r="N37" s="127"/>
      <c r="O37" s="127">
        <v>103.33333984375</v>
      </c>
      <c r="P37" s="164"/>
      <c r="Q37" s="24">
        <f t="shared" si="16"/>
        <v>620.00000651041648</v>
      </c>
      <c r="R37" s="127">
        <f t="shared" si="5"/>
        <v>568.80734542240043</v>
      </c>
      <c r="S37" s="5">
        <f t="shared" si="18"/>
        <v>51.192661088016052</v>
      </c>
      <c r="T37" s="94">
        <f t="shared" si="17"/>
        <v>0.688888896122685</v>
      </c>
      <c r="U37" s="71"/>
      <c r="V37" s="61"/>
      <c r="W37" s="13"/>
      <c r="X37" s="112"/>
      <c r="Y37" s="112"/>
    </row>
    <row r="38" spans="1:26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51.666666666666657</v>
      </c>
      <c r="F38" s="127">
        <v>51.666666666666657</v>
      </c>
      <c r="G38" s="127"/>
      <c r="H38" s="127"/>
      <c r="I38" s="127"/>
      <c r="J38" s="127"/>
      <c r="K38" s="127"/>
      <c r="L38" s="127"/>
      <c r="M38" s="127"/>
      <c r="N38" s="127"/>
      <c r="O38" s="127"/>
      <c r="P38" s="164"/>
      <c r="Q38" s="24">
        <f t="shared" si="16"/>
        <v>103.33333333333331</v>
      </c>
      <c r="R38" s="127">
        <f t="shared" si="5"/>
        <v>94.801223241590193</v>
      </c>
      <c r="S38" s="5">
        <f t="shared" si="18"/>
        <v>8.532110091743121</v>
      </c>
      <c r="T38" s="94">
        <f t="shared" si="17"/>
        <v>0.2296296296296296</v>
      </c>
      <c r="U38" s="71"/>
      <c r="V38" s="61">
        <v>450</v>
      </c>
      <c r="W38" s="13">
        <f t="shared" si="21"/>
        <v>103.33333333333331</v>
      </c>
      <c r="X38" s="112"/>
      <c r="Y38" s="112"/>
    </row>
    <row r="39" spans="1:26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20.666666666666671</v>
      </c>
      <c r="F39" s="127">
        <v>94.67</v>
      </c>
      <c r="G39" s="127">
        <v>41.33</v>
      </c>
      <c r="H39" s="127">
        <f>20.67+20+20.67</f>
        <v>61.34</v>
      </c>
      <c r="I39" s="127"/>
      <c r="J39" s="127"/>
      <c r="K39" s="127"/>
      <c r="L39" s="127"/>
      <c r="M39" s="127"/>
      <c r="N39" s="127"/>
      <c r="O39" s="127">
        <v>277.33</v>
      </c>
      <c r="P39" s="164"/>
      <c r="Q39" s="24">
        <f t="shared" si="16"/>
        <v>495.3366666666667</v>
      </c>
      <c r="R39" s="127">
        <f t="shared" si="5"/>
        <v>454.43730886850153</v>
      </c>
      <c r="S39" s="5">
        <f t="shared" si="18"/>
        <v>40.89935779816517</v>
      </c>
      <c r="T39" s="94">
        <f t="shared" si="17"/>
        <v>2.7518703703703706</v>
      </c>
      <c r="U39" s="71"/>
      <c r="V39" s="61">
        <v>720</v>
      </c>
      <c r="W39" s="13">
        <f t="shared" si="21"/>
        <v>1981.3466666666668</v>
      </c>
      <c r="X39" s="112"/>
      <c r="Y39" s="112"/>
    </row>
    <row r="40" spans="1:26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>
        <v>558</v>
      </c>
      <c r="P40" s="164"/>
      <c r="Q40" s="24">
        <f t="shared" si="16"/>
        <v>558</v>
      </c>
      <c r="R40" s="127">
        <f t="shared" si="5"/>
        <v>511.92660550458714</v>
      </c>
      <c r="S40" s="5">
        <f t="shared" si="18"/>
        <v>46.073394495412856</v>
      </c>
      <c r="T40" s="94">
        <f t="shared" si="17"/>
        <v>0.68888888888888888</v>
      </c>
      <c r="U40" s="71"/>
      <c r="V40" s="61"/>
      <c r="W40" s="13"/>
      <c r="X40" s="112"/>
      <c r="Y40" s="112"/>
    </row>
    <row r="41" spans="1:26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64"/>
      <c r="Q41" s="24">
        <f t="shared" si="16"/>
        <v>0</v>
      </c>
      <c r="R41" s="127">
        <f t="shared" si="5"/>
        <v>0</v>
      </c>
      <c r="S41" s="5">
        <f t="shared" si="18"/>
        <v>0</v>
      </c>
      <c r="T41" s="94">
        <f t="shared" si="17"/>
        <v>0</v>
      </c>
      <c r="U41" s="71"/>
      <c r="V41" s="61">
        <v>405</v>
      </c>
      <c r="W41" s="13">
        <f t="shared" si="21"/>
        <v>0</v>
      </c>
      <c r="X41" s="112"/>
      <c r="Y41" s="112"/>
    </row>
    <row r="42" spans="1:26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>
        <v>60</v>
      </c>
      <c r="P42" s="351"/>
      <c r="Q42" s="24">
        <f t="shared" si="16"/>
        <v>60</v>
      </c>
      <c r="R42" s="221">
        <f t="shared" si="5"/>
        <v>55.045871559633021</v>
      </c>
      <c r="S42" s="26">
        <f t="shared" si="18"/>
        <v>4.9541284403669792</v>
      </c>
      <c r="T42" s="244">
        <f t="shared" si="17"/>
        <v>0.37037037037037035</v>
      </c>
      <c r="U42" s="71"/>
      <c r="V42" s="61">
        <v>648</v>
      </c>
      <c r="W42" s="13">
        <f t="shared" si="21"/>
        <v>240</v>
      </c>
      <c r="X42" s="112"/>
      <c r="Y42" s="11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154.57534246575347</v>
      </c>
      <c r="F43" s="124">
        <v>11703.56</v>
      </c>
      <c r="G43" s="124">
        <v>1509.2328767123254</v>
      </c>
      <c r="H43" s="124">
        <f>67.095890410959+1417.51+254.27+169.01+114.66+73.04</f>
        <v>2095.5858904109591</v>
      </c>
      <c r="I43" s="124"/>
      <c r="J43" s="124"/>
      <c r="K43" s="124"/>
      <c r="L43" s="124"/>
      <c r="M43" s="124">
        <v>22.93</v>
      </c>
      <c r="N43" s="124"/>
      <c r="O43" s="124">
        <v>27.178083496093748</v>
      </c>
      <c r="P43" s="352"/>
      <c r="Q43" s="24">
        <f t="shared" si="16"/>
        <v>15513.062193085132</v>
      </c>
      <c r="R43" s="124">
        <f t="shared" si="5"/>
        <v>14232.167149619387</v>
      </c>
      <c r="S43" s="6">
        <f t="shared" si="18"/>
        <v>1280.8950434657454</v>
      </c>
      <c r="T43" s="22">
        <f t="shared" si="17"/>
        <v>1551.3062193085132</v>
      </c>
      <c r="U43" s="71"/>
      <c r="V43" s="61"/>
      <c r="W43" s="13"/>
      <c r="X43" s="112"/>
      <c r="Y43" s="112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502.05999999999995</v>
      </c>
      <c r="F44" s="82">
        <f>+SUM(F45:F53)</f>
        <v>16405.62</v>
      </c>
      <c r="G44" s="82">
        <f t="shared" ref="G44:T44" si="22">+SUM(G45:G53)</f>
        <v>2676.08</v>
      </c>
      <c r="H44" s="82">
        <f t="shared" si="22"/>
        <v>370.11999999999995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47.080000000000005</v>
      </c>
      <c r="N44" s="100">
        <f t="shared" si="22"/>
        <v>89.98</v>
      </c>
      <c r="O44" s="100">
        <f t="shared" si="22"/>
        <v>1927.31</v>
      </c>
      <c r="P44" s="100">
        <f t="shared" si="22"/>
        <v>0</v>
      </c>
      <c r="Q44" s="42">
        <f t="shared" si="22"/>
        <v>22018.25</v>
      </c>
      <c r="R44" s="82">
        <f t="shared" si="22"/>
        <v>20200.229357798165</v>
      </c>
      <c r="S44" s="77">
        <f t="shared" si="22"/>
        <v>1818.0206422018357</v>
      </c>
      <c r="T44" s="44">
        <f t="shared" si="22"/>
        <v>953.73333333333335</v>
      </c>
      <c r="U44" s="71"/>
      <c r="V44" s="61"/>
      <c r="W44" s="105">
        <f>+SUM(W45:W61)</f>
        <v>13378.150000000001</v>
      </c>
      <c r="X44" s="112"/>
      <c r="Y44" s="112"/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64"/>
      <c r="Q45" s="24">
        <f t="shared" ref="Q45:Q53" si="23">+SUM(E45:P45)</f>
        <v>0</v>
      </c>
      <c r="R45" s="127">
        <f t="shared" si="5"/>
        <v>0</v>
      </c>
      <c r="S45" s="24">
        <f t="shared" ref="S45:S53" si="24">+Q45-R45</f>
        <v>0</v>
      </c>
      <c r="T45" s="94">
        <f t="shared" ref="T45:T53" si="25">+Q45/D45</f>
        <v>0</v>
      </c>
      <c r="U45" s="71"/>
      <c r="V45" s="61"/>
      <c r="W45" s="13"/>
      <c r="X45" s="112"/>
      <c r="Y45" s="112"/>
      <c r="Z45"/>
    </row>
    <row r="46" spans="1:26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64"/>
      <c r="Q46" s="24">
        <f t="shared" si="23"/>
        <v>0</v>
      </c>
      <c r="R46" s="127">
        <f t="shared" si="5"/>
        <v>0</v>
      </c>
      <c r="S46" s="5">
        <f t="shared" si="24"/>
        <v>0</v>
      </c>
      <c r="T46" s="94">
        <f t="shared" si="25"/>
        <v>0</v>
      </c>
      <c r="U46" s="71"/>
      <c r="V46" s="61">
        <v>6</v>
      </c>
      <c r="W46" s="13">
        <f t="shared" ref="W46:W47" si="26">+T46*V46</f>
        <v>0</v>
      </c>
      <c r="X46" s="112"/>
      <c r="Y46" s="112"/>
    </row>
    <row r="47" spans="1:26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64"/>
      <c r="Q47" s="24">
        <f t="shared" si="23"/>
        <v>0</v>
      </c>
      <c r="R47" s="127">
        <f t="shared" si="5"/>
        <v>0</v>
      </c>
      <c r="S47" s="5">
        <f t="shared" si="24"/>
        <v>0</v>
      </c>
      <c r="T47" s="94">
        <f t="shared" si="25"/>
        <v>0</v>
      </c>
      <c r="U47" s="71"/>
      <c r="V47" s="61">
        <v>9.6</v>
      </c>
      <c r="W47" s="13">
        <f t="shared" si="26"/>
        <v>0</v>
      </c>
      <c r="X47" s="112"/>
      <c r="Y47" s="112"/>
    </row>
    <row r="48" spans="1:26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28</v>
      </c>
      <c r="F48" s="127">
        <v>756</v>
      </c>
      <c r="G48" s="127">
        <v>140</v>
      </c>
      <c r="H48" s="127"/>
      <c r="I48" s="127"/>
      <c r="J48" s="127"/>
      <c r="K48" s="127"/>
      <c r="L48" s="127"/>
      <c r="M48" s="127"/>
      <c r="N48" s="127">
        <v>14</v>
      </c>
      <c r="O48" s="127">
        <v>91</v>
      </c>
      <c r="P48" s="164"/>
      <c r="Q48" s="24">
        <f t="shared" si="23"/>
        <v>1029</v>
      </c>
      <c r="R48" s="127">
        <f t="shared" si="5"/>
        <v>944.03669724770634</v>
      </c>
      <c r="S48" s="5">
        <f t="shared" si="24"/>
        <v>84.963302752293657</v>
      </c>
      <c r="T48" s="94">
        <f t="shared" si="25"/>
        <v>49</v>
      </c>
      <c r="U48" s="71"/>
      <c r="V48" s="61"/>
      <c r="W48" s="13"/>
      <c r="X48" s="112"/>
      <c r="Y48" s="11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21</v>
      </c>
      <c r="G49" s="127">
        <v>21</v>
      </c>
      <c r="H49" s="127">
        <v>7</v>
      </c>
      <c r="I49" s="127"/>
      <c r="J49" s="127"/>
      <c r="K49" s="127"/>
      <c r="L49" s="127"/>
      <c r="M49" s="127"/>
      <c r="N49" s="127">
        <v>0</v>
      </c>
      <c r="O49" s="127"/>
      <c r="P49" s="164"/>
      <c r="Q49" s="24">
        <f t="shared" si="23"/>
        <v>49</v>
      </c>
      <c r="R49" s="127">
        <f t="shared" si="5"/>
        <v>44.954128440366972</v>
      </c>
      <c r="S49" s="5">
        <f t="shared" si="24"/>
        <v>4.0458715596330279</v>
      </c>
      <c r="T49" s="94">
        <f t="shared" si="25"/>
        <v>4.666666666666667</v>
      </c>
      <c r="U49" s="71"/>
      <c r="V49" s="61">
        <v>10.5</v>
      </c>
      <c r="W49" s="13">
        <f t="shared" ref="W49:W50" si="27">+T49*V49</f>
        <v>49</v>
      </c>
      <c r="X49" s="112"/>
      <c r="Y49" s="11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4.2</v>
      </c>
      <c r="F50" s="127">
        <v>400.4</v>
      </c>
      <c r="G50" s="127">
        <v>51.8</v>
      </c>
      <c r="H50" s="127">
        <v>5.6000000000000005</v>
      </c>
      <c r="I50" s="127"/>
      <c r="J50" s="127"/>
      <c r="K50" s="127"/>
      <c r="L50" s="127"/>
      <c r="M50" s="127">
        <v>2.8</v>
      </c>
      <c r="N50" s="127">
        <v>11.200000000000001</v>
      </c>
      <c r="O50" s="127">
        <v>77</v>
      </c>
      <c r="P50" s="164"/>
      <c r="Q50" s="24">
        <f t="shared" si="23"/>
        <v>553</v>
      </c>
      <c r="R50" s="127">
        <f t="shared" si="5"/>
        <v>507.33944954128435</v>
      </c>
      <c r="S50" s="5">
        <f t="shared" si="24"/>
        <v>45.660550458715647</v>
      </c>
      <c r="T50" s="94">
        <f t="shared" si="25"/>
        <v>131.66666666666666</v>
      </c>
      <c r="U50" s="71"/>
      <c r="V50" s="61">
        <v>16.8</v>
      </c>
      <c r="W50" s="13">
        <f t="shared" si="27"/>
        <v>2212</v>
      </c>
      <c r="X50" s="112"/>
      <c r="Y50" s="11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410</v>
      </c>
      <c r="F51" s="127">
        <v>12500.9</v>
      </c>
      <c r="G51" s="127">
        <v>1881.9</v>
      </c>
      <c r="H51" s="127">
        <v>291.09999999999997</v>
      </c>
      <c r="I51" s="127"/>
      <c r="J51" s="127"/>
      <c r="K51" s="127"/>
      <c r="L51" s="127"/>
      <c r="M51" s="127">
        <v>16.399999999999999</v>
      </c>
      <c r="N51" s="127">
        <v>57.400000000000006</v>
      </c>
      <c r="O51" s="127">
        <v>1357.1</v>
      </c>
      <c r="P51" s="164"/>
      <c r="Q51" s="24">
        <f t="shared" si="23"/>
        <v>16514.8</v>
      </c>
      <c r="R51" s="127">
        <f t="shared" si="5"/>
        <v>15151.192660550458</v>
      </c>
      <c r="S51" s="5">
        <f t="shared" si="24"/>
        <v>1363.6073394495415</v>
      </c>
      <c r="T51" s="94">
        <f t="shared" si="25"/>
        <v>402.79999999999995</v>
      </c>
      <c r="U51" s="71"/>
      <c r="V51" s="61"/>
      <c r="W51" s="13"/>
      <c r="X51" s="112"/>
      <c r="Y51" s="11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8.1999999999999993</v>
      </c>
      <c r="F52" s="123">
        <v>1070.0999999999999</v>
      </c>
      <c r="G52" s="123">
        <v>254.2</v>
      </c>
      <c r="H52" s="123">
        <v>45.099999999999994</v>
      </c>
      <c r="I52" s="123"/>
      <c r="J52" s="123"/>
      <c r="K52" s="123"/>
      <c r="L52" s="127"/>
      <c r="M52" s="127">
        <v>20.5</v>
      </c>
      <c r="N52" s="127">
        <v>0</v>
      </c>
      <c r="O52" s="123">
        <v>59.45</v>
      </c>
      <c r="P52" s="164"/>
      <c r="Q52" s="24">
        <f t="shared" si="23"/>
        <v>1457.55</v>
      </c>
      <c r="R52" s="127">
        <f t="shared" si="5"/>
        <v>1337.2018348623851</v>
      </c>
      <c r="S52" s="5">
        <f t="shared" si="24"/>
        <v>120.34816513761484</v>
      </c>
      <c r="T52" s="94">
        <f t="shared" si="25"/>
        <v>71.099999999999994</v>
      </c>
      <c r="U52" s="71"/>
      <c r="V52" s="61">
        <v>20.5</v>
      </c>
      <c r="W52" s="13">
        <f t="shared" ref="W52:W53" si="28">+T52*V52</f>
        <v>1457.55</v>
      </c>
      <c r="X52" s="112"/>
      <c r="Y52" s="11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51.66</v>
      </c>
      <c r="F53" s="199">
        <v>1657.22</v>
      </c>
      <c r="G53" s="199">
        <v>327.18</v>
      </c>
      <c r="H53" s="199">
        <v>21.32</v>
      </c>
      <c r="I53" s="199"/>
      <c r="J53" s="199"/>
      <c r="K53" s="199"/>
      <c r="L53" s="199"/>
      <c r="M53" s="148">
        <v>7.38</v>
      </c>
      <c r="N53" s="148">
        <v>7.3800000000000008</v>
      </c>
      <c r="O53" s="199">
        <v>342.76</v>
      </c>
      <c r="P53" s="353"/>
      <c r="Q53" s="359">
        <f t="shared" si="23"/>
        <v>2414.9000000000005</v>
      </c>
      <c r="R53" s="140">
        <f t="shared" si="5"/>
        <v>2215.5045871559637</v>
      </c>
      <c r="S53" s="6">
        <f t="shared" si="24"/>
        <v>199.39541284403685</v>
      </c>
      <c r="T53" s="22">
        <f t="shared" si="25"/>
        <v>294.50000000000011</v>
      </c>
      <c r="U53" s="71"/>
      <c r="V53" s="61">
        <v>32.799999999999997</v>
      </c>
      <c r="W53" s="13">
        <f t="shared" si="28"/>
        <v>9659.6000000000022</v>
      </c>
      <c r="X53" s="112"/>
      <c r="Y53" s="112"/>
    </row>
    <row r="54" spans="1:25" x14ac:dyDescent="0.25"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</row>
    <row r="66" spans="2:2" x14ac:dyDescent="0.25">
      <c r="B66" s="1"/>
    </row>
  </sheetData>
  <mergeCells count="19">
    <mergeCell ref="W3:W4"/>
    <mergeCell ref="Q3:Q4"/>
    <mergeCell ref="R3:R4"/>
    <mergeCell ref="S3:S4"/>
    <mergeCell ref="T3:T4"/>
    <mergeCell ref="N3:N4"/>
    <mergeCell ref="O3:P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Z73"/>
  <sheetViews>
    <sheetView zoomScaleNormal="100" workbookViewId="0">
      <pane xSplit="4" ySplit="4" topLeftCell="K41" activePane="bottomRight" state="frozen"/>
      <selection pane="topRight" activeCell="E1" sqref="E1"/>
      <selection pane="bottomLeft" activeCell="A5" sqref="A5"/>
      <selection pane="bottomRight" activeCell="M53" sqref="M53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3" style="1" customWidth="1"/>
    <col min="16" max="16" width="12.6640625" style="1" hidden="1" customWidth="1" outlineLevel="1"/>
    <col min="17" max="17" width="12.33203125" style="1" bestFit="1" customWidth="1" collapsed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55468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4" ht="21.6" customHeight="1" x14ac:dyDescent="0.3">
      <c r="A1" s="40" t="s">
        <v>393</v>
      </c>
      <c r="K1" s="2"/>
      <c r="L1" s="2"/>
      <c r="M1" s="2"/>
      <c r="N1" s="2"/>
      <c r="O1" s="2"/>
      <c r="P1" s="2"/>
    </row>
    <row r="2" spans="1:24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R2" s="3"/>
      <c r="T2" s="3"/>
    </row>
    <row r="3" spans="1:24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148</v>
      </c>
    </row>
    <row r="4" spans="1:24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46242.683835616423</v>
      </c>
      <c r="F5" s="82">
        <f t="shared" si="0"/>
        <v>1658198.3796347016</v>
      </c>
      <c r="G5" s="82">
        <f t="shared" si="0"/>
        <v>252722.84999999995</v>
      </c>
      <c r="H5" s="82">
        <f t="shared" si="0"/>
        <v>36704.414109589052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T5" si="1">+M6+M18+M44</f>
        <v>21755.16</v>
      </c>
      <c r="N5" s="192">
        <f>+N6+N18+N44</f>
        <v>5289.4933266666667</v>
      </c>
      <c r="O5" s="187">
        <f t="shared" si="1"/>
        <v>188115.69689208982</v>
      </c>
      <c r="P5" s="77">
        <f t="shared" si="1"/>
        <v>0</v>
      </c>
      <c r="Q5" s="42">
        <f t="shared" ref="Q5:Q10" si="2">+SUM(E5:P5)</f>
        <v>2209028.6777986633</v>
      </c>
      <c r="R5" s="42">
        <f t="shared" si="1"/>
        <v>2026631.8144941863</v>
      </c>
      <c r="S5" s="42">
        <f t="shared" si="1"/>
        <v>182396.86330447695</v>
      </c>
      <c r="T5" s="42">
        <f t="shared" si="1"/>
        <v>36974.46768469322</v>
      </c>
      <c r="U5" s="71"/>
      <c r="V5" s="87"/>
      <c r="W5" s="135">
        <f>+W7+W18+W44</f>
        <v>1430074.179835089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 t="shared" ref="M6:T6" si="4">+M7+M11</f>
        <v>0</v>
      </c>
      <c r="N6" s="192">
        <f>+N7+N11</f>
        <v>0</v>
      </c>
      <c r="O6" s="187">
        <f t="shared" si="4"/>
        <v>0</v>
      </c>
      <c r="P6" s="77">
        <f t="shared" si="4"/>
        <v>0</v>
      </c>
      <c r="Q6" s="42">
        <f t="shared" si="2"/>
        <v>0</v>
      </c>
      <c r="R6" s="42">
        <f t="shared" si="4"/>
        <v>0</v>
      </c>
      <c r="S6" s="42">
        <f t="shared" si="4"/>
        <v>0</v>
      </c>
      <c r="T6" s="44">
        <f t="shared" si="4"/>
        <v>0</v>
      </c>
      <c r="V6" s="61"/>
      <c r="W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:T7" si="6">+SUM(M8:M10)</f>
        <v>0</v>
      </c>
      <c r="N7" s="79">
        <f t="shared" si="6"/>
        <v>0</v>
      </c>
      <c r="O7" s="219">
        <f t="shared" si="6"/>
        <v>0</v>
      </c>
      <c r="P7" s="109">
        <f t="shared" si="6"/>
        <v>0</v>
      </c>
      <c r="Q7" s="43">
        <f t="shared" si="2"/>
        <v>0</v>
      </c>
      <c r="R7" s="79">
        <f t="shared" si="6"/>
        <v>0</v>
      </c>
      <c r="S7" s="79">
        <f t="shared" si="6"/>
        <v>0</v>
      </c>
      <c r="T7" s="226">
        <f t="shared" si="6"/>
        <v>0</v>
      </c>
      <c r="U7" s="71"/>
      <c r="V7" s="134"/>
      <c r="W7" s="105">
        <f>+SUM(W8:W17)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27"/>
      <c r="O8" s="17"/>
      <c r="P8" s="355"/>
      <c r="Q8" s="24">
        <f t="shared" si="2"/>
        <v>0</v>
      </c>
      <c r="R8" s="5">
        <f t="shared" ref="R8:R10" si="7">+Q8/1.09</f>
        <v>0</v>
      </c>
      <c r="S8" s="5">
        <f t="shared" ref="S8:S10" si="8">+Q8-R8</f>
        <v>0</v>
      </c>
      <c r="T8" s="21">
        <f>Q8/D8</f>
        <v>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9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27"/>
      <c r="O9" s="196"/>
      <c r="P9" s="350"/>
      <c r="Q9" s="24">
        <f t="shared" si="2"/>
        <v>0</v>
      </c>
      <c r="R9" s="26">
        <f t="shared" si="7"/>
        <v>0</v>
      </c>
      <c r="S9" s="26">
        <f t="shared" si="8"/>
        <v>0</v>
      </c>
      <c r="T9" s="39">
        <f>Q9/D9</f>
        <v>0</v>
      </c>
      <c r="U9" s="71"/>
      <c r="V9" s="61">
        <v>1.75</v>
      </c>
      <c r="W9" s="13">
        <f>+T9*V9</f>
        <v>0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8"/>
      <c r="P10" s="360"/>
      <c r="Q10" s="24">
        <f t="shared" si="2"/>
        <v>0</v>
      </c>
      <c r="R10" s="6">
        <f t="shared" si="7"/>
        <v>0</v>
      </c>
      <c r="S10" s="6">
        <f t="shared" si="8"/>
        <v>0</v>
      </c>
      <c r="T10" s="22">
        <f>Q10/D10</f>
        <v>0</v>
      </c>
      <c r="U10" s="71"/>
      <c r="V10" s="107">
        <v>2.8</v>
      </c>
      <c r="W10" s="13">
        <f>+T10*V10</f>
        <v>0</v>
      </c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0">+SUM(E12:E17)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74">
        <f t="shared" si="10"/>
        <v>0</v>
      </c>
      <c r="K11" s="101">
        <f t="shared" si="10"/>
        <v>0</v>
      </c>
      <c r="L11" s="101"/>
      <c r="M11" s="101">
        <f t="shared" ref="M11:T11" si="11">+SUM(M12:M17)</f>
        <v>0</v>
      </c>
      <c r="N11" s="101">
        <f t="shared" si="11"/>
        <v>0</v>
      </c>
      <c r="O11" s="16">
        <f t="shared" si="11"/>
        <v>0</v>
      </c>
      <c r="P11" s="74">
        <f t="shared" si="11"/>
        <v>0</v>
      </c>
      <c r="Q11" s="43">
        <f t="shared" si="11"/>
        <v>0</v>
      </c>
      <c r="R11" s="43">
        <f t="shared" si="11"/>
        <v>0</v>
      </c>
      <c r="S11" s="43">
        <f t="shared" si="11"/>
        <v>0</v>
      </c>
      <c r="T11" s="45">
        <f t="shared" si="11"/>
        <v>0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27"/>
      <c r="O12" s="13"/>
      <c r="P12" s="357"/>
      <c r="Q12" s="24">
        <f t="shared" ref="Q12:Q17" si="12">+SUM(E12:P12)</f>
        <v>0</v>
      </c>
      <c r="R12" s="5">
        <f t="shared" ref="R12:R17" si="13">+Q12/1.09</f>
        <v>0</v>
      </c>
      <c r="S12" s="5">
        <f t="shared" ref="S12:S17" si="14">+Q12-R12</f>
        <v>0</v>
      </c>
      <c r="T12" s="21">
        <f t="shared" ref="T12:T17" si="15">Q12/D12</f>
        <v>0</v>
      </c>
      <c r="U12" s="2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27"/>
      <c r="O13" s="13"/>
      <c r="P13" s="357"/>
      <c r="Q13" s="24">
        <f t="shared" si="12"/>
        <v>0</v>
      </c>
      <c r="R13" s="5">
        <f t="shared" si="13"/>
        <v>0</v>
      </c>
      <c r="S13" s="5">
        <f t="shared" si="14"/>
        <v>0</v>
      </c>
      <c r="T13" s="21">
        <f t="shared" si="15"/>
        <v>0</v>
      </c>
      <c r="U13" s="71"/>
      <c r="V13" s="107">
        <v>1.1000000000000001</v>
      </c>
      <c r="W13" s="13">
        <f t="shared" ref="W13:W14" si="16">+T13*V13</f>
        <v>0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27"/>
      <c r="O14" s="13"/>
      <c r="P14" s="357"/>
      <c r="Q14" s="24">
        <f t="shared" si="12"/>
        <v>0</v>
      </c>
      <c r="R14" s="5">
        <f t="shared" si="13"/>
        <v>0</v>
      </c>
      <c r="S14" s="5">
        <f t="shared" si="14"/>
        <v>0</v>
      </c>
      <c r="T14" s="21">
        <f t="shared" si="15"/>
        <v>0</v>
      </c>
      <c r="U14" s="71"/>
      <c r="V14" s="61">
        <v>1.76</v>
      </c>
      <c r="W14" s="13">
        <f t="shared" si="16"/>
        <v>0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27"/>
      <c r="O15" s="13"/>
      <c r="P15" s="357"/>
      <c r="Q15" s="24">
        <f t="shared" si="12"/>
        <v>0</v>
      </c>
      <c r="R15" s="5">
        <f t="shared" si="13"/>
        <v>0</v>
      </c>
      <c r="S15" s="5">
        <f t="shared" si="14"/>
        <v>0</v>
      </c>
      <c r="T15" s="21">
        <f t="shared" si="15"/>
        <v>0</v>
      </c>
      <c r="U15" s="71"/>
      <c r="V15" s="61"/>
      <c r="W15" s="13"/>
    </row>
    <row r="16" spans="1:24" ht="12.75" x14ac:dyDescent="0.2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27"/>
      <c r="O16" s="13"/>
      <c r="P16" s="357"/>
      <c r="Q16" s="24">
        <f t="shared" si="12"/>
        <v>0</v>
      </c>
      <c r="R16" s="5">
        <f t="shared" si="13"/>
        <v>0</v>
      </c>
      <c r="S16" s="5">
        <f t="shared" si="14"/>
        <v>0</v>
      </c>
      <c r="T16" s="21">
        <f t="shared" si="15"/>
        <v>0</v>
      </c>
      <c r="U16" s="71"/>
      <c r="V16" s="107">
        <v>1.6</v>
      </c>
      <c r="W16" s="13">
        <f t="shared" ref="W16:W17" si="17">+T16*V16</f>
        <v>0</v>
      </c>
    </row>
    <row r="17" spans="1:26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27"/>
      <c r="O17" s="14"/>
      <c r="P17" s="358"/>
      <c r="Q17" s="24">
        <f t="shared" si="12"/>
        <v>0</v>
      </c>
      <c r="R17" s="5">
        <f t="shared" si="13"/>
        <v>0</v>
      </c>
      <c r="S17" s="5">
        <f t="shared" si="14"/>
        <v>0</v>
      </c>
      <c r="T17" s="22">
        <f t="shared" si="15"/>
        <v>0</v>
      </c>
      <c r="U17" s="71"/>
      <c r="V17" s="61">
        <v>2.56</v>
      </c>
      <c r="W17" s="13">
        <f t="shared" si="17"/>
        <v>0</v>
      </c>
    </row>
    <row r="18" spans="1:26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45969.843835616426</v>
      </c>
      <c r="F18" s="118">
        <f t="shared" ref="F18:T18" si="18">+SUM(F19:F43)</f>
        <v>1644244.9196347017</v>
      </c>
      <c r="G18" s="118">
        <f t="shared" si="18"/>
        <v>250813.07999999996</v>
      </c>
      <c r="H18" s="118">
        <f t="shared" si="18"/>
        <v>36174.304109589051</v>
      </c>
      <c r="I18" s="118">
        <f t="shared" si="18"/>
        <v>0</v>
      </c>
      <c r="J18" s="118">
        <f t="shared" si="18"/>
        <v>0</v>
      </c>
      <c r="K18" s="118">
        <f t="shared" si="18"/>
        <v>0</v>
      </c>
      <c r="L18" s="118"/>
      <c r="M18" s="118">
        <f t="shared" si="18"/>
        <v>21649.75</v>
      </c>
      <c r="N18" s="231">
        <f t="shared" ref="N18" si="19">+SUM(N19:N43)</f>
        <v>5262.3333266666668</v>
      </c>
      <c r="O18" s="231">
        <f t="shared" si="18"/>
        <v>186746.42689208983</v>
      </c>
      <c r="P18" s="118">
        <f t="shared" si="18"/>
        <v>0</v>
      </c>
      <c r="Q18" s="42">
        <f>+SUM(Q19:Q43)</f>
        <v>2190860.6577986632</v>
      </c>
      <c r="R18" s="118">
        <f t="shared" si="18"/>
        <v>2009963.9062373056</v>
      </c>
      <c r="S18" s="118">
        <f t="shared" si="18"/>
        <v>180896.7515613577</v>
      </c>
      <c r="T18" s="117">
        <f t="shared" si="18"/>
        <v>36252.067684693218</v>
      </c>
      <c r="U18" s="71"/>
      <c r="V18" s="61"/>
      <c r="W18" s="105">
        <f>+SUM(W19:W42)</f>
        <v>1421183.7998350891</v>
      </c>
    </row>
    <row r="19" spans="1:26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30693.333333333325</v>
      </c>
      <c r="F19" s="92">
        <v>1008569.9999999977</v>
      </c>
      <c r="G19" s="92">
        <v>148293.32999999999</v>
      </c>
      <c r="H19" s="92">
        <v>20290.000000000004</v>
      </c>
      <c r="I19" s="23"/>
      <c r="J19" s="34"/>
      <c r="K19" s="34"/>
      <c r="L19" s="34"/>
      <c r="M19" s="34">
        <v>13140</v>
      </c>
      <c r="N19" s="127">
        <v>3460</v>
      </c>
      <c r="O19" s="23">
        <v>103486.66376159668</v>
      </c>
      <c r="P19" s="356"/>
      <c r="Q19" s="24">
        <f t="shared" ref="Q19:Q43" si="20">+SUM(E19:P19)</f>
        <v>1327933.3270949277</v>
      </c>
      <c r="R19" s="99">
        <f t="shared" ref="R19:R43" si="21">+Q19/1.09</f>
        <v>1218287.4560503922</v>
      </c>
      <c r="S19" s="153">
        <f>+Q19-R19</f>
        <v>109645.87104453542</v>
      </c>
      <c r="T19" s="94">
        <f t="shared" ref="T19:T42" si="22">Q19/D19</f>
        <v>13279.333270949277</v>
      </c>
      <c r="U19" s="41"/>
      <c r="V19" s="61"/>
      <c r="W19" s="106"/>
      <c r="X19"/>
      <c r="Y19" s="142"/>
      <c r="Z19"/>
    </row>
    <row r="20" spans="1:26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5553.3333333333321</v>
      </c>
      <c r="F20" s="48">
        <v>309203.33333333366</v>
      </c>
      <c r="G20" s="48">
        <v>48338.33</v>
      </c>
      <c r="H20" s="48">
        <v>7926.6666666666652</v>
      </c>
      <c r="I20" s="13"/>
      <c r="J20" s="33"/>
      <c r="K20" s="33"/>
      <c r="L20" s="33"/>
      <c r="M20" s="33">
        <v>5208.33</v>
      </c>
      <c r="N20" s="127">
        <v>39.999999999999993</v>
      </c>
      <c r="O20" s="13">
        <v>5528.3331832885742</v>
      </c>
      <c r="P20" s="357"/>
      <c r="Q20" s="24">
        <f t="shared" si="20"/>
        <v>381798.32651662227</v>
      </c>
      <c r="R20" s="5">
        <f t="shared" si="21"/>
        <v>350273.69405194704</v>
      </c>
      <c r="S20" s="152">
        <f t="shared" ref="S20:S43" si="23">+Q20-R20</f>
        <v>31524.632464675233</v>
      </c>
      <c r="T20" s="21">
        <f t="shared" si="22"/>
        <v>7635.9665303324455</v>
      </c>
      <c r="U20" s="41"/>
      <c r="V20" s="61">
        <v>50</v>
      </c>
      <c r="W20" s="13">
        <f t="shared" ref="W20:W21" si="24">+T20*V20</f>
        <v>381798.32651662227</v>
      </c>
      <c r="Y20" s="142"/>
    </row>
    <row r="21" spans="1:26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4886</v>
      </c>
      <c r="F21" s="95">
        <v>183152.67</v>
      </c>
      <c r="G21" s="95">
        <v>30824.67</v>
      </c>
      <c r="H21" s="95">
        <v>2854</v>
      </c>
      <c r="I21" s="13"/>
      <c r="J21" s="33"/>
      <c r="K21" s="33"/>
      <c r="L21" s="33"/>
      <c r="M21" s="33">
        <f>162.67+1502</f>
        <v>1664.67</v>
      </c>
      <c r="N21" s="127">
        <v>1232.6666600000001</v>
      </c>
      <c r="O21" s="13">
        <v>21328</v>
      </c>
      <c r="P21" s="357"/>
      <c r="Q21" s="24">
        <f t="shared" si="20"/>
        <v>245942.67666000003</v>
      </c>
      <c r="R21" s="5">
        <f t="shared" si="21"/>
        <v>225635.48317431193</v>
      </c>
      <c r="S21" s="5">
        <f t="shared" si="23"/>
        <v>20307.193485688098</v>
      </c>
      <c r="T21" s="21">
        <f t="shared" si="22"/>
        <v>12297.133833000002</v>
      </c>
      <c r="U21" s="41"/>
      <c r="V21" s="61">
        <v>80</v>
      </c>
      <c r="W21" s="13">
        <f t="shared" si="24"/>
        <v>983770.70664000011</v>
      </c>
      <c r="Y21" s="142"/>
    </row>
    <row r="22" spans="1:26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4428</v>
      </c>
      <c r="F22" s="48">
        <v>120720</v>
      </c>
      <c r="G22" s="95">
        <v>20184</v>
      </c>
      <c r="H22" s="95">
        <v>3351</v>
      </c>
      <c r="I22" s="13"/>
      <c r="J22" s="33"/>
      <c r="K22" s="33"/>
      <c r="L22" s="33"/>
      <c r="M22" s="33">
        <v>1296</v>
      </c>
      <c r="N22" s="127">
        <v>423</v>
      </c>
      <c r="O22" s="13">
        <v>41877</v>
      </c>
      <c r="P22" s="357"/>
      <c r="Q22" s="24">
        <f t="shared" si="20"/>
        <v>192279</v>
      </c>
      <c r="R22" s="5">
        <f t="shared" si="21"/>
        <v>176402.75229357797</v>
      </c>
      <c r="S22" s="5">
        <f t="shared" si="23"/>
        <v>15876.247706422029</v>
      </c>
      <c r="T22" s="21">
        <f t="shared" si="22"/>
        <v>2136.4333333333334</v>
      </c>
      <c r="U22" s="41"/>
      <c r="V22" s="61"/>
      <c r="W22" s="13"/>
      <c r="Y22" s="142"/>
    </row>
    <row r="23" spans="1:26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147</v>
      </c>
      <c r="F23" s="95">
        <v>7599</v>
      </c>
      <c r="G23" s="95">
        <v>1344</v>
      </c>
      <c r="H23" s="95">
        <v>399</v>
      </c>
      <c r="I23" s="13"/>
      <c r="J23" s="33"/>
      <c r="K23" s="33"/>
      <c r="L23" s="33"/>
      <c r="M23" s="33">
        <v>22.5</v>
      </c>
      <c r="N23" s="127"/>
      <c r="O23" s="13">
        <v>1891.5</v>
      </c>
      <c r="P23" s="357"/>
      <c r="Q23" s="24">
        <f t="shared" si="20"/>
        <v>11403</v>
      </c>
      <c r="R23" s="5">
        <f t="shared" si="21"/>
        <v>10461.467889908256</v>
      </c>
      <c r="S23" s="5">
        <f t="shared" si="23"/>
        <v>941.53211009174447</v>
      </c>
      <c r="T23" s="21">
        <f t="shared" si="22"/>
        <v>253.4</v>
      </c>
      <c r="U23" s="35"/>
      <c r="V23" s="61">
        <v>45</v>
      </c>
      <c r="W23" s="13">
        <f t="shared" ref="W23:W24" si="25">+T23*V23</f>
        <v>11403</v>
      </c>
      <c r="Y23" s="142"/>
    </row>
    <row r="24" spans="1:26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55.2</v>
      </c>
      <c r="F24" s="95">
        <v>609.6</v>
      </c>
      <c r="G24" s="95">
        <v>97.2</v>
      </c>
      <c r="H24" s="95">
        <v>17.399999999999999</v>
      </c>
      <c r="I24" s="13"/>
      <c r="J24" s="33"/>
      <c r="K24" s="33"/>
      <c r="L24" s="33"/>
      <c r="M24" s="33">
        <v>13.2</v>
      </c>
      <c r="N24" s="127"/>
      <c r="O24" s="13">
        <v>321.60000000000002</v>
      </c>
      <c r="P24" s="357"/>
      <c r="Q24" s="24">
        <f t="shared" si="20"/>
        <v>1114.2000000000003</v>
      </c>
      <c r="R24" s="5">
        <f t="shared" si="21"/>
        <v>1022.2018348623855</v>
      </c>
      <c r="S24" s="5">
        <f t="shared" si="23"/>
        <v>91.998165137614819</v>
      </c>
      <c r="T24" s="21">
        <f t="shared" si="22"/>
        <v>61.900000000000013</v>
      </c>
      <c r="U24" s="35"/>
      <c r="V24" s="61">
        <v>72</v>
      </c>
      <c r="W24" s="13">
        <f t="shared" si="25"/>
        <v>4456.8000000000011</v>
      </c>
      <c r="Y24" s="142"/>
    </row>
    <row r="25" spans="1:26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3396.666666666667</v>
      </c>
      <c r="G25" s="95"/>
      <c r="H25" s="95"/>
      <c r="I25" s="13"/>
      <c r="J25" s="33"/>
      <c r="K25" s="33"/>
      <c r="L25" s="33"/>
      <c r="M25" s="33">
        <v>246.67</v>
      </c>
      <c r="N25" s="127"/>
      <c r="O25" s="13">
        <v>2763.3332812499998</v>
      </c>
      <c r="P25" s="357"/>
      <c r="Q25" s="24">
        <f t="shared" si="20"/>
        <v>6406.6699479166673</v>
      </c>
      <c r="R25" s="5">
        <f t="shared" si="21"/>
        <v>5877.6788512996945</v>
      </c>
      <c r="S25" s="5">
        <f t="shared" si="23"/>
        <v>528.99109661697275</v>
      </c>
      <c r="T25" s="21">
        <f t="shared" si="22"/>
        <v>21.355566493055559</v>
      </c>
      <c r="U25" s="35"/>
      <c r="V25" s="61"/>
      <c r="W25" s="13"/>
      <c r="Y25" s="142"/>
    </row>
    <row r="26" spans="1:26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2458.333333333333</v>
      </c>
      <c r="G26" s="95">
        <v>143.33000000000001</v>
      </c>
      <c r="H26" s="95"/>
      <c r="I26" s="13"/>
      <c r="J26" s="33"/>
      <c r="K26" s="33"/>
      <c r="L26" s="33"/>
      <c r="M26" s="33"/>
      <c r="N26" s="127"/>
      <c r="O26" s="13">
        <v>344.9999951171875</v>
      </c>
      <c r="P26" s="357"/>
      <c r="Q26" s="24">
        <f t="shared" si="20"/>
        <v>2946.6633284505206</v>
      </c>
      <c r="R26" s="5">
        <f t="shared" si="21"/>
        <v>2703.3608517894681</v>
      </c>
      <c r="S26" s="5">
        <f t="shared" si="23"/>
        <v>243.30247666105242</v>
      </c>
      <c r="T26" s="21">
        <f t="shared" si="22"/>
        <v>19.644422189670138</v>
      </c>
      <c r="U26" s="35"/>
      <c r="V26" s="61">
        <v>150</v>
      </c>
      <c r="W26" s="13">
        <f t="shared" ref="W26:W42" si="26">+T26*V26</f>
        <v>2946.6633284505206</v>
      </c>
      <c r="Y26" s="142"/>
    </row>
    <row r="27" spans="1:26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159.33333333333331</v>
      </c>
      <c r="F27" s="95">
        <v>2720</v>
      </c>
      <c r="G27" s="95">
        <v>388.67</v>
      </c>
      <c r="H27" s="95">
        <v>40</v>
      </c>
      <c r="I27" s="13"/>
      <c r="J27" s="33"/>
      <c r="K27" s="33"/>
      <c r="L27" s="33"/>
      <c r="M27" s="33"/>
      <c r="N27" s="127">
        <v>106.66666666666656</v>
      </c>
      <c r="O27" s="13">
        <v>2729.33</v>
      </c>
      <c r="P27" s="357"/>
      <c r="Q27" s="24">
        <f t="shared" si="20"/>
        <v>6144</v>
      </c>
      <c r="R27" s="5">
        <f t="shared" si="21"/>
        <v>5636.6972477064219</v>
      </c>
      <c r="S27" s="5">
        <f t="shared" si="23"/>
        <v>507.30275229357812</v>
      </c>
      <c r="T27" s="21">
        <f t="shared" si="22"/>
        <v>102.4</v>
      </c>
      <c r="U27" s="35"/>
      <c r="V27" s="61">
        <v>240</v>
      </c>
      <c r="W27" s="13">
        <f t="shared" si="26"/>
        <v>24576</v>
      </c>
      <c r="Y27" s="142"/>
    </row>
    <row r="28" spans="1:26" ht="14.4" x14ac:dyDescent="0.3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507</v>
      </c>
      <c r="G28" s="95"/>
      <c r="H28" s="95">
        <v>444</v>
      </c>
      <c r="I28" s="13"/>
      <c r="J28" s="33"/>
      <c r="K28" s="33"/>
      <c r="L28" s="33"/>
      <c r="M28" s="33"/>
      <c r="N28" s="127"/>
      <c r="O28" s="13">
        <v>3732</v>
      </c>
      <c r="P28" s="357"/>
      <c r="Q28" s="24">
        <f t="shared" si="20"/>
        <v>4683</v>
      </c>
      <c r="R28" s="5">
        <f t="shared" si="21"/>
        <v>4296.3302752293575</v>
      </c>
      <c r="S28" s="5">
        <f t="shared" si="23"/>
        <v>386.66972477064246</v>
      </c>
      <c r="T28" s="21">
        <f t="shared" si="22"/>
        <v>17.344444444444445</v>
      </c>
      <c r="U28" s="35"/>
      <c r="V28" s="61"/>
      <c r="W28" s="13"/>
      <c r="Y28" s="142"/>
    </row>
    <row r="29" spans="1:26" ht="14.4" x14ac:dyDescent="0.3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>
        <v>129</v>
      </c>
      <c r="G29" s="95"/>
      <c r="H29" s="95"/>
      <c r="I29" s="13"/>
      <c r="J29" s="33"/>
      <c r="K29" s="33"/>
      <c r="L29" s="33"/>
      <c r="M29" s="33"/>
      <c r="N29" s="127"/>
      <c r="O29" s="13"/>
      <c r="P29" s="357"/>
      <c r="Q29" s="24">
        <f t="shared" si="20"/>
        <v>129</v>
      </c>
      <c r="R29" s="5">
        <f t="shared" si="21"/>
        <v>118.348623853211</v>
      </c>
      <c r="S29" s="5">
        <f t="shared" si="23"/>
        <v>10.651376146789005</v>
      </c>
      <c r="T29" s="21">
        <f t="shared" si="22"/>
        <v>0.9555555555555556</v>
      </c>
      <c r="U29" s="35"/>
      <c r="V29" s="61">
        <v>135</v>
      </c>
      <c r="W29" s="13">
        <f t="shared" si="26"/>
        <v>129</v>
      </c>
      <c r="Y29" s="142"/>
    </row>
    <row r="30" spans="1:26" ht="14.4" x14ac:dyDescent="0.3">
      <c r="A30" s="46" t="s">
        <v>78</v>
      </c>
      <c r="B30" s="53" t="s">
        <v>126</v>
      </c>
      <c r="C30" s="59" t="s">
        <v>182</v>
      </c>
      <c r="D30" s="60">
        <v>54</v>
      </c>
      <c r="E30" s="120"/>
      <c r="F30" s="95"/>
      <c r="G30" s="95"/>
      <c r="H30" s="95"/>
      <c r="I30" s="13"/>
      <c r="J30" s="33"/>
      <c r="K30" s="33"/>
      <c r="L30" s="33"/>
      <c r="M30" s="33"/>
      <c r="N30" s="127"/>
      <c r="O30" s="13">
        <v>48</v>
      </c>
      <c r="P30" s="357"/>
      <c r="Q30" s="24">
        <f t="shared" si="20"/>
        <v>48</v>
      </c>
      <c r="R30" s="5">
        <f t="shared" si="21"/>
        <v>44.036697247706421</v>
      </c>
      <c r="S30" s="5">
        <f t="shared" si="23"/>
        <v>3.9633027522935791</v>
      </c>
      <c r="T30" s="21">
        <f t="shared" si="22"/>
        <v>0.88888888888888884</v>
      </c>
      <c r="U30" s="35"/>
      <c r="V30" s="61">
        <v>216</v>
      </c>
      <c r="W30" s="13">
        <f t="shared" si="26"/>
        <v>192</v>
      </c>
      <c r="Y30" s="142"/>
    </row>
    <row r="31" spans="1:26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>
        <v>506.66666666666674</v>
      </c>
      <c r="G31" s="95"/>
      <c r="H31" s="95"/>
      <c r="I31" s="13"/>
      <c r="J31" s="33"/>
      <c r="K31" s="33"/>
      <c r="L31" s="33"/>
      <c r="M31" s="33"/>
      <c r="N31" s="127"/>
      <c r="O31" s="13"/>
      <c r="P31" s="357"/>
      <c r="Q31" s="24">
        <f t="shared" si="20"/>
        <v>506.66666666666674</v>
      </c>
      <c r="R31" s="5">
        <f t="shared" si="21"/>
        <v>464.83180428134563</v>
      </c>
      <c r="S31" s="5">
        <f t="shared" si="23"/>
        <v>41.834862385321117</v>
      </c>
      <c r="T31" s="21">
        <f t="shared" si="22"/>
        <v>0.84444444444444455</v>
      </c>
      <c r="U31" s="35"/>
      <c r="V31" s="61"/>
      <c r="W31" s="13"/>
      <c r="Y31" s="142"/>
    </row>
    <row r="32" spans="1:26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581.66666666666663</v>
      </c>
      <c r="G32" s="95">
        <v>548.33000000000004</v>
      </c>
      <c r="H32" s="95"/>
      <c r="I32" s="13"/>
      <c r="J32" s="33"/>
      <c r="K32" s="33"/>
      <c r="L32" s="33"/>
      <c r="M32" s="33"/>
      <c r="N32" s="127"/>
      <c r="O32" s="13"/>
      <c r="P32" s="357"/>
      <c r="Q32" s="24">
        <f t="shared" si="20"/>
        <v>1129.9966666666667</v>
      </c>
      <c r="R32" s="5">
        <f t="shared" si="21"/>
        <v>1036.6941896024464</v>
      </c>
      <c r="S32" s="5">
        <f t="shared" si="23"/>
        <v>93.302477064220284</v>
      </c>
      <c r="T32" s="21">
        <f t="shared" si="22"/>
        <v>3.7666555555555554</v>
      </c>
      <c r="U32" s="35"/>
      <c r="V32" s="61">
        <v>300</v>
      </c>
      <c r="W32" s="13">
        <f t="shared" si="26"/>
        <v>1129.9966666666667</v>
      </c>
      <c r="Y32" s="142"/>
    </row>
    <row r="33" spans="1:26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579.33000000000004</v>
      </c>
      <c r="G33" s="95">
        <v>99.33</v>
      </c>
      <c r="H33" s="95"/>
      <c r="I33" s="13"/>
      <c r="J33" s="33"/>
      <c r="K33" s="33"/>
      <c r="L33" s="33"/>
      <c r="M33" s="33"/>
      <c r="N33" s="127"/>
      <c r="O33" s="13">
        <v>638.00000396728512</v>
      </c>
      <c r="P33" s="357"/>
      <c r="Q33" s="24">
        <f t="shared" si="20"/>
        <v>1316.6600039672853</v>
      </c>
      <c r="R33" s="5">
        <f t="shared" si="21"/>
        <v>1207.9449577681517</v>
      </c>
      <c r="S33" s="5">
        <f t="shared" si="23"/>
        <v>108.71504619913367</v>
      </c>
      <c r="T33" s="21">
        <f t="shared" si="22"/>
        <v>10.972166699727378</v>
      </c>
      <c r="U33" s="35"/>
      <c r="V33" s="61">
        <v>480</v>
      </c>
      <c r="W33" s="13">
        <f t="shared" si="26"/>
        <v>5266.6400158691413</v>
      </c>
      <c r="Y33" s="142"/>
    </row>
    <row r="34" spans="1:26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127"/>
      <c r="O34" s="13">
        <v>942</v>
      </c>
      <c r="P34" s="357"/>
      <c r="Q34" s="24">
        <f t="shared" si="20"/>
        <v>942</v>
      </c>
      <c r="R34" s="5">
        <f t="shared" si="21"/>
        <v>864.22018348623851</v>
      </c>
      <c r="S34" s="5">
        <f t="shared" si="23"/>
        <v>77.779816513761489</v>
      </c>
      <c r="T34" s="21">
        <f t="shared" si="22"/>
        <v>1.7444444444444445</v>
      </c>
      <c r="U34" s="35"/>
      <c r="V34" s="61"/>
      <c r="W34" s="13"/>
      <c r="Y34" s="142"/>
    </row>
    <row r="35" spans="1:26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127"/>
      <c r="O35" s="13"/>
      <c r="P35" s="357"/>
      <c r="Q35" s="24">
        <f t="shared" si="20"/>
        <v>0</v>
      </c>
      <c r="R35" s="5">
        <f t="shared" si="21"/>
        <v>0</v>
      </c>
      <c r="S35" s="5">
        <f t="shared" si="23"/>
        <v>0</v>
      </c>
      <c r="T35" s="21">
        <f t="shared" si="22"/>
        <v>0</v>
      </c>
      <c r="U35" s="35"/>
      <c r="V35" s="61">
        <v>270</v>
      </c>
      <c r="W35" s="13">
        <f t="shared" si="26"/>
        <v>0</v>
      </c>
      <c r="Y35" s="142"/>
    </row>
    <row r="36" spans="1:26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/>
      <c r="I36" s="13"/>
      <c r="J36" s="33"/>
      <c r="K36" s="33"/>
      <c r="L36" s="33"/>
      <c r="M36" s="33"/>
      <c r="N36" s="127"/>
      <c r="O36" s="13"/>
      <c r="P36" s="357"/>
      <c r="Q36" s="24">
        <f t="shared" si="20"/>
        <v>0</v>
      </c>
      <c r="R36" s="5">
        <f t="shared" si="21"/>
        <v>0</v>
      </c>
      <c r="S36" s="5">
        <f t="shared" si="23"/>
        <v>0</v>
      </c>
      <c r="T36" s="21">
        <f t="shared" si="22"/>
        <v>0</v>
      </c>
      <c r="U36" s="35"/>
      <c r="V36" s="61">
        <v>432</v>
      </c>
      <c r="W36" s="13">
        <f t="shared" si="26"/>
        <v>0</v>
      </c>
      <c r="Y36" s="142"/>
    </row>
    <row r="37" spans="1:26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/>
      <c r="I37" s="13"/>
      <c r="J37" s="33"/>
      <c r="K37" s="33"/>
      <c r="L37" s="33"/>
      <c r="M37" s="33"/>
      <c r="N37" s="127"/>
      <c r="O37" s="13"/>
      <c r="P37" s="357"/>
      <c r="Q37" s="24">
        <f t="shared" si="20"/>
        <v>0</v>
      </c>
      <c r="R37" s="5">
        <f t="shared" si="21"/>
        <v>0</v>
      </c>
      <c r="S37" s="5">
        <f t="shared" si="23"/>
        <v>0</v>
      </c>
      <c r="T37" s="21">
        <f t="shared" si="22"/>
        <v>0</v>
      </c>
      <c r="U37" s="35"/>
      <c r="V37" s="61"/>
      <c r="W37" s="13"/>
      <c r="Y37" s="142"/>
    </row>
    <row r="38" spans="1:26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/>
      <c r="G38" s="95"/>
      <c r="H38" s="95"/>
      <c r="I38" s="13"/>
      <c r="J38" s="33"/>
      <c r="K38" s="33"/>
      <c r="L38" s="33"/>
      <c r="M38" s="33"/>
      <c r="N38" s="127"/>
      <c r="O38" s="13"/>
      <c r="P38" s="357"/>
      <c r="Q38" s="24">
        <f t="shared" si="20"/>
        <v>0</v>
      </c>
      <c r="R38" s="5">
        <f t="shared" si="21"/>
        <v>0</v>
      </c>
      <c r="S38" s="5">
        <f t="shared" si="23"/>
        <v>0</v>
      </c>
      <c r="T38" s="21">
        <f t="shared" si="22"/>
        <v>0</v>
      </c>
      <c r="U38" s="35"/>
      <c r="V38" s="61">
        <v>450</v>
      </c>
      <c r="W38" s="13">
        <f t="shared" si="26"/>
        <v>0</v>
      </c>
      <c r="Y38" s="142"/>
    </row>
    <row r="39" spans="1:26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>
        <v>858.66666666666674</v>
      </c>
      <c r="G39" s="95"/>
      <c r="H39" s="95">
        <v>169.33333333333331</v>
      </c>
      <c r="I39" s="13"/>
      <c r="J39" s="33"/>
      <c r="K39" s="33"/>
      <c r="L39" s="33"/>
      <c r="M39" s="33"/>
      <c r="N39" s="127"/>
      <c r="O39" s="13">
        <v>350.66666687011718</v>
      </c>
      <c r="P39" s="357"/>
      <c r="Q39" s="24">
        <f t="shared" si="20"/>
        <v>1378.6666668701173</v>
      </c>
      <c r="R39" s="5">
        <f t="shared" si="21"/>
        <v>1264.8318044679975</v>
      </c>
      <c r="S39" s="5">
        <f t="shared" si="23"/>
        <v>113.83486240211982</v>
      </c>
      <c r="T39" s="21">
        <f t="shared" si="22"/>
        <v>7.6592592603895406</v>
      </c>
      <c r="U39" s="35"/>
      <c r="V39" s="61">
        <v>720</v>
      </c>
      <c r="W39" s="13">
        <f t="shared" si="26"/>
        <v>5514.6666674804692</v>
      </c>
      <c r="Y39" s="142"/>
    </row>
    <row r="40" spans="1:26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127"/>
      <c r="O40" s="13">
        <v>765</v>
      </c>
      <c r="P40" s="357"/>
      <c r="Q40" s="24">
        <f t="shared" si="20"/>
        <v>765</v>
      </c>
      <c r="R40" s="5">
        <f t="shared" si="21"/>
        <v>701.834862385321</v>
      </c>
      <c r="S40" s="5">
        <f t="shared" si="23"/>
        <v>63.165137614678997</v>
      </c>
      <c r="T40" s="21">
        <f t="shared" si="22"/>
        <v>0.94444444444444442</v>
      </c>
      <c r="U40" s="71"/>
      <c r="V40" s="61"/>
      <c r="W40" s="13"/>
      <c r="Y40" s="142"/>
    </row>
    <row r="41" spans="1:26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127"/>
      <c r="O41" s="13"/>
      <c r="P41" s="357"/>
      <c r="Q41" s="24">
        <f t="shared" si="20"/>
        <v>0</v>
      </c>
      <c r="R41" s="5">
        <f t="shared" si="21"/>
        <v>0</v>
      </c>
      <c r="S41" s="5">
        <f t="shared" si="23"/>
        <v>0</v>
      </c>
      <c r="T41" s="21">
        <f t="shared" si="22"/>
        <v>0</v>
      </c>
      <c r="U41" s="71"/>
      <c r="V41" s="61">
        <v>405</v>
      </c>
      <c r="W41" s="13">
        <f t="shared" si="26"/>
        <v>0</v>
      </c>
      <c r="Y41" s="142"/>
    </row>
    <row r="42" spans="1:26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/>
      <c r="G42" s="250"/>
      <c r="H42" s="250"/>
      <c r="I42" s="25"/>
      <c r="J42" s="239"/>
      <c r="K42" s="239"/>
      <c r="L42" s="239"/>
      <c r="M42" s="239"/>
      <c r="N42" s="221"/>
      <c r="O42" s="25"/>
      <c r="P42" s="358"/>
      <c r="Q42" s="24">
        <f t="shared" si="20"/>
        <v>0</v>
      </c>
      <c r="R42" s="26">
        <f t="shared" si="21"/>
        <v>0</v>
      </c>
      <c r="S42" s="26">
        <f t="shared" si="23"/>
        <v>0</v>
      </c>
      <c r="T42" s="39">
        <f t="shared" si="22"/>
        <v>0</v>
      </c>
      <c r="U42" s="71"/>
      <c r="V42" s="61">
        <v>648</v>
      </c>
      <c r="W42" s="13">
        <f t="shared" si="26"/>
        <v>0</v>
      </c>
      <c r="Y42" s="14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47.643835616438352</v>
      </c>
      <c r="F43" s="124">
        <v>2652.9863013698632</v>
      </c>
      <c r="G43" s="124">
        <v>551.89</v>
      </c>
      <c r="H43" s="124">
        <v>682.90410958904113</v>
      </c>
      <c r="I43" s="124"/>
      <c r="J43" s="124"/>
      <c r="K43" s="124"/>
      <c r="L43" s="124"/>
      <c r="M43" s="124">
        <v>58.38</v>
      </c>
      <c r="N43" s="124"/>
      <c r="O43" s="148"/>
      <c r="P43" s="352"/>
      <c r="Q43" s="24">
        <f t="shared" si="20"/>
        <v>3993.8042465753429</v>
      </c>
      <c r="R43" s="124">
        <f t="shared" si="21"/>
        <v>3664.0405931883879</v>
      </c>
      <c r="S43" s="6">
        <f t="shared" si="23"/>
        <v>329.76365338695496</v>
      </c>
      <c r="T43" s="22">
        <f>+Q43/D43</f>
        <v>399.38042465753426</v>
      </c>
      <c r="U43" s="71"/>
      <c r="V43" s="61"/>
      <c r="W43" s="13"/>
      <c r="X43" s="2"/>
      <c r="Y43" s="1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272.83999999999997</v>
      </c>
      <c r="F44" s="82">
        <f>+SUM(F45:F53)</f>
        <v>13953.46</v>
      </c>
      <c r="G44" s="82">
        <f>+SUM(G45:G53)</f>
        <v>1909.7699999999998</v>
      </c>
      <c r="H44" s="82">
        <f>+SUM(H45:H53)</f>
        <v>530.11</v>
      </c>
      <c r="I44" s="82">
        <f t="shared" ref="I44:T44" si="27">+SUM(I45:I53)</f>
        <v>0</v>
      </c>
      <c r="J44" s="82">
        <f t="shared" si="27"/>
        <v>0</v>
      </c>
      <c r="K44" s="100">
        <f t="shared" si="27"/>
        <v>0</v>
      </c>
      <c r="L44" s="100"/>
      <c r="M44" s="100">
        <f t="shared" si="27"/>
        <v>105.41</v>
      </c>
      <c r="N44" s="100">
        <f t="shared" si="27"/>
        <v>27.16</v>
      </c>
      <c r="O44" s="187">
        <f t="shared" si="27"/>
        <v>1369.2700000000002</v>
      </c>
      <c r="P44" s="100">
        <f t="shared" si="27"/>
        <v>0</v>
      </c>
      <c r="Q44" s="42">
        <f>+SUM(Q45:Q53)</f>
        <v>18168.02</v>
      </c>
      <c r="R44" s="82">
        <f t="shared" si="27"/>
        <v>16667.908256880735</v>
      </c>
      <c r="S44" s="82">
        <f t="shared" si="27"/>
        <v>1500.1117431192667</v>
      </c>
      <c r="T44" s="19">
        <f t="shared" si="27"/>
        <v>722.40000000000009</v>
      </c>
      <c r="U44" s="71"/>
      <c r="V44" s="61"/>
      <c r="W44" s="105">
        <f>+SUM(W45:W68)</f>
        <v>8890.380000000001</v>
      </c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127"/>
      <c r="O45" s="308"/>
      <c r="P45" s="356"/>
      <c r="Q45" s="24">
        <f t="shared" ref="Q45:Q53" si="28">+SUM(E45:P45)</f>
        <v>0</v>
      </c>
      <c r="R45" s="99">
        <f t="shared" ref="R45:R53" si="29">+Q45/1.09</f>
        <v>0</v>
      </c>
      <c r="S45" s="64">
        <f t="shared" ref="S45:S53" si="30">+Q45-R45</f>
        <v>0</v>
      </c>
      <c r="T45" s="85">
        <f t="shared" ref="T45:T53" si="31">Q45/D45</f>
        <v>0</v>
      </c>
      <c r="U45" s="71"/>
      <c r="V45" s="61"/>
      <c r="W45" s="13"/>
      <c r="X45"/>
      <c r="Y45" s="142"/>
      <c r="Z45"/>
    </row>
    <row r="46" spans="1:26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127"/>
      <c r="O46" s="13"/>
      <c r="P46" s="357"/>
      <c r="Q46" s="24">
        <f t="shared" si="28"/>
        <v>0</v>
      </c>
      <c r="R46" s="5">
        <f t="shared" si="29"/>
        <v>0</v>
      </c>
      <c r="S46" s="5">
        <f t="shared" si="30"/>
        <v>0</v>
      </c>
      <c r="T46" s="31">
        <f t="shared" si="31"/>
        <v>0</v>
      </c>
      <c r="U46" s="71"/>
      <c r="V46" s="61">
        <v>6</v>
      </c>
      <c r="W46" s="13">
        <f t="shared" ref="W46:W47" si="32">+T46*V46</f>
        <v>0</v>
      </c>
      <c r="Y46" s="142"/>
    </row>
    <row r="47" spans="1:26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127"/>
      <c r="O47" s="13"/>
      <c r="P47" s="357"/>
      <c r="Q47" s="24">
        <f t="shared" si="28"/>
        <v>0</v>
      </c>
      <c r="R47" s="5">
        <f t="shared" si="29"/>
        <v>0</v>
      </c>
      <c r="S47" s="5">
        <f t="shared" si="30"/>
        <v>0</v>
      </c>
      <c r="T47" s="31">
        <f t="shared" si="31"/>
        <v>0</v>
      </c>
      <c r="U47" s="71"/>
      <c r="V47" s="61">
        <v>9.6</v>
      </c>
      <c r="W47" s="13">
        <f t="shared" si="32"/>
        <v>0</v>
      </c>
      <c r="Y47" s="142"/>
    </row>
    <row r="48" spans="1:26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14</v>
      </c>
      <c r="F48" s="13">
        <v>525</v>
      </c>
      <c r="G48" s="13">
        <v>98</v>
      </c>
      <c r="H48" s="13">
        <v>28</v>
      </c>
      <c r="I48" s="13"/>
      <c r="J48" s="33"/>
      <c r="K48" s="33"/>
      <c r="L48" s="33"/>
      <c r="M48" s="33">
        <v>14</v>
      </c>
      <c r="N48" s="127"/>
      <c r="O48" s="13">
        <v>14</v>
      </c>
      <c r="P48" s="357"/>
      <c r="Q48" s="24">
        <f t="shared" si="28"/>
        <v>693</v>
      </c>
      <c r="R48" s="5">
        <f t="shared" si="29"/>
        <v>635.77981651376138</v>
      </c>
      <c r="S48" s="5">
        <f t="shared" si="30"/>
        <v>57.220183486238625</v>
      </c>
      <c r="T48" s="31">
        <f t="shared" si="31"/>
        <v>33</v>
      </c>
      <c r="U48" s="71"/>
      <c r="V48" s="61"/>
      <c r="W48" s="13"/>
      <c r="Y48" s="142"/>
    </row>
    <row r="49" spans="1:25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49</v>
      </c>
      <c r="G49" s="13">
        <v>0</v>
      </c>
      <c r="H49" s="13">
        <v>0</v>
      </c>
      <c r="I49" s="13"/>
      <c r="J49" s="33"/>
      <c r="K49" s="33"/>
      <c r="L49" s="33"/>
      <c r="M49" s="33">
        <v>3.5</v>
      </c>
      <c r="N49" s="127"/>
      <c r="O49" s="13"/>
      <c r="P49" s="357"/>
      <c r="Q49" s="24">
        <f t="shared" si="28"/>
        <v>52.5</v>
      </c>
      <c r="R49" s="5">
        <f t="shared" si="29"/>
        <v>48.165137614678898</v>
      </c>
      <c r="S49" s="5">
        <f t="shared" si="30"/>
        <v>4.3348623853211024</v>
      </c>
      <c r="T49" s="21">
        <f t="shared" si="31"/>
        <v>5</v>
      </c>
      <c r="U49" s="71"/>
      <c r="V49" s="61">
        <v>10.5</v>
      </c>
      <c r="W49" s="13">
        <f t="shared" ref="W49:W50" si="33">+T49*V49</f>
        <v>52.5</v>
      </c>
      <c r="Y49" s="142"/>
    </row>
    <row r="50" spans="1:25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11.2</v>
      </c>
      <c r="F50" s="13">
        <v>289.8</v>
      </c>
      <c r="G50" s="13">
        <v>33.6</v>
      </c>
      <c r="H50" s="13">
        <v>5.6000000000000005</v>
      </c>
      <c r="I50" s="13"/>
      <c r="J50" s="33"/>
      <c r="K50" s="33"/>
      <c r="L50" s="33"/>
      <c r="M50" s="33">
        <v>1.4</v>
      </c>
      <c r="N50" s="127">
        <v>4.2</v>
      </c>
      <c r="O50" s="13">
        <v>32.200000000000003</v>
      </c>
      <c r="P50" s="357"/>
      <c r="Q50" s="24">
        <f t="shared" si="28"/>
        <v>378</v>
      </c>
      <c r="R50" s="5">
        <f t="shared" si="29"/>
        <v>346.78899082568807</v>
      </c>
      <c r="S50" s="5">
        <f t="shared" si="30"/>
        <v>31.211009174311926</v>
      </c>
      <c r="T50" s="21">
        <f t="shared" si="31"/>
        <v>90</v>
      </c>
      <c r="U50" s="71"/>
      <c r="V50" s="61">
        <v>16.8</v>
      </c>
      <c r="W50" s="13">
        <f t="shared" si="33"/>
        <v>1512</v>
      </c>
      <c r="Y50" s="142"/>
    </row>
    <row r="51" spans="1:25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192.7</v>
      </c>
      <c r="F51" s="13">
        <v>11295.5</v>
      </c>
      <c r="G51" s="13">
        <v>1418.6</v>
      </c>
      <c r="H51" s="13">
        <v>430.5</v>
      </c>
      <c r="I51" s="13"/>
      <c r="J51" s="33"/>
      <c r="K51" s="33"/>
      <c r="L51" s="33"/>
      <c r="M51" s="33">
        <v>57.4</v>
      </c>
      <c r="N51" s="127">
        <v>12.3</v>
      </c>
      <c r="O51" s="13">
        <v>889.7</v>
      </c>
      <c r="P51" s="357"/>
      <c r="Q51" s="24">
        <f t="shared" si="28"/>
        <v>14296.7</v>
      </c>
      <c r="R51" s="5">
        <f t="shared" si="29"/>
        <v>13116.238532110092</v>
      </c>
      <c r="S51" s="5">
        <f t="shared" si="30"/>
        <v>1180.4614678899088</v>
      </c>
      <c r="T51" s="21">
        <f t="shared" si="31"/>
        <v>348.70000000000005</v>
      </c>
      <c r="U51" s="71"/>
      <c r="V51" s="61"/>
      <c r="W51" s="13"/>
      <c r="Y51" s="142"/>
    </row>
    <row r="52" spans="1:25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36.9</v>
      </c>
      <c r="F52" s="13">
        <v>848.7</v>
      </c>
      <c r="G52" s="13">
        <v>174.25</v>
      </c>
      <c r="H52" s="13">
        <v>43.05</v>
      </c>
      <c r="I52" s="13"/>
      <c r="J52" s="33"/>
      <c r="K52" s="33"/>
      <c r="L52" s="33"/>
      <c r="M52" s="33">
        <v>18.45</v>
      </c>
      <c r="N52" s="127">
        <v>0</v>
      </c>
      <c r="O52" s="13">
        <v>100.45</v>
      </c>
      <c r="P52" s="357"/>
      <c r="Q52" s="24">
        <f t="shared" si="28"/>
        <v>1221.8</v>
      </c>
      <c r="R52" s="5">
        <f t="shared" si="29"/>
        <v>1120.9174311926604</v>
      </c>
      <c r="S52" s="5">
        <f t="shared" si="30"/>
        <v>100.88256880733957</v>
      </c>
      <c r="T52" s="21">
        <f t="shared" si="31"/>
        <v>59.599999999999994</v>
      </c>
      <c r="U52" s="71"/>
      <c r="V52" s="61">
        <v>20.5</v>
      </c>
      <c r="W52" s="13">
        <f t="shared" ref="W52:W53" si="34">+T52*V52</f>
        <v>1221.8</v>
      </c>
      <c r="Y52" s="142"/>
    </row>
    <row r="53" spans="1:25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18.04</v>
      </c>
      <c r="F53" s="14">
        <v>945.46</v>
      </c>
      <c r="G53" s="14">
        <v>185.32</v>
      </c>
      <c r="H53" s="14">
        <v>22.96</v>
      </c>
      <c r="I53" s="14"/>
      <c r="J53" s="76"/>
      <c r="K53" s="76"/>
      <c r="L53" s="76"/>
      <c r="M53" s="76">
        <v>10.66</v>
      </c>
      <c r="N53" s="148">
        <v>10.66</v>
      </c>
      <c r="O53" s="14">
        <v>332.92</v>
      </c>
      <c r="P53" s="224"/>
      <c r="Q53" s="359">
        <f t="shared" si="28"/>
        <v>1526.0200000000002</v>
      </c>
      <c r="R53" s="6">
        <f t="shared" si="29"/>
        <v>1400.0183486238534</v>
      </c>
      <c r="S53" s="6">
        <f t="shared" si="30"/>
        <v>126.00165137614681</v>
      </c>
      <c r="T53" s="22">
        <f t="shared" si="31"/>
        <v>186.10000000000005</v>
      </c>
      <c r="U53" s="35"/>
      <c r="V53" s="61">
        <v>32.799999999999997</v>
      </c>
      <c r="W53" s="13">
        <f t="shared" si="34"/>
        <v>6104.0800000000008</v>
      </c>
      <c r="Y53" s="14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W3:W4"/>
    <mergeCell ref="Q3:Q4"/>
    <mergeCell ref="R3:R4"/>
    <mergeCell ref="S3:S4"/>
    <mergeCell ref="T3:T4"/>
    <mergeCell ref="N3:N4"/>
    <mergeCell ref="O3:P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3"/>
  <sheetViews>
    <sheetView workbookViewId="0">
      <selection activeCell="E15" sqref="E15"/>
    </sheetView>
  </sheetViews>
  <sheetFormatPr defaultRowHeight="14.4" outlineLevelCol="1" x14ac:dyDescent="0.3"/>
  <cols>
    <col min="1" max="1" width="4.88671875" customWidth="1"/>
    <col min="3" max="3" width="14.88671875" bestFit="1" customWidth="1"/>
    <col min="5" max="5" width="11" customWidth="1"/>
    <col min="6" max="6" width="16.109375" customWidth="1"/>
    <col min="8" max="8" width="14.33203125" bestFit="1" customWidth="1"/>
    <col min="10" max="10" width="13.44140625" bestFit="1" customWidth="1"/>
    <col min="11" max="11" width="10.109375" hidden="1" customWidth="1" outlineLevel="1"/>
    <col min="12" max="14" width="0" hidden="1" customWidth="1" outlineLevel="1"/>
    <col min="15" max="15" width="79.109375" customWidth="1" collapsed="1"/>
    <col min="16" max="16" width="16.44140625" customWidth="1"/>
  </cols>
  <sheetData>
    <row r="1" spans="1:16" x14ac:dyDescent="0.3">
      <c r="A1" s="142" t="s">
        <v>308</v>
      </c>
      <c r="B1" s="142"/>
    </row>
    <row r="2" spans="1:16" x14ac:dyDescent="0.3">
      <c r="A2" s="142"/>
      <c r="B2" s="142"/>
    </row>
    <row r="3" spans="1:16" x14ac:dyDescent="0.3">
      <c r="A3" s="565" t="s">
        <v>433</v>
      </c>
      <c r="B3" s="563" t="s">
        <v>434</v>
      </c>
      <c r="C3" s="563" t="s">
        <v>435</v>
      </c>
      <c r="D3" s="563" t="s">
        <v>436</v>
      </c>
      <c r="E3" s="563" t="s">
        <v>437</v>
      </c>
      <c r="F3" s="563" t="s">
        <v>275</v>
      </c>
      <c r="G3" s="563" t="s">
        <v>304</v>
      </c>
      <c r="H3" s="563" t="s">
        <v>307</v>
      </c>
      <c r="I3" s="563" t="s">
        <v>339</v>
      </c>
      <c r="J3" s="563" t="s">
        <v>276</v>
      </c>
      <c r="K3" s="564" t="s">
        <v>429</v>
      </c>
      <c r="L3" s="564"/>
      <c r="M3" s="564"/>
      <c r="N3" s="564"/>
      <c r="O3" s="564"/>
      <c r="P3" s="564"/>
    </row>
    <row r="4" spans="1:16" ht="43.2" x14ac:dyDescent="0.3">
      <c r="A4" s="565"/>
      <c r="B4" s="563"/>
      <c r="C4" s="563"/>
      <c r="D4" s="563"/>
      <c r="E4" s="563"/>
      <c r="F4" s="563"/>
      <c r="G4" s="563"/>
      <c r="H4" s="563"/>
      <c r="I4" s="563"/>
      <c r="J4" s="563"/>
      <c r="K4" s="398" t="s">
        <v>277</v>
      </c>
      <c r="L4" s="398" t="s">
        <v>306</v>
      </c>
      <c r="M4" s="310" t="s">
        <v>332</v>
      </c>
      <c r="N4" s="310" t="s">
        <v>384</v>
      </c>
      <c r="O4" s="310" t="s">
        <v>414</v>
      </c>
      <c r="P4" s="310" t="s">
        <v>428</v>
      </c>
    </row>
    <row r="5" spans="1:16" x14ac:dyDescent="0.3">
      <c r="A5" s="320">
        <v>1</v>
      </c>
      <c r="B5" s="321" t="s">
        <v>278</v>
      </c>
      <c r="C5" s="322">
        <v>41659</v>
      </c>
      <c r="D5" s="323" t="s">
        <v>279</v>
      </c>
      <c r="E5" s="323" t="s">
        <v>280</v>
      </c>
      <c r="F5" s="322" t="s">
        <v>281</v>
      </c>
      <c r="G5" s="324">
        <v>8.8000000000000007</v>
      </c>
      <c r="H5" s="325">
        <v>3118108374</v>
      </c>
      <c r="I5" s="325" t="s">
        <v>342</v>
      </c>
      <c r="J5" s="322">
        <v>41661</v>
      </c>
      <c r="K5" s="322">
        <v>41666</v>
      </c>
      <c r="L5" s="345" t="s">
        <v>329</v>
      </c>
      <c r="M5" s="345" t="s">
        <v>333</v>
      </c>
      <c r="N5" s="345" t="s">
        <v>333</v>
      </c>
      <c r="O5" s="345" t="s">
        <v>415</v>
      </c>
      <c r="P5" s="345" t="s">
        <v>445</v>
      </c>
    </row>
    <row r="6" spans="1:16" x14ac:dyDescent="0.3">
      <c r="A6" s="320">
        <v>2</v>
      </c>
      <c r="B6" s="321" t="s">
        <v>282</v>
      </c>
      <c r="C6" s="322">
        <v>41666</v>
      </c>
      <c r="D6" s="323" t="s">
        <v>283</v>
      </c>
      <c r="E6" s="323" t="s">
        <v>284</v>
      </c>
      <c r="F6" s="322" t="s">
        <v>281</v>
      </c>
      <c r="G6" s="326">
        <v>4.4000000000000004</v>
      </c>
      <c r="H6" s="327">
        <v>3630614994</v>
      </c>
      <c r="I6" s="327" t="s">
        <v>341</v>
      </c>
      <c r="J6" s="322">
        <v>41666</v>
      </c>
      <c r="K6" s="322">
        <v>41674</v>
      </c>
      <c r="L6" s="345" t="s">
        <v>329</v>
      </c>
      <c r="M6" s="345" t="s">
        <v>334</v>
      </c>
      <c r="N6" s="345" t="s">
        <v>334</v>
      </c>
      <c r="O6" s="345" t="s">
        <v>334</v>
      </c>
      <c r="P6" s="345" t="s">
        <v>446</v>
      </c>
    </row>
    <row r="7" spans="1:16" x14ac:dyDescent="0.3">
      <c r="A7" s="320">
        <v>3</v>
      </c>
      <c r="B7" s="328" t="s">
        <v>285</v>
      </c>
      <c r="C7" s="322">
        <v>41680</v>
      </c>
      <c r="D7" s="323" t="s">
        <v>286</v>
      </c>
      <c r="E7" s="323" t="s">
        <v>287</v>
      </c>
      <c r="F7" s="322" t="s">
        <v>281</v>
      </c>
      <c r="G7" s="324">
        <v>3.2</v>
      </c>
      <c r="H7" s="325">
        <v>3404425254</v>
      </c>
      <c r="I7" s="325" t="s">
        <v>343</v>
      </c>
      <c r="J7" s="322">
        <v>41680</v>
      </c>
      <c r="K7" s="322">
        <v>41688</v>
      </c>
      <c r="L7" s="345" t="s">
        <v>329</v>
      </c>
      <c r="M7" s="345" t="s">
        <v>335</v>
      </c>
      <c r="N7" s="345" t="s">
        <v>335</v>
      </c>
      <c r="O7" s="345" t="s">
        <v>416</v>
      </c>
      <c r="P7" s="345" t="s">
        <v>416</v>
      </c>
    </row>
    <row r="8" spans="1:16" x14ac:dyDescent="0.3">
      <c r="A8" s="320">
        <v>4</v>
      </c>
      <c r="B8" s="329" t="s">
        <v>288</v>
      </c>
      <c r="C8" s="329">
        <v>41691</v>
      </c>
      <c r="D8" s="330" t="s">
        <v>289</v>
      </c>
      <c r="E8" s="330" t="s">
        <v>290</v>
      </c>
      <c r="F8" s="329" t="s">
        <v>281</v>
      </c>
      <c r="G8" s="324">
        <v>4.4000000000000004</v>
      </c>
      <c r="H8" s="325">
        <v>3623796770</v>
      </c>
      <c r="I8" s="325" t="s">
        <v>342</v>
      </c>
      <c r="J8" s="329">
        <v>41694</v>
      </c>
      <c r="K8" s="322">
        <v>41696</v>
      </c>
      <c r="L8" s="345" t="s">
        <v>329</v>
      </c>
      <c r="M8" s="345" t="s">
        <v>336</v>
      </c>
      <c r="N8" s="345" t="s">
        <v>336</v>
      </c>
      <c r="O8" s="345" t="s">
        <v>417</v>
      </c>
      <c r="P8" s="345" t="s">
        <v>417</v>
      </c>
    </row>
    <row r="9" spans="1:16" x14ac:dyDescent="0.3">
      <c r="A9" s="320">
        <v>6</v>
      </c>
      <c r="B9" s="331" t="s">
        <v>291</v>
      </c>
      <c r="C9" s="332">
        <v>41718</v>
      </c>
      <c r="D9" s="331" t="s">
        <v>292</v>
      </c>
      <c r="E9" s="331" t="s">
        <v>293</v>
      </c>
      <c r="F9" s="329" t="s">
        <v>281</v>
      </c>
      <c r="G9" s="324">
        <v>6.6</v>
      </c>
      <c r="H9" s="325">
        <v>2416471062</v>
      </c>
      <c r="I9" s="325" t="s">
        <v>344</v>
      </c>
      <c r="J9" s="332">
        <v>41725</v>
      </c>
      <c r="K9" s="332">
        <v>41732</v>
      </c>
      <c r="L9" s="345" t="s">
        <v>330</v>
      </c>
      <c r="M9" s="345" t="s">
        <v>337</v>
      </c>
      <c r="N9" s="345" t="s">
        <v>337</v>
      </c>
      <c r="O9" s="345" t="s">
        <v>418</v>
      </c>
      <c r="P9" s="345" t="s">
        <v>418</v>
      </c>
    </row>
    <row r="10" spans="1:16" x14ac:dyDescent="0.3">
      <c r="A10" s="320">
        <v>7</v>
      </c>
      <c r="B10" s="331" t="s">
        <v>294</v>
      </c>
      <c r="C10" s="332">
        <v>41724</v>
      </c>
      <c r="D10" s="331" t="s">
        <v>295</v>
      </c>
      <c r="E10" s="331" t="s">
        <v>296</v>
      </c>
      <c r="F10" s="329" t="s">
        <v>281</v>
      </c>
      <c r="G10" s="324">
        <v>11</v>
      </c>
      <c r="H10" s="325">
        <v>2834941138</v>
      </c>
      <c r="I10" s="325" t="s">
        <v>340</v>
      </c>
      <c r="J10" s="332">
        <v>41729</v>
      </c>
      <c r="K10" s="332">
        <v>41732</v>
      </c>
      <c r="L10" s="345" t="s">
        <v>331</v>
      </c>
      <c r="M10" s="346" t="s">
        <v>338</v>
      </c>
      <c r="N10" s="346" t="s">
        <v>338</v>
      </c>
      <c r="O10" s="346" t="s">
        <v>419</v>
      </c>
      <c r="P10" s="346" t="s">
        <v>419</v>
      </c>
    </row>
    <row r="11" spans="1:16" x14ac:dyDescent="0.3">
      <c r="A11" s="320">
        <v>8</v>
      </c>
      <c r="B11" s="331" t="s">
        <v>403</v>
      </c>
      <c r="C11" s="332">
        <v>41757</v>
      </c>
      <c r="D11" s="331" t="s">
        <v>404</v>
      </c>
      <c r="E11" s="331" t="s">
        <v>405</v>
      </c>
      <c r="F11" s="329" t="s">
        <v>281</v>
      </c>
      <c r="G11" s="324">
        <v>4.4000000000000004</v>
      </c>
      <c r="H11" s="325">
        <v>2420023098</v>
      </c>
      <c r="I11" s="325" t="s">
        <v>406</v>
      </c>
      <c r="J11" s="332">
        <v>41763</v>
      </c>
      <c r="K11" s="332">
        <v>41766</v>
      </c>
      <c r="L11" s="345"/>
      <c r="M11" s="346"/>
      <c r="N11" s="346"/>
      <c r="O11" s="346" t="s">
        <v>420</v>
      </c>
      <c r="P11" s="346" t="s">
        <v>420</v>
      </c>
    </row>
    <row r="12" spans="1:16" x14ac:dyDescent="0.3">
      <c r="A12" s="320">
        <v>9</v>
      </c>
      <c r="B12" s="331" t="s">
        <v>408</v>
      </c>
      <c r="C12" s="332">
        <v>41829</v>
      </c>
      <c r="D12" s="331" t="s">
        <v>409</v>
      </c>
      <c r="E12" s="331" t="s">
        <v>410</v>
      </c>
      <c r="F12" s="329" t="s">
        <v>281</v>
      </c>
      <c r="G12" s="324">
        <v>4.4000000000000004</v>
      </c>
      <c r="H12" s="325">
        <v>3403903654</v>
      </c>
      <c r="I12" s="325" t="s">
        <v>411</v>
      </c>
      <c r="J12" s="332">
        <v>41857</v>
      </c>
      <c r="K12" s="332">
        <v>41857</v>
      </c>
      <c r="L12" s="345"/>
      <c r="M12" s="346"/>
      <c r="N12" s="346"/>
      <c r="O12" s="346" t="s">
        <v>421</v>
      </c>
      <c r="P12" s="346" t="s">
        <v>447</v>
      </c>
    </row>
    <row r="13" spans="1:16" x14ac:dyDescent="0.3">
      <c r="A13" s="320">
        <v>10</v>
      </c>
      <c r="B13" s="331" t="s">
        <v>430</v>
      </c>
      <c r="C13" s="394">
        <v>41888</v>
      </c>
      <c r="D13" s="395" t="s">
        <v>431</v>
      </c>
      <c r="E13" s="395" t="s">
        <v>432</v>
      </c>
      <c r="F13" s="329" t="s">
        <v>281</v>
      </c>
      <c r="G13" s="396">
        <v>6.6</v>
      </c>
      <c r="H13" s="397">
        <v>2835815442</v>
      </c>
      <c r="I13" s="261"/>
      <c r="J13" s="261"/>
      <c r="K13" s="261"/>
      <c r="L13" s="261"/>
      <c r="M13" s="261"/>
      <c r="N13" s="261"/>
      <c r="O13" s="261"/>
      <c r="P13" s="261" t="s">
        <v>448</v>
      </c>
    </row>
  </sheetData>
  <mergeCells count="11"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P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X73"/>
  <sheetViews>
    <sheetView topLeftCell="K1" zoomScaleNormal="100" workbookViewId="0">
      <selection activeCell="W46" sqref="W46:W47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1.88671875" style="1" customWidth="1"/>
    <col min="16" max="16" width="11.88671875" style="1" hidden="1" customWidth="1" outlineLevel="1"/>
    <col min="17" max="17" width="12.33203125" style="1" bestFit="1" customWidth="1" collapsed="1"/>
    <col min="18" max="18" width="12.33203125" style="1" customWidth="1"/>
    <col min="19" max="19" width="13.109375" style="1" bestFit="1" customWidth="1"/>
    <col min="20" max="20" width="12.33203125" style="1" bestFit="1" customWidth="1"/>
    <col min="21" max="21" width="7.5546875" style="1" customWidth="1"/>
    <col min="22" max="22" width="6.44140625" style="1" customWidth="1" outlineLevel="1"/>
    <col min="23" max="23" width="13.33203125" style="2" customWidth="1" outlineLevel="1"/>
    <col min="24" max="24" width="4.33203125" style="1" customWidth="1" outlineLevel="1"/>
    <col min="25" max="16384" width="8.88671875" style="1"/>
  </cols>
  <sheetData>
    <row r="1" spans="1:24" ht="16.95" customHeight="1" x14ac:dyDescent="0.3">
      <c r="A1" s="40" t="s">
        <v>393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>
        <f>+W5/1.09</f>
        <v>4434607.5753072901</v>
      </c>
    </row>
    <row r="2" spans="1:24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4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270"/>
      <c r="W3" s="584" t="s">
        <v>148</v>
      </c>
    </row>
    <row r="4" spans="1:24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378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T5" si="0">+E6+E18+E44</f>
        <v>152942.49484018268</v>
      </c>
      <c r="F5" s="82">
        <f t="shared" si="0"/>
        <v>5688345.7070319662</v>
      </c>
      <c r="G5" s="82">
        <f t="shared" si="0"/>
        <v>858668.86954337882</v>
      </c>
      <c r="H5" s="82">
        <f t="shared" si="0"/>
        <v>129054.49511415524</v>
      </c>
      <c r="I5" s="187">
        <f t="shared" si="0"/>
        <v>756764.05</v>
      </c>
      <c r="J5" s="187">
        <f t="shared" si="0"/>
        <v>997215.1</v>
      </c>
      <c r="K5" s="192">
        <f t="shared" si="0"/>
        <v>867067.74</v>
      </c>
      <c r="L5" s="192">
        <f t="shared" si="0"/>
        <v>904.6800000000319</v>
      </c>
      <c r="M5" s="187">
        <f t="shared" si="0"/>
        <v>65319.090000000004</v>
      </c>
      <c r="N5" s="187">
        <f t="shared" si="0"/>
        <v>43240</v>
      </c>
      <c r="O5" s="187">
        <f t="shared" si="0"/>
        <v>540137.61842793459</v>
      </c>
      <c r="P5" s="187">
        <f t="shared" si="0"/>
        <v>0</v>
      </c>
      <c r="Q5" s="42">
        <f t="shared" ref="Q5:Q10" si="1">+SUM(E5:P5)</f>
        <v>10099659.844957616</v>
      </c>
      <c r="R5" s="42">
        <f t="shared" si="0"/>
        <v>9265742.9770253357</v>
      </c>
      <c r="S5" s="42">
        <f t="shared" si="0"/>
        <v>833916.86793228099</v>
      </c>
      <c r="T5" s="44">
        <f t="shared" si="0"/>
        <v>2353276.4518105639</v>
      </c>
      <c r="U5" s="71"/>
      <c r="V5" s="87"/>
      <c r="W5" s="135">
        <f>+W6+W18+W44</f>
        <v>4833722.2570849461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T6" si="2">+E7+E11</f>
        <v>40480.339999999997</v>
      </c>
      <c r="F6" s="82">
        <f t="shared" si="2"/>
        <v>1638678.0400000003</v>
      </c>
      <c r="G6" s="82">
        <f t="shared" si="2"/>
        <v>241096.63999999998</v>
      </c>
      <c r="H6" s="82">
        <f t="shared" si="2"/>
        <v>33933.96</v>
      </c>
      <c r="I6" s="187">
        <f t="shared" si="2"/>
        <v>756764.05</v>
      </c>
      <c r="J6" s="187">
        <f t="shared" si="2"/>
        <v>997215.1</v>
      </c>
      <c r="K6" s="192">
        <f t="shared" si="2"/>
        <v>867067.74</v>
      </c>
      <c r="L6" s="192">
        <f t="shared" si="2"/>
        <v>904.6800000000319</v>
      </c>
      <c r="M6" s="187">
        <f t="shared" si="2"/>
        <v>20364.040000000005</v>
      </c>
      <c r="N6" s="187">
        <f t="shared" si="2"/>
        <v>34338.68</v>
      </c>
      <c r="O6" s="187">
        <f t="shared" si="2"/>
        <v>138421.26</v>
      </c>
      <c r="P6" s="187">
        <f t="shared" si="2"/>
        <v>0</v>
      </c>
      <c r="Q6" s="42">
        <f t="shared" si="1"/>
        <v>4769264.5299999993</v>
      </c>
      <c r="R6" s="42">
        <f t="shared" si="2"/>
        <v>4375472.0458715595</v>
      </c>
      <c r="S6" s="42">
        <f t="shared" si="2"/>
        <v>393792.48412844044</v>
      </c>
      <c r="T6" s="44">
        <f t="shared" si="2"/>
        <v>2229452</v>
      </c>
      <c r="V6" s="61"/>
      <c r="W6" s="105">
        <f>+SUM(W8:W17)</f>
        <v>1018006.87</v>
      </c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T7" si="3">+SUM(E8:E10)</f>
        <v>0</v>
      </c>
      <c r="F7" s="269">
        <f t="shared" si="3"/>
        <v>0</v>
      </c>
      <c r="G7" s="126">
        <f t="shared" si="3"/>
        <v>0</v>
      </c>
      <c r="H7" s="126">
        <f t="shared" si="3"/>
        <v>0</v>
      </c>
      <c r="I7" s="126">
        <f t="shared" si="3"/>
        <v>756764.05</v>
      </c>
      <c r="J7" s="126">
        <f t="shared" si="3"/>
        <v>997215.1</v>
      </c>
      <c r="K7" s="126">
        <f t="shared" si="3"/>
        <v>0</v>
      </c>
      <c r="L7" s="126">
        <f t="shared" si="3"/>
        <v>0</v>
      </c>
      <c r="M7" s="269">
        <f t="shared" si="3"/>
        <v>0</v>
      </c>
      <c r="N7" s="269">
        <f t="shared" si="3"/>
        <v>0</v>
      </c>
      <c r="O7" s="126">
        <f t="shared" si="3"/>
        <v>0</v>
      </c>
      <c r="P7" s="126">
        <f t="shared" si="3"/>
        <v>0</v>
      </c>
      <c r="Q7" s="43">
        <f t="shared" si="1"/>
        <v>1753979.15</v>
      </c>
      <c r="R7" s="43">
        <f t="shared" si="3"/>
        <v>1609155.1834862384</v>
      </c>
      <c r="S7" s="43">
        <f t="shared" si="3"/>
        <v>144823.96651376149</v>
      </c>
      <c r="T7" s="45">
        <f t="shared" si="3"/>
        <v>631100</v>
      </c>
      <c r="U7" s="71"/>
      <c r="V7" s="134"/>
      <c r="W7" s="105"/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+'R_2014_07_atkelta(viso)'!E8+R_2014_07_priskirta!E9</f>
        <v>0</v>
      </c>
      <c r="F8" s="127">
        <f>+'R_2014_07_atkelta(viso)'!F8+R_2014_07_priskirta!F9</f>
        <v>0</v>
      </c>
      <c r="G8" s="127">
        <f>+'R_2014_07_atkelta(viso)'!G8+R_2014_07_priskirta!G9</f>
        <v>0</v>
      </c>
      <c r="H8" s="127">
        <f>+'R_2014_07_atkelta(viso)'!H8+R_2014_07_priskirta!H9</f>
        <v>0</v>
      </c>
      <c r="I8" s="127">
        <f>+'R_2014_07_atkelta(viso)'!I8+R_2014_07_priskirta!I9</f>
        <v>539378</v>
      </c>
      <c r="J8" s="127">
        <f>+'R_2014_07_atkelta(viso)'!J8+R_2014_07_priskirta!J9</f>
        <v>774067</v>
      </c>
      <c r="K8" s="127">
        <f>+'R_2014_07_atkelta(viso)'!K8+R_2014_07_priskirta!K9</f>
        <v>0</v>
      </c>
      <c r="L8" s="127">
        <f>+'R_2014_07_atkelta(viso)'!L8+R_2014_07_priskirta!L9</f>
        <v>0</v>
      </c>
      <c r="M8" s="127">
        <f>+'R_2014_07_atkelta(viso)'!M8+R_2014_07_priskirta!M9</f>
        <v>0</v>
      </c>
      <c r="N8" s="127">
        <f>+'R_2014_07_atkelta(viso)'!N8+R_2014_07_priskirta!N9</f>
        <v>0</v>
      </c>
      <c r="O8" s="127">
        <f>+'R_2014_07_atkelta(viso)'!O8+R_2014_07_priskirta!O9</f>
        <v>0</v>
      </c>
      <c r="P8" s="127">
        <f>+'R_2014_06_atkelta(viso)'!Q8+R_2014_06_priskirta!Q9</f>
        <v>0</v>
      </c>
      <c r="Q8" s="24">
        <f t="shared" si="1"/>
        <v>1313445</v>
      </c>
      <c r="R8" s="229">
        <f>+Q8/1.09</f>
        <v>1204995.4128440367</v>
      </c>
      <c r="S8" s="73">
        <f t="shared" ref="S8:S10" si="4">+Q8-R8</f>
        <v>108449.58715596329</v>
      </c>
      <c r="T8" s="39">
        <f>Q8/D8</f>
        <v>375270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+'R_2014_07_atkelta(viso)'!E9+R_2014_07_priskirta!E10</f>
        <v>0</v>
      </c>
      <c r="F9" s="127">
        <f>+'R_2014_07_atkelta(viso)'!F9+R_2014_07_priskirta!F10</f>
        <v>0</v>
      </c>
      <c r="G9" s="127">
        <f>+'R_2014_07_atkelta(viso)'!G9+R_2014_07_priskirta!G10</f>
        <v>0</v>
      </c>
      <c r="H9" s="127">
        <f>+'R_2014_07_atkelta(viso)'!H9+R_2014_07_priskirta!H10</f>
        <v>0</v>
      </c>
      <c r="I9" s="127">
        <f>+'R_2014_07_atkelta(viso)'!I9+R_2014_07_priskirta!I10</f>
        <v>214705.75</v>
      </c>
      <c r="J9" s="127">
        <f>+'R_2014_07_atkelta(viso)'!J9+R_2014_07_priskirta!J10</f>
        <v>221049.5</v>
      </c>
      <c r="K9" s="127">
        <f>+'R_2014_07_atkelta(viso)'!K9+R_2014_07_priskirta!K10</f>
        <v>0</v>
      </c>
      <c r="L9" s="127">
        <f>+'R_2014_07_atkelta(viso)'!L9+R_2014_07_priskirta!L10</f>
        <v>0</v>
      </c>
      <c r="M9" s="127">
        <f>+'R_2014_07_atkelta(viso)'!M9+R_2014_07_priskirta!M10</f>
        <v>0</v>
      </c>
      <c r="N9" s="127">
        <f>+'R_2014_07_atkelta(viso)'!N9+R_2014_07_priskirta!N10</f>
        <v>0</v>
      </c>
      <c r="O9" s="127">
        <f>+'R_2014_07_atkelta(viso)'!O9+R_2014_07_priskirta!O10</f>
        <v>0</v>
      </c>
      <c r="P9" s="127">
        <f>+'R_2014_06_atkelta(viso)'!Q9+R_2014_06_priskirta!Q10</f>
        <v>0</v>
      </c>
      <c r="Q9" s="24">
        <f t="shared" si="1"/>
        <v>435755.25</v>
      </c>
      <c r="R9" s="229">
        <f t="shared" ref="R9:R53" si="6">+Q9/1.09</f>
        <v>399775.45871559629</v>
      </c>
      <c r="S9" s="207">
        <f t="shared" si="4"/>
        <v>35979.791284403706</v>
      </c>
      <c r="T9" s="39">
        <f>Q9/D9</f>
        <v>249003</v>
      </c>
      <c r="U9" s="71"/>
      <c r="V9" s="61">
        <v>1.75</v>
      </c>
      <c r="W9" s="13">
        <f>+T9*V9</f>
        <v>435755.25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+'R_2014_07_atkelta(viso)'!E10+R_2014_07_priskirta!E11</f>
        <v>0</v>
      </c>
      <c r="F10" s="127">
        <f>+'R_2014_07_atkelta(viso)'!F10+R_2014_07_priskirta!F11</f>
        <v>0</v>
      </c>
      <c r="G10" s="127">
        <f>+'R_2014_07_atkelta(viso)'!G10+R_2014_07_priskirta!G11</f>
        <v>0</v>
      </c>
      <c r="H10" s="127">
        <f>+'R_2014_07_atkelta(viso)'!H10+R_2014_07_priskirta!H11</f>
        <v>0</v>
      </c>
      <c r="I10" s="127">
        <f>+'R_2014_07_atkelta(viso)'!I10+R_2014_07_priskirta!I11</f>
        <v>2680.3</v>
      </c>
      <c r="J10" s="127">
        <f>+'R_2014_07_atkelta(viso)'!J10+R_2014_07_priskirta!J11</f>
        <v>2098.6</v>
      </c>
      <c r="K10" s="127">
        <f>+'R_2014_07_atkelta(viso)'!K10+R_2014_07_priskirta!K11</f>
        <v>0</v>
      </c>
      <c r="L10" s="127">
        <f>+'R_2014_07_atkelta(viso)'!L10+R_2014_07_priskirta!L11</f>
        <v>0</v>
      </c>
      <c r="M10" s="127">
        <f>+'R_2014_07_atkelta(viso)'!M10+R_2014_07_priskirta!M11</f>
        <v>0</v>
      </c>
      <c r="N10" s="127">
        <f>+'R_2014_07_atkelta(viso)'!N10+R_2014_07_priskirta!N11</f>
        <v>0</v>
      </c>
      <c r="O10" s="127">
        <f>+'R_2014_07_atkelta(viso)'!O10+R_2014_07_priskirta!O11</f>
        <v>0</v>
      </c>
      <c r="P10" s="127">
        <f>+'R_2014_06_atkelta(viso)'!Q10+R_2014_06_priskirta!Q11</f>
        <v>0</v>
      </c>
      <c r="Q10" s="24">
        <f t="shared" si="1"/>
        <v>4778.8999999999996</v>
      </c>
      <c r="R10" s="229">
        <f t="shared" si="6"/>
        <v>4384.3119266055037</v>
      </c>
      <c r="S10" s="207">
        <f t="shared" si="4"/>
        <v>394.58807339449595</v>
      </c>
      <c r="T10" s="39">
        <f>Q10/D10</f>
        <v>6827</v>
      </c>
      <c r="U10" s="71"/>
      <c r="V10" s="107">
        <v>2.8</v>
      </c>
      <c r="W10" s="13">
        <f>+T10*V10</f>
        <v>19115.599999999999</v>
      </c>
      <c r="X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40480.339999999997</v>
      </c>
      <c r="F11" s="84">
        <f t="shared" si="7"/>
        <v>1638678.0400000003</v>
      </c>
      <c r="G11" s="84">
        <f t="shared" si="7"/>
        <v>241096.63999999998</v>
      </c>
      <c r="H11" s="84">
        <f t="shared" si="7"/>
        <v>33933.96</v>
      </c>
      <c r="I11" s="84">
        <f t="shared" si="7"/>
        <v>0</v>
      </c>
      <c r="J11" s="74">
        <f t="shared" si="7"/>
        <v>0</v>
      </c>
      <c r="K11" s="101">
        <f t="shared" si="7"/>
        <v>867067.74</v>
      </c>
      <c r="L11" s="101">
        <f t="shared" si="7"/>
        <v>904.6800000000319</v>
      </c>
      <c r="M11" s="101">
        <f t="shared" ref="M11:T11" si="8">+SUM(M12:M17)</f>
        <v>20364.040000000005</v>
      </c>
      <c r="N11" s="101">
        <f t="shared" ref="N11" si="9">+SUM(N12:N17)</f>
        <v>34338.68</v>
      </c>
      <c r="O11" s="101">
        <f t="shared" si="8"/>
        <v>138421.26</v>
      </c>
      <c r="P11" s="101">
        <f t="shared" ref="P11:Q11" si="10">+SUM(P12:P17)</f>
        <v>0</v>
      </c>
      <c r="Q11" s="43">
        <f t="shared" si="10"/>
        <v>3015285.38</v>
      </c>
      <c r="R11" s="43">
        <f t="shared" si="8"/>
        <v>2766316.8623853214</v>
      </c>
      <c r="S11" s="72">
        <f t="shared" si="8"/>
        <v>248968.51761467895</v>
      </c>
      <c r="T11" s="45">
        <f t="shared" si="8"/>
        <v>1598352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+'R_2014_07_atkelta(viso)'!E12+R_2014_07_priskirta!E13</f>
        <v>33165</v>
      </c>
      <c r="F12" s="127">
        <f>+'R_2014_07_atkelta(viso)'!F12+R_2014_07_priskirta!F13</f>
        <v>1252411.6000000001</v>
      </c>
      <c r="G12" s="127">
        <f>+'R_2014_07_atkelta(viso)'!G12+R_2014_07_priskirta!G13</f>
        <v>178076.79999999999</v>
      </c>
      <c r="H12" s="127">
        <f>+'R_2014_07_atkelta(viso)'!H12+R_2014_07_priskirta!H13</f>
        <v>26690.400000000005</v>
      </c>
      <c r="I12" s="127">
        <f>+'R_2014_07_atkelta(viso)'!I12+R_2014_07_priskirta!I13</f>
        <v>0</v>
      </c>
      <c r="J12" s="127">
        <f>+'R_2014_07_atkelta(viso)'!J12+R_2014_07_priskirta!J13</f>
        <v>0</v>
      </c>
      <c r="K12" s="127">
        <f>+'R_2014_07_atkelta(viso)'!K12+R_2014_07_priskirta!K13</f>
        <v>665018.19999999995</v>
      </c>
      <c r="L12" s="127">
        <f>+'R_2014_07_atkelta(viso)'!L12+R_2014_07_priskirta!L13</f>
        <v>646.80000000004657</v>
      </c>
      <c r="M12" s="127">
        <f>+'R_2014_07_atkelta(viso)'!M12+R_2014_07_priskirta!M13</f>
        <v>13939.2</v>
      </c>
      <c r="N12" s="127">
        <f>+'R_2014_07_atkelta(viso)'!N12+R_2014_07_priskirta!N13</f>
        <v>29482.2</v>
      </c>
      <c r="O12" s="127">
        <f>+'R_2014_07_atkelta(viso)'!O12+R_2014_07_priskirta!O13</f>
        <v>122507</v>
      </c>
      <c r="P12" s="127">
        <f>+'R_2014_06_atkelta(viso)'!Q12+R_2014_06_priskirta!Q13</f>
        <v>0</v>
      </c>
      <c r="Q12" s="24">
        <f t="shared" ref="Q12:Q17" si="11">+SUM(E12:P12)</f>
        <v>2321937.2000000002</v>
      </c>
      <c r="R12" s="229">
        <f t="shared" si="6"/>
        <v>2130217.6146788993</v>
      </c>
      <c r="S12" s="73">
        <f t="shared" ref="S12:S17" si="12">+Q12-R12</f>
        <v>191719.58532110089</v>
      </c>
      <c r="T12" s="21">
        <f t="shared" ref="T12:T17" si="13">Q12/D12</f>
        <v>1055426</v>
      </c>
      <c r="U12" s="71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+'R_2014_07_atkelta(viso)'!E13+R_2014_07_priskirta!E14</f>
        <v>6618.7</v>
      </c>
      <c r="F13" s="127">
        <f>+'R_2014_07_atkelta(viso)'!F13+R_2014_07_priskirta!F14</f>
        <v>357381.2</v>
      </c>
      <c r="G13" s="127">
        <f>+'R_2014_07_atkelta(viso)'!G13+R_2014_07_priskirta!G14</f>
        <v>57695</v>
      </c>
      <c r="H13" s="127">
        <f>+'R_2014_07_atkelta(viso)'!H13+R_2014_07_priskirta!H14</f>
        <v>7006.9999999999982</v>
      </c>
      <c r="I13" s="127">
        <f>+'R_2014_07_atkelta(viso)'!I13+R_2014_07_priskirta!I14</f>
        <v>0</v>
      </c>
      <c r="J13" s="127">
        <f>+'R_2014_07_atkelta(viso)'!J13+R_2014_07_priskirta!J14</f>
        <v>0</v>
      </c>
      <c r="K13" s="127">
        <f>+'R_2014_07_atkelta(viso)'!K13+R_2014_07_priskirta!K14</f>
        <v>68990.899999999994</v>
      </c>
      <c r="L13" s="127">
        <f>+'R_2014_07_atkelta(viso)'!L13+R_2014_07_priskirta!L14</f>
        <v>68.199999999982538</v>
      </c>
      <c r="M13" s="127">
        <f>+'R_2014_07_atkelta(viso)'!M13+R_2014_07_priskirta!M14</f>
        <v>6021.4</v>
      </c>
      <c r="N13" s="127">
        <f>+'R_2014_07_atkelta(viso)'!N13+R_2014_07_priskirta!N14</f>
        <v>970.19999999999993</v>
      </c>
      <c r="O13" s="127">
        <f>+'R_2014_07_atkelta(viso)'!O13+R_2014_07_priskirta!O14</f>
        <v>8418.2999999999993</v>
      </c>
      <c r="P13" s="127">
        <f>+'R_2014_06_atkelta(viso)'!Q13+R_2014_06_priskirta!Q14</f>
        <v>0</v>
      </c>
      <c r="Q13" s="24">
        <f t="shared" si="11"/>
        <v>513170.9</v>
      </c>
      <c r="R13" s="229">
        <f t="shared" si="6"/>
        <v>470798.99082568806</v>
      </c>
      <c r="S13" s="73">
        <f t="shared" si="12"/>
        <v>42371.909174311964</v>
      </c>
      <c r="T13" s="21">
        <f t="shared" si="13"/>
        <v>466519</v>
      </c>
      <c r="U13" s="71"/>
      <c r="V13" s="107">
        <v>1.1000000000000001</v>
      </c>
      <c r="W13" s="13">
        <f t="shared" ref="W13:W14" si="14">+T13*V13</f>
        <v>513170.9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+'R_2014_07_atkelta(viso)'!E14+R_2014_07_priskirta!E15</f>
        <v>70.400000000000006</v>
      </c>
      <c r="F14" s="127">
        <f>+'R_2014_07_atkelta(viso)'!F14+R_2014_07_priskirta!F15</f>
        <v>3992.12</v>
      </c>
      <c r="G14" s="127">
        <f>+'R_2014_07_atkelta(viso)'!G14+R_2014_07_priskirta!G15</f>
        <v>649</v>
      </c>
      <c r="H14" s="127">
        <f>+'R_2014_07_atkelta(viso)'!H14+R_2014_07_priskirta!H15</f>
        <v>66</v>
      </c>
      <c r="I14" s="127">
        <f>+'R_2014_07_atkelta(viso)'!I14+R_2014_07_priskirta!I15</f>
        <v>0</v>
      </c>
      <c r="J14" s="127">
        <f>+'R_2014_07_atkelta(viso)'!J14+R_2014_07_priskirta!J15</f>
        <v>0</v>
      </c>
      <c r="K14" s="127">
        <f>+'R_2014_07_atkelta(viso)'!K14+R_2014_07_priskirta!K15</f>
        <v>1178.32</v>
      </c>
      <c r="L14" s="127">
        <f>+'R_2014_07_atkelta(viso)'!L14+R_2014_07_priskirta!L15</f>
        <v>0.87999999999988177</v>
      </c>
      <c r="M14" s="127">
        <f>+'R_2014_07_atkelta(viso)'!M14+R_2014_07_priskirta!M15</f>
        <v>64.239999999999995</v>
      </c>
      <c r="N14" s="127">
        <f>+'R_2014_07_atkelta(viso)'!N14+R_2014_07_priskirta!N15</f>
        <v>207.24000000000004</v>
      </c>
      <c r="O14" s="127">
        <f>+'R_2014_07_atkelta(viso)'!O14+R_2014_07_priskirta!O15</f>
        <v>90.2</v>
      </c>
      <c r="P14" s="127">
        <f>+'R_2014_06_atkelta(viso)'!Q14+R_2014_06_priskirta!Q15</f>
        <v>0</v>
      </c>
      <c r="Q14" s="24">
        <f t="shared" si="11"/>
        <v>6318.4</v>
      </c>
      <c r="R14" s="229">
        <f t="shared" si="6"/>
        <v>5796.697247706421</v>
      </c>
      <c r="S14" s="73">
        <f t="shared" si="12"/>
        <v>521.70275229357867</v>
      </c>
      <c r="T14" s="21">
        <f t="shared" si="13"/>
        <v>14360</v>
      </c>
      <c r="U14" s="71"/>
      <c r="V14" s="61">
        <v>1.76</v>
      </c>
      <c r="W14" s="13">
        <f t="shared" si="14"/>
        <v>25273.599999999999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+'R_2014_07_atkelta(viso)'!E15+R_2014_07_priskirta!E16</f>
        <v>505.6</v>
      </c>
      <c r="F15" s="127">
        <f>+'R_2014_07_atkelta(viso)'!F15+R_2014_07_priskirta!F16</f>
        <v>19936</v>
      </c>
      <c r="G15" s="127">
        <f>+'R_2014_07_atkelta(viso)'!G15+R_2014_07_priskirta!G16</f>
        <v>3628.8</v>
      </c>
      <c r="H15" s="127">
        <f>+'R_2014_07_atkelta(viso)'!H15+R_2014_07_priskirta!H16</f>
        <v>67.200000000000017</v>
      </c>
      <c r="I15" s="127">
        <f>+'R_2014_07_atkelta(viso)'!I15+R_2014_07_priskirta!I16</f>
        <v>0</v>
      </c>
      <c r="J15" s="127">
        <f>+'R_2014_07_atkelta(viso)'!J15+R_2014_07_priskirta!J16</f>
        <v>0</v>
      </c>
      <c r="K15" s="127">
        <f>+'R_2014_07_atkelta(viso)'!K15+R_2014_07_priskirta!K16</f>
        <v>115676.8</v>
      </c>
      <c r="L15" s="127">
        <f>+'R_2014_07_atkelta(viso)'!L15+R_2014_07_priskirta!L16</f>
        <v>160</v>
      </c>
      <c r="M15" s="127">
        <f>+'R_2014_07_atkelta(viso)'!M15+R_2014_07_priskirta!M16</f>
        <v>278.39999999999998</v>
      </c>
      <c r="N15" s="127">
        <f>+'R_2014_07_atkelta(viso)'!N15+R_2014_07_priskirta!N16</f>
        <v>3465.5999999999995</v>
      </c>
      <c r="O15" s="127">
        <f>+'R_2014_07_atkelta(viso)'!O15+R_2014_07_priskirta!O16</f>
        <v>6864</v>
      </c>
      <c r="P15" s="127">
        <f>+'R_2014_06_atkelta(viso)'!Q15+R_2014_06_priskirta!Q16</f>
        <v>0</v>
      </c>
      <c r="Q15" s="24">
        <f t="shared" si="11"/>
        <v>150582.39999999999</v>
      </c>
      <c r="R15" s="229">
        <f t="shared" si="6"/>
        <v>138148.99082568806</v>
      </c>
      <c r="S15" s="73">
        <f t="shared" si="12"/>
        <v>12433.409174311935</v>
      </c>
      <c r="T15" s="21">
        <f t="shared" si="13"/>
        <v>47056.999999999993</v>
      </c>
      <c r="U15" s="71"/>
      <c r="V15" s="61"/>
      <c r="W15" s="13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+'R_2014_07_atkelta(viso)'!E16+R_2014_07_priskirta!E17</f>
        <v>116.8</v>
      </c>
      <c r="F16" s="127">
        <f>+'R_2014_07_atkelta(viso)'!F16+R_2014_07_priskirta!F17</f>
        <v>4824</v>
      </c>
      <c r="G16" s="127">
        <f>+'R_2014_07_atkelta(viso)'!G16+R_2014_07_priskirta!G17</f>
        <v>1040</v>
      </c>
      <c r="H16" s="127">
        <f>+'R_2014_07_atkelta(viso)'!H16+R_2014_07_priskirta!H17</f>
        <v>100.80000000000001</v>
      </c>
      <c r="I16" s="127">
        <f>+'R_2014_07_atkelta(viso)'!I16+R_2014_07_priskirta!I17</f>
        <v>0</v>
      </c>
      <c r="J16" s="127">
        <f>+'R_2014_07_atkelta(viso)'!J16+R_2014_07_priskirta!J17</f>
        <v>0</v>
      </c>
      <c r="K16" s="127">
        <f>+'R_2014_07_atkelta(viso)'!K16+R_2014_07_priskirta!K17</f>
        <v>15948.8</v>
      </c>
      <c r="L16" s="127">
        <f>+'R_2014_07_atkelta(viso)'!L16+R_2014_07_priskirta!L17</f>
        <v>28.80000000000291</v>
      </c>
      <c r="M16" s="127">
        <f>+'R_2014_07_atkelta(viso)'!M16+R_2014_07_priskirta!M17</f>
        <v>54.4</v>
      </c>
      <c r="N16" s="127">
        <f>+'R_2014_07_atkelta(viso)'!N16+R_2014_07_priskirta!N17</f>
        <v>171.20000000000005</v>
      </c>
      <c r="O16" s="127">
        <f>+'R_2014_07_atkelta(viso)'!O16+R_2014_07_priskirta!O17</f>
        <v>520</v>
      </c>
      <c r="P16" s="127">
        <f>+'R_2014_06_atkelta(viso)'!Q16+R_2014_06_priskirta!Q17</f>
        <v>0</v>
      </c>
      <c r="Q16" s="24">
        <f t="shared" si="11"/>
        <v>22804.800000000007</v>
      </c>
      <c r="R16" s="229">
        <f t="shared" si="6"/>
        <v>20921.834862385327</v>
      </c>
      <c r="S16" s="73">
        <f t="shared" si="12"/>
        <v>1882.9651376146794</v>
      </c>
      <c r="T16" s="21">
        <f t="shared" si="13"/>
        <v>14253.000000000004</v>
      </c>
      <c r="U16" s="71"/>
      <c r="V16" s="13">
        <v>1.6</v>
      </c>
      <c r="W16" s="13">
        <f t="shared" ref="W16:W17" si="15">+T16*V16</f>
        <v>22804.800000000007</v>
      </c>
    </row>
    <row r="17" spans="1:24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+'R_2014_07_atkelta(viso)'!E17+R_2014_07_priskirta!E18</f>
        <v>3.84</v>
      </c>
      <c r="F17" s="127">
        <f>+'R_2014_07_atkelta(viso)'!F17+R_2014_07_priskirta!F18</f>
        <v>133.12</v>
      </c>
      <c r="G17" s="127">
        <f>+'R_2014_07_atkelta(viso)'!G17+R_2014_07_priskirta!G18</f>
        <v>7.04</v>
      </c>
      <c r="H17" s="127">
        <f>+'R_2014_07_atkelta(viso)'!H17+R_2014_07_priskirta!H18</f>
        <v>2.56</v>
      </c>
      <c r="I17" s="127">
        <f>+'R_2014_07_atkelta(viso)'!I17+R_2014_07_priskirta!I18</f>
        <v>0</v>
      </c>
      <c r="J17" s="127">
        <f>+'R_2014_07_atkelta(viso)'!J17+R_2014_07_priskirta!J18</f>
        <v>0</v>
      </c>
      <c r="K17" s="127">
        <f>+'R_2014_07_atkelta(viso)'!K17+R_2014_07_priskirta!K18</f>
        <v>254.72</v>
      </c>
      <c r="L17" s="127">
        <f>+'R_2014_07_atkelta(viso)'!L17+R_2014_07_priskirta!L18</f>
        <v>0</v>
      </c>
      <c r="M17" s="127">
        <f>+'R_2014_07_atkelta(viso)'!M17+R_2014_07_priskirta!M18</f>
        <v>6.4</v>
      </c>
      <c r="N17" s="127">
        <f>+'R_2014_07_atkelta(viso)'!N17+R_2014_07_priskirta!N18</f>
        <v>42.240000000000009</v>
      </c>
      <c r="O17" s="127">
        <f>+'R_2014_07_atkelta(viso)'!O17+R_2014_07_priskirta!O18</f>
        <v>21.76</v>
      </c>
      <c r="P17" s="127">
        <f>+'R_2014_06_atkelta(viso)'!Q17+R_2014_06_priskirta!Q18</f>
        <v>0</v>
      </c>
      <c r="Q17" s="24">
        <f t="shared" si="11"/>
        <v>471.67999999999995</v>
      </c>
      <c r="R17" s="229">
        <f t="shared" si="6"/>
        <v>432.73394495412839</v>
      </c>
      <c r="S17" s="207">
        <f t="shared" si="12"/>
        <v>38.94605504587156</v>
      </c>
      <c r="T17" s="22">
        <f t="shared" si="13"/>
        <v>736.99999999999989</v>
      </c>
      <c r="U17" s="71"/>
      <c r="V17" s="61">
        <v>2.56</v>
      </c>
      <c r="W17" s="13">
        <f t="shared" si="15"/>
        <v>1886.7199999999998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107235.73484018267</v>
      </c>
      <c r="F18" s="118">
        <f t="shared" ref="F18:T18" si="16">+SUM(F19:F43)</f>
        <v>3844775.3070319658</v>
      </c>
      <c r="G18" s="118">
        <f t="shared" si="16"/>
        <v>586592.11954337882</v>
      </c>
      <c r="H18" s="118">
        <f t="shared" si="16"/>
        <v>88962.025114155258</v>
      </c>
      <c r="I18" s="118">
        <f t="shared" si="16"/>
        <v>0</v>
      </c>
      <c r="J18" s="118">
        <f t="shared" si="16"/>
        <v>0</v>
      </c>
      <c r="K18" s="118">
        <f t="shared" si="16"/>
        <v>0</v>
      </c>
      <c r="L18" s="118">
        <f t="shared" ref="L18" si="17">+SUM(L19:L43)</f>
        <v>0</v>
      </c>
      <c r="M18" s="118">
        <f t="shared" si="16"/>
        <v>43225.78</v>
      </c>
      <c r="N18" s="118">
        <f t="shared" ref="N18" si="18">+SUM(N19:N43)</f>
        <v>7444.9999999999991</v>
      </c>
      <c r="O18" s="118">
        <f t="shared" si="16"/>
        <v>381829.61842793453</v>
      </c>
      <c r="P18" s="118">
        <f t="shared" ref="P18" si="19">+SUM(P19:P43)</f>
        <v>0</v>
      </c>
      <c r="Q18" s="42">
        <f>+SUM(Q19:Q43)</f>
        <v>5060065.5849576173</v>
      </c>
      <c r="R18" s="118">
        <f t="shared" si="16"/>
        <v>4642262.0045482721</v>
      </c>
      <c r="S18" s="118">
        <f t="shared" si="16"/>
        <v>417803.58040934516</v>
      </c>
      <c r="T18" s="253">
        <f t="shared" si="16"/>
        <v>86410.118477230542</v>
      </c>
      <c r="U18" s="71"/>
      <c r="V18" s="61"/>
      <c r="W18" s="105">
        <f>+SUM(W19:W43)</f>
        <v>3449795.1170849469</v>
      </c>
      <c r="X18" s="2"/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+'R_2014_07_atkelta(viso)'!E19+R_2014_07_priskirta!E20</f>
        <v>69966.666666666672</v>
      </c>
      <c r="F19" s="127">
        <f>+'R_2014_07_atkelta(viso)'!F19+R_2014_07_priskirta!F20</f>
        <v>2346506.6666666693</v>
      </c>
      <c r="G19" s="127">
        <f>+'R_2014_07_atkelta(viso)'!G19+R_2014_07_priskirta!G20</f>
        <v>349343.33666666667</v>
      </c>
      <c r="H19" s="127">
        <f>+'R_2014_07_atkelta(viso)'!H19+R_2014_07_priskirta!H20</f>
        <v>50056.666666666664</v>
      </c>
      <c r="I19" s="127">
        <f>+'R_2014_07_atkelta(viso)'!I19+R_2014_07_priskirta!I20</f>
        <v>0</v>
      </c>
      <c r="J19" s="127">
        <f>+'R_2014_07_atkelta(viso)'!J19+R_2014_07_priskirta!J20</f>
        <v>0</v>
      </c>
      <c r="K19" s="127">
        <f>+'R_2014_07_atkelta(viso)'!K19+R_2014_07_priskirta!K20</f>
        <v>0</v>
      </c>
      <c r="L19" s="127">
        <f>+'R_2014_07_atkelta(viso)'!L19+R_2014_07_priskirta!L20</f>
        <v>0</v>
      </c>
      <c r="M19" s="127">
        <f>+'R_2014_07_atkelta(viso)'!M19+R_2014_07_priskirta!M20</f>
        <v>28160</v>
      </c>
      <c r="N19" s="127">
        <f>+'R_2014_07_atkelta(viso)'!N19+R_2014_07_priskirta!N20</f>
        <v>4706.6666666666661</v>
      </c>
      <c r="O19" s="127">
        <f>+'R_2014_07_atkelta(viso)'!O19+R_2014_07_priskirta!O20</f>
        <v>209733.33958312988</v>
      </c>
      <c r="P19" s="127">
        <f>+'R_2014_06_atkelta(viso)'!Q19+R_2014_06_priskirta!Q20</f>
        <v>0</v>
      </c>
      <c r="Q19" s="24">
        <f t="shared" ref="Q19:Q43" si="20">+SUM(E19:P19)</f>
        <v>3058473.3429164658</v>
      </c>
      <c r="R19" s="229">
        <f t="shared" si="6"/>
        <v>2805938.8467123536</v>
      </c>
      <c r="S19" s="93">
        <f>+Q19-R19</f>
        <v>252534.49620411219</v>
      </c>
      <c r="T19" s="94">
        <f t="shared" ref="T19:T43" si="21">Q19/D19</f>
        <v>30584.733429164658</v>
      </c>
      <c r="U19" s="71"/>
      <c r="V19" s="61"/>
      <c r="W19" s="106"/>
      <c r="X19" s="205"/>
    </row>
    <row r="20" spans="1:24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+'R_2014_07_atkelta(viso)'!E20+R_2014_07_priskirta!E21</f>
        <v>14591.666666666668</v>
      </c>
      <c r="F20" s="127">
        <f>+'R_2014_07_atkelta(viso)'!F20+R_2014_07_priskirta!F21</f>
        <v>705934.99666666635</v>
      </c>
      <c r="G20" s="127">
        <f>+'R_2014_07_atkelta(viso)'!G20+R_2014_07_priskirta!G21</f>
        <v>102586.67</v>
      </c>
      <c r="H20" s="127">
        <f>+'R_2014_07_atkelta(viso)'!H20+R_2014_07_priskirta!H21</f>
        <v>18140</v>
      </c>
      <c r="I20" s="127">
        <f>+'R_2014_07_atkelta(viso)'!I20+R_2014_07_priskirta!I21</f>
        <v>0</v>
      </c>
      <c r="J20" s="127">
        <f>+'R_2014_07_atkelta(viso)'!J20+R_2014_07_priskirta!J21</f>
        <v>0</v>
      </c>
      <c r="K20" s="127">
        <f>+'R_2014_07_atkelta(viso)'!K20+R_2014_07_priskirta!K21</f>
        <v>0</v>
      </c>
      <c r="L20" s="127">
        <f>+'R_2014_07_atkelta(viso)'!L20+R_2014_07_priskirta!L21</f>
        <v>0</v>
      </c>
      <c r="M20" s="127">
        <f>+'R_2014_07_atkelta(viso)'!M20+R_2014_07_priskirta!M21</f>
        <v>9371.67</v>
      </c>
      <c r="N20" s="127">
        <f>+'R_2014_07_atkelta(viso)'!N20+R_2014_07_priskirta!N21</f>
        <v>258.33333333333331</v>
      </c>
      <c r="O20" s="127">
        <f>+'R_2014_07_atkelta(viso)'!O20+R_2014_07_priskirta!O21</f>
        <v>12451.667045440674</v>
      </c>
      <c r="P20" s="127">
        <f>+'R_2014_06_atkelta(viso)'!Q20+R_2014_06_priskirta!Q21</f>
        <v>0</v>
      </c>
      <c r="Q20" s="24">
        <f t="shared" si="20"/>
        <v>863335.00371210708</v>
      </c>
      <c r="R20" s="229">
        <f t="shared" si="6"/>
        <v>792050.46212119912</v>
      </c>
      <c r="S20" s="73">
        <f t="shared" ref="S20:S43" si="22">+Q20-R20</f>
        <v>71284.54159090796</v>
      </c>
      <c r="T20" s="21">
        <f t="shared" si="21"/>
        <v>17266.700074242141</v>
      </c>
      <c r="U20" s="71"/>
      <c r="V20" s="61">
        <v>50</v>
      </c>
      <c r="W20" s="13">
        <f t="shared" ref="W20:W21" si="23">+T20*V20</f>
        <v>863335.00371210708</v>
      </c>
      <c r="X20" s="205"/>
    </row>
    <row r="21" spans="1:24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+'R_2014_07_atkelta(viso)'!E21+R_2014_07_priskirta!E22</f>
        <v>12616.67</v>
      </c>
      <c r="F21" s="127">
        <f>+'R_2014_07_atkelta(viso)'!F21+R_2014_07_priskirta!F22</f>
        <v>463136</v>
      </c>
      <c r="G21" s="127">
        <f>+'R_2014_07_atkelta(viso)'!G21+R_2014_07_priskirta!G22</f>
        <v>82290</v>
      </c>
      <c r="H21" s="127">
        <f>+'R_2014_07_atkelta(viso)'!H21+R_2014_07_priskirta!H22</f>
        <v>6646</v>
      </c>
      <c r="I21" s="127">
        <f>+'R_2014_07_atkelta(viso)'!I21+R_2014_07_priskirta!I22</f>
        <v>0</v>
      </c>
      <c r="J21" s="127">
        <f>+'R_2014_07_atkelta(viso)'!J21+R_2014_07_priskirta!J22</f>
        <v>0</v>
      </c>
      <c r="K21" s="127">
        <f>+'R_2014_07_atkelta(viso)'!K21+R_2014_07_priskirta!K22</f>
        <v>0</v>
      </c>
      <c r="L21" s="127">
        <f>+'R_2014_07_atkelta(viso)'!L21+R_2014_07_priskirta!L22</f>
        <v>0</v>
      </c>
      <c r="M21" s="127">
        <f>+'R_2014_07_atkelta(viso)'!M21+R_2014_07_priskirta!M22</f>
        <v>3239.99</v>
      </c>
      <c r="N21" s="127">
        <f>+'R_2014_07_atkelta(viso)'!N21+R_2014_07_priskirta!N22</f>
        <v>1674.6666666666665</v>
      </c>
      <c r="O21" s="127">
        <f>+'R_2014_07_atkelta(viso)'!O21+R_2014_07_priskirta!O22</f>
        <v>54591.333333329996</v>
      </c>
      <c r="P21" s="127">
        <f>+'R_2014_06_atkelta(viso)'!Q21+R_2014_06_priskirta!Q22</f>
        <v>0</v>
      </c>
      <c r="Q21" s="24">
        <f t="shared" si="20"/>
        <v>624194.65999999654</v>
      </c>
      <c r="R21" s="229">
        <f t="shared" si="6"/>
        <v>572655.65137614356</v>
      </c>
      <c r="S21" s="73">
        <f t="shared" si="22"/>
        <v>51539.008623852977</v>
      </c>
      <c r="T21" s="21">
        <f t="shared" si="21"/>
        <v>31209.732999999826</v>
      </c>
      <c r="U21" s="71"/>
      <c r="V21" s="61">
        <v>80</v>
      </c>
      <c r="W21" s="13">
        <f t="shared" si="23"/>
        <v>2496778.6399999862</v>
      </c>
      <c r="X21" s="205"/>
    </row>
    <row r="22" spans="1:2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+'R_2014_07_atkelta(viso)'!E22+R_2014_07_priskirta!E23</f>
        <v>8580</v>
      </c>
      <c r="F22" s="127">
        <f>+'R_2014_07_atkelta(viso)'!F22+R_2014_07_priskirta!F23</f>
        <v>285219</v>
      </c>
      <c r="G22" s="127">
        <f>+'R_2014_07_atkelta(viso)'!G22+R_2014_07_priskirta!G23</f>
        <v>46548</v>
      </c>
      <c r="H22" s="127">
        <f>+'R_2014_07_atkelta(viso)'!H22+R_2014_07_priskirta!H23</f>
        <v>9327</v>
      </c>
      <c r="I22" s="127">
        <f>+'R_2014_07_atkelta(viso)'!I22+R_2014_07_priskirta!I23</f>
        <v>0</v>
      </c>
      <c r="J22" s="127">
        <f>+'R_2014_07_atkelta(viso)'!J22+R_2014_07_priskirta!J23</f>
        <v>0</v>
      </c>
      <c r="K22" s="127">
        <f>+'R_2014_07_atkelta(viso)'!K22+R_2014_07_priskirta!K23</f>
        <v>0</v>
      </c>
      <c r="L22" s="127">
        <f>+'R_2014_07_atkelta(viso)'!L22+R_2014_07_priskirta!L23</f>
        <v>0</v>
      </c>
      <c r="M22" s="127">
        <f>+'R_2014_07_atkelta(viso)'!M22+R_2014_07_priskirta!M23</f>
        <v>2244</v>
      </c>
      <c r="N22" s="127">
        <f>+'R_2014_07_atkelta(viso)'!N22+R_2014_07_priskirta!N23</f>
        <v>792</v>
      </c>
      <c r="O22" s="127">
        <f>+'R_2014_07_atkelta(viso)'!O22+R_2014_07_priskirta!O23</f>
        <v>78762</v>
      </c>
      <c r="P22" s="127">
        <f>+'R_2014_06_atkelta(viso)'!Q22+R_2014_06_priskirta!Q23</f>
        <v>0</v>
      </c>
      <c r="Q22" s="24">
        <f t="shared" si="20"/>
        <v>431472</v>
      </c>
      <c r="R22" s="229">
        <f t="shared" si="6"/>
        <v>395845.871559633</v>
      </c>
      <c r="S22" s="73">
        <f t="shared" si="22"/>
        <v>35626.128440367</v>
      </c>
      <c r="T22" s="21">
        <f t="shared" si="21"/>
        <v>4794.1333333333332</v>
      </c>
      <c r="U22" s="71"/>
      <c r="V22" s="61"/>
      <c r="W22" s="13"/>
      <c r="X22" s="205"/>
    </row>
    <row r="23" spans="1:24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+'R_2014_07_atkelta(viso)'!E23+R_2014_07_priskirta!E24</f>
        <v>405</v>
      </c>
      <c r="F23" s="127">
        <f>+'R_2014_07_atkelta(viso)'!F23+R_2014_07_priskirta!F24</f>
        <v>15991.5</v>
      </c>
      <c r="G23" s="127">
        <f>+'R_2014_07_atkelta(viso)'!G23+R_2014_07_priskirta!G24</f>
        <v>2785.5</v>
      </c>
      <c r="H23" s="127">
        <f>+'R_2014_07_atkelta(viso)'!H23+R_2014_07_priskirta!H24</f>
        <v>838.5</v>
      </c>
      <c r="I23" s="127">
        <f>+'R_2014_07_atkelta(viso)'!I23+R_2014_07_priskirta!I24</f>
        <v>0</v>
      </c>
      <c r="J23" s="127">
        <f>+'R_2014_07_atkelta(viso)'!J23+R_2014_07_priskirta!J24</f>
        <v>0</v>
      </c>
      <c r="K23" s="127">
        <f>+'R_2014_07_atkelta(viso)'!K23+R_2014_07_priskirta!K24</f>
        <v>0</v>
      </c>
      <c r="L23" s="127">
        <f>+'R_2014_07_atkelta(viso)'!L23+R_2014_07_priskirta!L24</f>
        <v>0</v>
      </c>
      <c r="M23" s="127">
        <f>+'R_2014_07_atkelta(viso)'!M23+R_2014_07_priskirta!M24</f>
        <v>40.5</v>
      </c>
      <c r="N23" s="127">
        <f>+'R_2014_07_atkelta(viso)'!N23+R_2014_07_priskirta!N24</f>
        <v>0</v>
      </c>
      <c r="O23" s="127">
        <f>+'R_2014_07_atkelta(viso)'!O23+R_2014_07_priskirta!O24</f>
        <v>3118.5</v>
      </c>
      <c r="P23" s="127">
        <f>+'R_2014_06_atkelta(viso)'!Q23+R_2014_06_priskirta!Q24</f>
        <v>0</v>
      </c>
      <c r="Q23" s="24">
        <f t="shared" si="20"/>
        <v>23179.5</v>
      </c>
      <c r="R23" s="229">
        <f t="shared" si="6"/>
        <v>21265.596330275228</v>
      </c>
      <c r="S23" s="73">
        <f t="shared" si="22"/>
        <v>1913.903669724772</v>
      </c>
      <c r="T23" s="21">
        <f t="shared" si="21"/>
        <v>515.1</v>
      </c>
      <c r="U23" s="71"/>
      <c r="V23" s="61">
        <v>45</v>
      </c>
      <c r="W23" s="13">
        <f t="shared" ref="W23:W24" si="24">+T23*V23</f>
        <v>23179.5</v>
      </c>
      <c r="X23" s="205"/>
    </row>
    <row r="24" spans="1:24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+'R_2014_07_atkelta(viso)'!E24+R_2014_07_priskirta!E25</f>
        <v>169.8</v>
      </c>
      <c r="F24" s="127">
        <f>+'R_2014_07_atkelta(viso)'!F24+R_2014_07_priskirta!F25</f>
        <v>1807.8</v>
      </c>
      <c r="G24" s="127">
        <f>+'R_2014_07_atkelta(viso)'!G24+R_2014_07_priskirta!G25</f>
        <v>345.6</v>
      </c>
      <c r="H24" s="127">
        <f>+'R_2014_07_atkelta(viso)'!H24+R_2014_07_priskirta!H25</f>
        <v>45</v>
      </c>
      <c r="I24" s="127">
        <f>+'R_2014_07_atkelta(viso)'!I24+R_2014_07_priskirta!I25</f>
        <v>0</v>
      </c>
      <c r="J24" s="127">
        <f>+'R_2014_07_atkelta(viso)'!J24+R_2014_07_priskirta!J25</f>
        <v>0</v>
      </c>
      <c r="K24" s="127">
        <f>+'R_2014_07_atkelta(viso)'!K24+R_2014_07_priskirta!K25</f>
        <v>0</v>
      </c>
      <c r="L24" s="127">
        <f>+'R_2014_07_atkelta(viso)'!L24+R_2014_07_priskirta!L25</f>
        <v>0</v>
      </c>
      <c r="M24" s="127">
        <f>+'R_2014_07_atkelta(viso)'!M24+R_2014_07_priskirta!M25</f>
        <v>37.799999999999997</v>
      </c>
      <c r="N24" s="127">
        <f>+'R_2014_07_atkelta(viso)'!N24+R_2014_07_priskirta!N25</f>
        <v>0</v>
      </c>
      <c r="O24" s="127">
        <f>+'R_2014_07_atkelta(viso)'!O24+R_2014_07_priskirta!O25</f>
        <v>822</v>
      </c>
      <c r="P24" s="127">
        <f>+'R_2014_06_atkelta(viso)'!Q24+R_2014_06_priskirta!Q25</f>
        <v>0</v>
      </c>
      <c r="Q24" s="24">
        <f t="shared" si="20"/>
        <v>3228</v>
      </c>
      <c r="R24" s="229">
        <f t="shared" si="6"/>
        <v>2961.4678899082564</v>
      </c>
      <c r="S24" s="73">
        <f t="shared" si="22"/>
        <v>266.53211009174356</v>
      </c>
      <c r="T24" s="21">
        <f t="shared" si="21"/>
        <v>179.33333333333334</v>
      </c>
      <c r="U24" s="71"/>
      <c r="V24" s="61">
        <v>72</v>
      </c>
      <c r="W24" s="13">
        <f t="shared" si="24"/>
        <v>12912</v>
      </c>
      <c r="X24" s="205"/>
    </row>
    <row r="25" spans="1:2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+'R_2014_07_atkelta(viso)'!E25+R_2014_07_priskirta!E26</f>
        <v>103.33</v>
      </c>
      <c r="F25" s="127">
        <f>+'R_2014_07_atkelta(viso)'!F25+R_2014_07_priskirta!F26</f>
        <v>3266.6633333333334</v>
      </c>
      <c r="G25" s="127">
        <f>+'R_2014_07_atkelta(viso)'!G25+R_2014_07_priskirta!G26</f>
        <v>190</v>
      </c>
      <c r="H25" s="127">
        <f>+'R_2014_07_atkelta(viso)'!H25+R_2014_07_priskirta!H26</f>
        <v>206.66666666666669</v>
      </c>
      <c r="I25" s="127">
        <f>+'R_2014_07_atkelta(viso)'!I25+R_2014_07_priskirta!I26</f>
        <v>0</v>
      </c>
      <c r="J25" s="127">
        <f>+'R_2014_07_atkelta(viso)'!J25+R_2014_07_priskirta!J26</f>
        <v>0</v>
      </c>
      <c r="K25" s="127">
        <f>+'R_2014_07_atkelta(viso)'!K25+R_2014_07_priskirta!K26</f>
        <v>0</v>
      </c>
      <c r="L25" s="127">
        <f>+'R_2014_07_atkelta(viso)'!L25+R_2014_07_priskirta!L26</f>
        <v>0</v>
      </c>
      <c r="M25" s="127">
        <f>+'R_2014_07_atkelta(viso)'!M25+R_2014_07_priskirta!M26</f>
        <v>53.33</v>
      </c>
      <c r="N25" s="127">
        <f>+'R_2014_07_atkelta(viso)'!N25+R_2014_07_priskirta!N26</f>
        <v>0</v>
      </c>
      <c r="O25" s="127">
        <f>+'R_2014_07_atkelta(viso)'!O25+R_2014_07_priskirta!O26</f>
        <v>5596.6669906616207</v>
      </c>
      <c r="P25" s="127">
        <f>+'R_2014_06_atkelta(viso)'!Q25+R_2014_06_priskirta!Q26</f>
        <v>0</v>
      </c>
      <c r="Q25" s="24">
        <f t="shared" si="20"/>
        <v>9416.6569906616205</v>
      </c>
      <c r="R25" s="229">
        <f t="shared" si="6"/>
        <v>8639.1348538179991</v>
      </c>
      <c r="S25" s="73">
        <f t="shared" si="22"/>
        <v>777.52213684362141</v>
      </c>
      <c r="T25" s="21">
        <f t="shared" si="21"/>
        <v>31.388856635538733</v>
      </c>
      <c r="U25" s="71"/>
      <c r="V25" s="61"/>
      <c r="W25" s="13"/>
    </row>
    <row r="26" spans="1:2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+'R_2014_07_atkelta(viso)'!E26+R_2014_07_priskirta!E27</f>
        <v>0</v>
      </c>
      <c r="F26" s="127">
        <f>+'R_2014_07_atkelta(viso)'!F26+R_2014_07_priskirta!F27</f>
        <v>4126.6666666666652</v>
      </c>
      <c r="G26" s="127">
        <f>+'R_2014_07_atkelta(viso)'!G26+R_2014_07_priskirta!G27</f>
        <v>208.33666666666662</v>
      </c>
      <c r="H26" s="127">
        <f>+'R_2014_07_atkelta(viso)'!H26+R_2014_07_priskirta!H27</f>
        <v>440</v>
      </c>
      <c r="I26" s="127">
        <f>+'R_2014_07_atkelta(viso)'!I26+R_2014_07_priskirta!I27</f>
        <v>0</v>
      </c>
      <c r="J26" s="127">
        <f>+'R_2014_07_atkelta(viso)'!J26+R_2014_07_priskirta!J27</f>
        <v>0</v>
      </c>
      <c r="K26" s="127">
        <f>+'R_2014_07_atkelta(viso)'!K26+R_2014_07_priskirta!K27</f>
        <v>0</v>
      </c>
      <c r="L26" s="127">
        <f>+'R_2014_07_atkelta(viso)'!L26+R_2014_07_priskirta!L27</f>
        <v>0</v>
      </c>
      <c r="M26" s="127">
        <f>+'R_2014_07_atkelta(viso)'!M26+R_2014_07_priskirta!M27</f>
        <v>0</v>
      </c>
      <c r="N26" s="127">
        <f>+'R_2014_07_atkelta(viso)'!N26+R_2014_07_priskirta!N27</f>
        <v>0</v>
      </c>
      <c r="O26" s="127">
        <f>+'R_2014_07_atkelta(viso)'!O26+R_2014_07_priskirta!O27</f>
        <v>836.66671310424806</v>
      </c>
      <c r="P26" s="127">
        <f>+'R_2014_06_atkelta(viso)'!Q26+R_2014_06_priskirta!Q27</f>
        <v>0</v>
      </c>
      <c r="Q26" s="24">
        <f t="shared" si="20"/>
        <v>5611.6700464375799</v>
      </c>
      <c r="R26" s="229">
        <f t="shared" si="6"/>
        <v>5148.3211435207149</v>
      </c>
      <c r="S26" s="73">
        <f t="shared" si="22"/>
        <v>463.34890291686497</v>
      </c>
      <c r="T26" s="21">
        <f t="shared" si="21"/>
        <v>37.4111336429172</v>
      </c>
      <c r="U26" s="71"/>
      <c r="V26" s="61">
        <v>150</v>
      </c>
      <c r="W26" s="13">
        <f t="shared" ref="W26:W42" si="25">+T26*V26</f>
        <v>5611.6700464375799</v>
      </c>
    </row>
    <row r="27" spans="1:2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+'R_2014_07_atkelta(viso)'!E27+R_2014_07_priskirta!E28</f>
        <v>85.336666666666673</v>
      </c>
      <c r="F27" s="127">
        <f>+'R_2014_07_atkelta(viso)'!F27+R_2014_07_priskirta!F28</f>
        <v>4655.33</v>
      </c>
      <c r="G27" s="127">
        <f>+'R_2014_07_atkelta(viso)'!G27+R_2014_07_priskirta!G28</f>
        <v>497.33</v>
      </c>
      <c r="H27" s="127">
        <f>+'R_2014_07_atkelta(viso)'!H27+R_2014_07_priskirta!H28</f>
        <v>158.66666666666669</v>
      </c>
      <c r="I27" s="127">
        <f>+'R_2014_07_atkelta(viso)'!I27+R_2014_07_priskirta!I28</f>
        <v>0</v>
      </c>
      <c r="J27" s="127">
        <f>+'R_2014_07_atkelta(viso)'!J27+R_2014_07_priskirta!J28</f>
        <v>0</v>
      </c>
      <c r="K27" s="127">
        <f>+'R_2014_07_atkelta(viso)'!K27+R_2014_07_priskirta!K28</f>
        <v>0</v>
      </c>
      <c r="L27" s="127">
        <f>+'R_2014_07_atkelta(viso)'!L27+R_2014_07_priskirta!L28</f>
        <v>0</v>
      </c>
      <c r="M27" s="127">
        <f>+'R_2014_07_atkelta(viso)'!M27+R_2014_07_priskirta!M28</f>
        <v>14.67</v>
      </c>
      <c r="N27" s="127">
        <f>+'R_2014_07_atkelta(viso)'!N27+R_2014_07_priskirta!N28</f>
        <v>13.333333333333336</v>
      </c>
      <c r="O27" s="127">
        <f>+'R_2014_07_atkelta(viso)'!O27+R_2014_07_priskirta!O28</f>
        <v>3949.34</v>
      </c>
      <c r="P27" s="127">
        <f>+'R_2014_06_atkelta(viso)'!Q27+R_2014_06_priskirta!Q28</f>
        <v>0</v>
      </c>
      <c r="Q27" s="24">
        <f t="shared" si="20"/>
        <v>9374.006666666668</v>
      </c>
      <c r="R27" s="229">
        <f t="shared" si="6"/>
        <v>8600.006116207951</v>
      </c>
      <c r="S27" s="73">
        <f t="shared" si="22"/>
        <v>774.00055045871704</v>
      </c>
      <c r="T27" s="21">
        <f t="shared" si="21"/>
        <v>156.23344444444447</v>
      </c>
      <c r="U27" s="71"/>
      <c r="V27" s="61">
        <v>240</v>
      </c>
      <c r="W27" s="13">
        <f t="shared" si="25"/>
        <v>37496.026666666672</v>
      </c>
    </row>
    <row r="28" spans="1:24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+'R_2014_07_atkelta(viso)'!E28+R_2014_07_priskirta!E29</f>
        <v>0</v>
      </c>
      <c r="F28" s="127">
        <f>+'R_2014_07_atkelta(viso)'!F28+R_2014_07_priskirta!F29</f>
        <v>591</v>
      </c>
      <c r="G28" s="127">
        <f>+'R_2014_07_atkelta(viso)'!G28+R_2014_07_priskirta!G29</f>
        <v>0</v>
      </c>
      <c r="H28" s="127">
        <f>+'R_2014_07_atkelta(viso)'!H28+R_2014_07_priskirta!H29</f>
        <v>234</v>
      </c>
      <c r="I28" s="127">
        <f>+'R_2014_07_atkelta(viso)'!I28+R_2014_07_priskirta!I29</f>
        <v>0</v>
      </c>
      <c r="J28" s="127">
        <f>+'R_2014_07_atkelta(viso)'!J28+R_2014_07_priskirta!J29</f>
        <v>0</v>
      </c>
      <c r="K28" s="127">
        <f>+'R_2014_07_atkelta(viso)'!K28+R_2014_07_priskirta!K29</f>
        <v>0</v>
      </c>
      <c r="L28" s="127">
        <f>+'R_2014_07_atkelta(viso)'!L28+R_2014_07_priskirta!L29</f>
        <v>0</v>
      </c>
      <c r="M28" s="127">
        <f>+'R_2014_07_atkelta(viso)'!M28+R_2014_07_priskirta!M29</f>
        <v>0</v>
      </c>
      <c r="N28" s="127">
        <f>+'R_2014_07_atkelta(viso)'!N28+R_2014_07_priskirta!N29</f>
        <v>0</v>
      </c>
      <c r="O28" s="127">
        <f>+'R_2014_07_atkelta(viso)'!O28+R_2014_07_priskirta!O29</f>
        <v>8697</v>
      </c>
      <c r="P28" s="127">
        <f>+'R_2014_06_atkelta(viso)'!Q28+R_2014_06_priskirta!Q29</f>
        <v>0</v>
      </c>
      <c r="Q28" s="24">
        <f t="shared" si="20"/>
        <v>9522</v>
      </c>
      <c r="R28" s="229">
        <f t="shared" si="6"/>
        <v>8735.779816513761</v>
      </c>
      <c r="S28" s="73">
        <f t="shared" si="22"/>
        <v>786.22018348623897</v>
      </c>
      <c r="T28" s="21">
        <f t="shared" si="21"/>
        <v>35.266666666666666</v>
      </c>
      <c r="U28" s="71"/>
      <c r="V28" s="61"/>
      <c r="W28" s="13"/>
    </row>
    <row r="29" spans="1:24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+'R_2014_07_atkelta(viso)'!E29+R_2014_07_priskirta!E30</f>
        <v>0</v>
      </c>
      <c r="F29" s="127">
        <f>+'R_2014_07_atkelta(viso)'!F29+R_2014_07_priskirta!F30</f>
        <v>52.5</v>
      </c>
      <c r="G29" s="127">
        <f>+'R_2014_07_atkelta(viso)'!G29+R_2014_07_priskirta!G30</f>
        <v>0</v>
      </c>
      <c r="H29" s="127">
        <f>+'R_2014_07_atkelta(viso)'!H29+R_2014_07_priskirta!H30</f>
        <v>46.5</v>
      </c>
      <c r="I29" s="127">
        <f>+'R_2014_07_atkelta(viso)'!I29+R_2014_07_priskirta!I30</f>
        <v>0</v>
      </c>
      <c r="J29" s="127">
        <f>+'R_2014_07_atkelta(viso)'!J29+R_2014_07_priskirta!J30</f>
        <v>0</v>
      </c>
      <c r="K29" s="127">
        <f>+'R_2014_07_atkelta(viso)'!K29+R_2014_07_priskirta!K30</f>
        <v>0</v>
      </c>
      <c r="L29" s="127">
        <f>+'R_2014_07_atkelta(viso)'!L29+R_2014_07_priskirta!L30</f>
        <v>0</v>
      </c>
      <c r="M29" s="127">
        <f>+'R_2014_07_atkelta(viso)'!M29+R_2014_07_priskirta!M30</f>
        <v>0</v>
      </c>
      <c r="N29" s="127">
        <f>+'R_2014_07_atkelta(viso)'!N29+R_2014_07_priskirta!N30</f>
        <v>0</v>
      </c>
      <c r="O29" s="127">
        <f>+'R_2014_07_atkelta(viso)'!O29+R_2014_07_priskirta!O30</f>
        <v>0</v>
      </c>
      <c r="P29" s="127">
        <f>+'R_2014_06_atkelta(viso)'!Q29+R_2014_06_priskirta!Q30</f>
        <v>0</v>
      </c>
      <c r="Q29" s="24">
        <f t="shared" si="20"/>
        <v>99</v>
      </c>
      <c r="R29" s="229">
        <f t="shared" si="6"/>
        <v>90.825688073394488</v>
      </c>
      <c r="S29" s="73">
        <f t="shared" si="22"/>
        <v>8.1743119266055118</v>
      </c>
      <c r="T29" s="21">
        <f t="shared" si="21"/>
        <v>0.73333333333333328</v>
      </c>
      <c r="U29" s="71"/>
      <c r="V29" s="61">
        <v>135</v>
      </c>
      <c r="W29" s="13">
        <f t="shared" si="25"/>
        <v>99</v>
      </c>
    </row>
    <row r="30" spans="1:24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+'R_2014_07_atkelta(viso)'!E30+R_2014_07_priskirta!E31</f>
        <v>0</v>
      </c>
      <c r="F30" s="127">
        <f>+'R_2014_07_atkelta(viso)'!F30+R_2014_07_priskirta!F31</f>
        <v>0</v>
      </c>
      <c r="G30" s="127">
        <f>+'R_2014_07_atkelta(viso)'!G30+R_2014_07_priskirta!G31</f>
        <v>0</v>
      </c>
      <c r="H30" s="127">
        <f>+'R_2014_07_atkelta(viso)'!H30+R_2014_07_priskirta!H31</f>
        <v>0</v>
      </c>
      <c r="I30" s="127">
        <f>+'R_2014_07_atkelta(viso)'!I30+R_2014_07_priskirta!I31</f>
        <v>0</v>
      </c>
      <c r="J30" s="127">
        <f>+'R_2014_07_atkelta(viso)'!J30+R_2014_07_priskirta!J31</f>
        <v>0</v>
      </c>
      <c r="K30" s="127">
        <f>+'R_2014_07_atkelta(viso)'!K30+R_2014_07_priskirta!K31</f>
        <v>0</v>
      </c>
      <c r="L30" s="127">
        <f>+'R_2014_07_atkelta(viso)'!L30+R_2014_07_priskirta!L31</f>
        <v>0</v>
      </c>
      <c r="M30" s="127">
        <f>+'R_2014_07_atkelta(viso)'!M30+R_2014_07_priskirta!M31</f>
        <v>18.600000000000001</v>
      </c>
      <c r="N30" s="127">
        <f>+'R_2014_07_atkelta(viso)'!N30+R_2014_07_priskirta!N31</f>
        <v>0</v>
      </c>
      <c r="O30" s="127">
        <f>+'R_2014_07_atkelta(viso)'!O30+R_2014_07_priskirta!O31</f>
        <v>131.4</v>
      </c>
      <c r="P30" s="127">
        <f>+'R_2014_06_atkelta(viso)'!Q30+R_2014_06_priskirta!Q31</f>
        <v>0</v>
      </c>
      <c r="Q30" s="24">
        <f t="shared" si="20"/>
        <v>150</v>
      </c>
      <c r="R30" s="229">
        <f t="shared" si="6"/>
        <v>137.61467889908255</v>
      </c>
      <c r="S30" s="73">
        <f t="shared" si="22"/>
        <v>12.385321100917452</v>
      </c>
      <c r="T30" s="21">
        <f t="shared" si="21"/>
        <v>2.7777777777777777</v>
      </c>
      <c r="U30" s="71"/>
      <c r="V30" s="61">
        <v>216</v>
      </c>
      <c r="W30" s="13">
        <f t="shared" si="25"/>
        <v>600</v>
      </c>
    </row>
    <row r="31" spans="1:2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+'R_2014_07_atkelta(viso)'!E31+R_2014_07_priskirta!E32</f>
        <v>103.33</v>
      </c>
      <c r="F31" s="127">
        <f>+'R_2014_07_atkelta(viso)'!F31+R_2014_07_priskirta!F32</f>
        <v>299.99999999999994</v>
      </c>
      <c r="G31" s="127">
        <f>+'R_2014_07_atkelta(viso)'!G31+R_2014_07_priskirta!G32</f>
        <v>0</v>
      </c>
      <c r="H31" s="127">
        <f>+'R_2014_07_atkelta(viso)'!H31+R_2014_07_priskirta!H32</f>
        <v>103.33</v>
      </c>
      <c r="I31" s="127">
        <f>+'R_2014_07_atkelta(viso)'!I31+R_2014_07_priskirta!I32</f>
        <v>0</v>
      </c>
      <c r="J31" s="127">
        <f>+'R_2014_07_atkelta(viso)'!J31+R_2014_07_priskirta!J32</f>
        <v>0</v>
      </c>
      <c r="K31" s="127">
        <f>+'R_2014_07_atkelta(viso)'!K31+R_2014_07_priskirta!K32</f>
        <v>0</v>
      </c>
      <c r="L31" s="127">
        <f>+'R_2014_07_atkelta(viso)'!L31+R_2014_07_priskirta!L32</f>
        <v>0</v>
      </c>
      <c r="M31" s="127">
        <f>+'R_2014_07_atkelta(viso)'!M31+R_2014_07_priskirta!M32</f>
        <v>0</v>
      </c>
      <c r="N31" s="127">
        <f>+'R_2014_07_atkelta(viso)'!N31+R_2014_07_priskirta!N32</f>
        <v>0</v>
      </c>
      <c r="O31" s="127">
        <f>+'R_2014_07_atkelta(viso)'!O31+R_2014_07_priskirta!O32</f>
        <v>0</v>
      </c>
      <c r="P31" s="127">
        <f>+'R_2014_06_atkelta(viso)'!Q31+R_2014_06_priskirta!Q32</f>
        <v>0</v>
      </c>
      <c r="Q31" s="24">
        <f t="shared" si="20"/>
        <v>506.65999999999991</v>
      </c>
      <c r="R31" s="229">
        <f t="shared" si="6"/>
        <v>464.82568807339436</v>
      </c>
      <c r="S31" s="73">
        <f t="shared" si="22"/>
        <v>41.834311926605551</v>
      </c>
      <c r="T31" s="21">
        <f t="shared" si="21"/>
        <v>0.84443333333333315</v>
      </c>
      <c r="U31" s="71"/>
      <c r="V31" s="61"/>
      <c r="W31" s="13"/>
    </row>
    <row r="32" spans="1:2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+'R_2014_07_atkelta(viso)'!E32+R_2014_07_priskirta!E33</f>
        <v>0</v>
      </c>
      <c r="F32" s="127">
        <f>+'R_2014_07_atkelta(viso)'!F32+R_2014_07_priskirta!F33</f>
        <v>479.99999999999989</v>
      </c>
      <c r="G32" s="127">
        <f>+'R_2014_07_atkelta(viso)'!G32+R_2014_07_priskirta!G33</f>
        <v>133.33666666666664</v>
      </c>
      <c r="H32" s="127">
        <f>+'R_2014_07_atkelta(viso)'!H32+R_2014_07_priskirta!H33</f>
        <v>308.34000000000003</v>
      </c>
      <c r="I32" s="127">
        <f>+'R_2014_07_atkelta(viso)'!I32+R_2014_07_priskirta!I33</f>
        <v>0</v>
      </c>
      <c r="J32" s="127">
        <f>+'R_2014_07_atkelta(viso)'!J32+R_2014_07_priskirta!J33</f>
        <v>0</v>
      </c>
      <c r="K32" s="127">
        <f>+'R_2014_07_atkelta(viso)'!K32+R_2014_07_priskirta!K33</f>
        <v>0</v>
      </c>
      <c r="L32" s="127">
        <f>+'R_2014_07_atkelta(viso)'!L32+R_2014_07_priskirta!L33</f>
        <v>0</v>
      </c>
      <c r="M32" s="127">
        <f>+'R_2014_07_atkelta(viso)'!M32+R_2014_07_priskirta!M33</f>
        <v>0</v>
      </c>
      <c r="N32" s="127">
        <f>+'R_2014_07_atkelta(viso)'!N32+R_2014_07_priskirta!N33</f>
        <v>0</v>
      </c>
      <c r="O32" s="127">
        <f>+'R_2014_07_atkelta(viso)'!O32+R_2014_07_priskirta!O33</f>
        <v>155.00000976562501</v>
      </c>
      <c r="P32" s="127">
        <f>+'R_2014_06_atkelta(viso)'!Q32+R_2014_06_priskirta!Q33</f>
        <v>0</v>
      </c>
      <c r="Q32" s="24">
        <f t="shared" si="20"/>
        <v>1076.6766764322915</v>
      </c>
      <c r="R32" s="229">
        <f t="shared" si="6"/>
        <v>987.77676736907472</v>
      </c>
      <c r="S32" s="73">
        <f t="shared" si="22"/>
        <v>88.899909063216796</v>
      </c>
      <c r="T32" s="21">
        <f t="shared" si="21"/>
        <v>3.5889222547743049</v>
      </c>
      <c r="U32" s="71"/>
      <c r="V32" s="61">
        <v>300</v>
      </c>
      <c r="W32" s="13">
        <f t="shared" si="25"/>
        <v>1076.6766764322915</v>
      </c>
    </row>
    <row r="33" spans="1:2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+'R_2014_07_atkelta(viso)'!E33+R_2014_07_priskirta!E34</f>
        <v>74.67</v>
      </c>
      <c r="F33" s="127">
        <f>+'R_2014_07_atkelta(viso)'!F33+R_2014_07_priskirta!F34</f>
        <v>675.33999999999992</v>
      </c>
      <c r="G33" s="127">
        <f>+'R_2014_07_atkelta(viso)'!G33+R_2014_07_priskirta!G34</f>
        <v>85.336666666666687</v>
      </c>
      <c r="H33" s="127">
        <f>+'R_2014_07_atkelta(viso)'!H33+R_2014_07_priskirta!H34</f>
        <v>0</v>
      </c>
      <c r="I33" s="127">
        <f>+'R_2014_07_atkelta(viso)'!I33+R_2014_07_priskirta!I34</f>
        <v>0</v>
      </c>
      <c r="J33" s="127">
        <f>+'R_2014_07_atkelta(viso)'!J33+R_2014_07_priskirta!J34</f>
        <v>0</v>
      </c>
      <c r="K33" s="127">
        <f>+'R_2014_07_atkelta(viso)'!K33+R_2014_07_priskirta!K34</f>
        <v>0</v>
      </c>
      <c r="L33" s="127">
        <f>+'R_2014_07_atkelta(viso)'!L33+R_2014_07_priskirta!L34</f>
        <v>0</v>
      </c>
      <c r="M33" s="127">
        <f>+'R_2014_07_atkelta(viso)'!M33+R_2014_07_priskirta!M34</f>
        <v>20.67</v>
      </c>
      <c r="N33" s="127">
        <f>+'R_2014_07_atkelta(viso)'!N33+R_2014_07_priskirta!N34</f>
        <v>0</v>
      </c>
      <c r="O33" s="127">
        <f>+'R_2014_07_atkelta(viso)'!O33+R_2014_07_priskirta!O34</f>
        <v>649.32999603271492</v>
      </c>
      <c r="P33" s="127">
        <f>+'R_2014_06_atkelta(viso)'!Q33+R_2014_06_priskirta!Q34</f>
        <v>0</v>
      </c>
      <c r="Q33" s="24">
        <f t="shared" si="20"/>
        <v>1505.3466626993813</v>
      </c>
      <c r="R33" s="229">
        <f t="shared" si="6"/>
        <v>1381.0519841278726</v>
      </c>
      <c r="S33" s="73">
        <f t="shared" si="22"/>
        <v>124.29467857150871</v>
      </c>
      <c r="T33" s="21">
        <f t="shared" si="21"/>
        <v>12.544555522494845</v>
      </c>
      <c r="U33" s="71"/>
      <c r="V33" s="61">
        <v>480</v>
      </c>
      <c r="W33" s="13">
        <f t="shared" si="25"/>
        <v>6021.3866507975254</v>
      </c>
    </row>
    <row r="34" spans="1:2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+'R_2014_07_atkelta(viso)'!E34+R_2014_07_priskirta!E35</f>
        <v>0</v>
      </c>
      <c r="F34" s="127">
        <f>+'R_2014_07_atkelta(viso)'!F34+R_2014_07_priskirta!F35</f>
        <v>0</v>
      </c>
      <c r="G34" s="127">
        <f>+'R_2014_07_atkelta(viso)'!G34+R_2014_07_priskirta!G35</f>
        <v>0</v>
      </c>
      <c r="H34" s="127">
        <f>+'R_2014_07_atkelta(viso)'!H34+R_2014_07_priskirta!H35</f>
        <v>0</v>
      </c>
      <c r="I34" s="127">
        <f>+'R_2014_07_atkelta(viso)'!I34+R_2014_07_priskirta!I35</f>
        <v>0</v>
      </c>
      <c r="J34" s="127">
        <f>+'R_2014_07_atkelta(viso)'!J34+R_2014_07_priskirta!J35</f>
        <v>0</v>
      </c>
      <c r="K34" s="127">
        <f>+'R_2014_07_atkelta(viso)'!K34+R_2014_07_priskirta!K35</f>
        <v>0</v>
      </c>
      <c r="L34" s="127">
        <f>+'R_2014_07_atkelta(viso)'!L34+R_2014_07_priskirta!L35</f>
        <v>0</v>
      </c>
      <c r="M34" s="127">
        <f>+'R_2014_07_atkelta(viso)'!M34+R_2014_07_priskirta!M35</f>
        <v>0</v>
      </c>
      <c r="N34" s="127">
        <f>+'R_2014_07_atkelta(viso)'!N34+R_2014_07_priskirta!N35</f>
        <v>0</v>
      </c>
      <c r="O34" s="127">
        <f>+'R_2014_07_atkelta(viso)'!O34+R_2014_07_priskirta!O35</f>
        <v>1230</v>
      </c>
      <c r="P34" s="127">
        <f>+'R_2014_06_atkelta(viso)'!Q34+R_2014_06_priskirta!Q35</f>
        <v>0</v>
      </c>
      <c r="Q34" s="24">
        <f t="shared" si="20"/>
        <v>1230</v>
      </c>
      <c r="R34" s="229">
        <f t="shared" si="6"/>
        <v>1128.440366972477</v>
      </c>
      <c r="S34" s="73">
        <f t="shared" si="22"/>
        <v>101.55963302752298</v>
      </c>
      <c r="T34" s="21">
        <f t="shared" si="21"/>
        <v>2.2777777777777777</v>
      </c>
      <c r="U34" s="71"/>
      <c r="V34" s="61"/>
      <c r="W34" s="13"/>
    </row>
    <row r="35" spans="1:2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+'R_2014_07_atkelta(viso)'!E35+R_2014_07_priskirta!E36</f>
        <v>0</v>
      </c>
      <c r="F35" s="127">
        <f>+'R_2014_07_atkelta(viso)'!F35+R_2014_07_priskirta!F36</f>
        <v>0</v>
      </c>
      <c r="G35" s="127">
        <f>+'R_2014_07_atkelta(viso)'!G35+R_2014_07_priskirta!G36</f>
        <v>0</v>
      </c>
      <c r="H35" s="127">
        <f>+'R_2014_07_atkelta(viso)'!H35+R_2014_07_priskirta!H36</f>
        <v>0</v>
      </c>
      <c r="I35" s="127">
        <f>+'R_2014_07_atkelta(viso)'!I35+R_2014_07_priskirta!I36</f>
        <v>0</v>
      </c>
      <c r="J35" s="127">
        <f>+'R_2014_07_atkelta(viso)'!J35+R_2014_07_priskirta!J36</f>
        <v>0</v>
      </c>
      <c r="K35" s="127">
        <f>+'R_2014_07_atkelta(viso)'!K35+R_2014_07_priskirta!K36</f>
        <v>0</v>
      </c>
      <c r="L35" s="127">
        <f>+'R_2014_07_atkelta(viso)'!L35+R_2014_07_priskirta!L36</f>
        <v>0</v>
      </c>
      <c r="M35" s="127">
        <f>+'R_2014_07_atkelta(viso)'!M35+R_2014_07_priskirta!M36</f>
        <v>0</v>
      </c>
      <c r="N35" s="127">
        <f>+'R_2014_07_atkelta(viso)'!N35+R_2014_07_priskirta!N36</f>
        <v>0</v>
      </c>
      <c r="O35" s="127">
        <f>+'R_2014_07_atkelta(viso)'!O35+R_2014_07_priskirta!O36</f>
        <v>0</v>
      </c>
      <c r="P35" s="127">
        <f>+'R_2014_06_atkelta(viso)'!Q35+R_2014_06_priskirta!Q36</f>
        <v>0</v>
      </c>
      <c r="Q35" s="24">
        <f t="shared" si="20"/>
        <v>0</v>
      </c>
      <c r="R35" s="229">
        <f t="shared" si="6"/>
        <v>0</v>
      </c>
      <c r="S35" s="73">
        <f t="shared" si="22"/>
        <v>0</v>
      </c>
      <c r="T35" s="21">
        <f t="shared" si="21"/>
        <v>0</v>
      </c>
      <c r="U35" s="71"/>
      <c r="V35" s="61">
        <v>270</v>
      </c>
      <c r="W35" s="13">
        <f t="shared" si="25"/>
        <v>0</v>
      </c>
    </row>
    <row r="36" spans="1:2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+'R_2014_07_atkelta(viso)'!E36+R_2014_07_priskirta!E37</f>
        <v>0</v>
      </c>
      <c r="F36" s="127">
        <f>+'R_2014_07_atkelta(viso)'!F36+R_2014_07_priskirta!F37</f>
        <v>3.6</v>
      </c>
      <c r="G36" s="127">
        <f>+'R_2014_07_atkelta(viso)'!G36+R_2014_07_priskirta!G37</f>
        <v>0</v>
      </c>
      <c r="H36" s="127">
        <f>+'R_2014_07_atkelta(viso)'!H36+R_2014_07_priskirta!H37</f>
        <v>0</v>
      </c>
      <c r="I36" s="127">
        <f>+'R_2014_07_atkelta(viso)'!I36+R_2014_07_priskirta!I37</f>
        <v>0</v>
      </c>
      <c r="J36" s="127">
        <f>+'R_2014_07_atkelta(viso)'!J36+R_2014_07_priskirta!J37</f>
        <v>0</v>
      </c>
      <c r="K36" s="127">
        <f>+'R_2014_07_atkelta(viso)'!K36+R_2014_07_priskirta!K37</f>
        <v>0</v>
      </c>
      <c r="L36" s="127">
        <f>+'R_2014_07_atkelta(viso)'!L36+R_2014_07_priskirta!L37</f>
        <v>0</v>
      </c>
      <c r="M36" s="127">
        <f>+'R_2014_07_atkelta(viso)'!M36+R_2014_07_priskirta!M37</f>
        <v>0</v>
      </c>
      <c r="N36" s="127">
        <f>+'R_2014_07_atkelta(viso)'!N36+R_2014_07_priskirta!N37</f>
        <v>0</v>
      </c>
      <c r="O36" s="127">
        <f>+'R_2014_07_atkelta(viso)'!O36+R_2014_07_priskirta!O37</f>
        <v>25.2</v>
      </c>
      <c r="P36" s="127">
        <f>+'R_2014_06_atkelta(viso)'!Q36+R_2014_06_priskirta!Q37</f>
        <v>0</v>
      </c>
      <c r="Q36" s="24">
        <f t="shared" si="20"/>
        <v>28.8</v>
      </c>
      <c r="R36" s="229">
        <f t="shared" si="6"/>
        <v>26.422018348623851</v>
      </c>
      <c r="S36" s="73">
        <f t="shared" si="22"/>
        <v>2.3779816513761496</v>
      </c>
      <c r="T36" s="21">
        <f t="shared" si="21"/>
        <v>0.26666666666666666</v>
      </c>
      <c r="U36" s="71"/>
      <c r="V36" s="61">
        <v>432</v>
      </c>
      <c r="W36" s="13">
        <f t="shared" si="25"/>
        <v>115.2</v>
      </c>
    </row>
    <row r="37" spans="1:2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+'R_2014_07_atkelta(viso)'!E37+R_2014_07_priskirta!E38</f>
        <v>309.99999999999994</v>
      </c>
      <c r="F37" s="127">
        <f>+'R_2014_07_atkelta(viso)'!F37+R_2014_07_priskirta!F38</f>
        <v>0</v>
      </c>
      <c r="G37" s="127">
        <f>+'R_2014_07_atkelta(viso)'!G37+R_2014_07_priskirta!G38</f>
        <v>0</v>
      </c>
      <c r="H37" s="127">
        <f>+'R_2014_07_atkelta(viso)'!H37+R_2014_07_priskirta!H38</f>
        <v>206.66666666666652</v>
      </c>
      <c r="I37" s="127">
        <f>+'R_2014_07_atkelta(viso)'!I37+R_2014_07_priskirta!I38</f>
        <v>0</v>
      </c>
      <c r="J37" s="127">
        <f>+'R_2014_07_atkelta(viso)'!J37+R_2014_07_priskirta!J38</f>
        <v>0</v>
      </c>
      <c r="K37" s="127">
        <f>+'R_2014_07_atkelta(viso)'!K37+R_2014_07_priskirta!K38</f>
        <v>0</v>
      </c>
      <c r="L37" s="127">
        <f>+'R_2014_07_atkelta(viso)'!L37+R_2014_07_priskirta!L38</f>
        <v>0</v>
      </c>
      <c r="M37" s="127">
        <f>+'R_2014_07_atkelta(viso)'!M37+R_2014_07_priskirta!M38</f>
        <v>0</v>
      </c>
      <c r="N37" s="127">
        <f>+'R_2014_07_atkelta(viso)'!N37+R_2014_07_priskirta!N38</f>
        <v>0</v>
      </c>
      <c r="O37" s="127">
        <f>+'R_2014_07_atkelta(viso)'!O37+R_2014_07_priskirta!O38</f>
        <v>103.33333984375</v>
      </c>
      <c r="P37" s="127">
        <f>+'R_2014_06_atkelta(viso)'!Q37+R_2014_06_priskirta!Q38</f>
        <v>0</v>
      </c>
      <c r="Q37" s="24">
        <f t="shared" si="20"/>
        <v>620.00000651041648</v>
      </c>
      <c r="R37" s="229">
        <f t="shared" si="6"/>
        <v>568.80734542240043</v>
      </c>
      <c r="S37" s="73">
        <f t="shared" si="22"/>
        <v>51.192661088016052</v>
      </c>
      <c r="T37" s="21">
        <f t="shared" si="21"/>
        <v>0.688888896122685</v>
      </c>
      <c r="U37" s="71"/>
      <c r="V37" s="61"/>
      <c r="W37" s="13"/>
    </row>
    <row r="38" spans="1:2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+'R_2014_07_atkelta(viso)'!E38+R_2014_07_priskirta!E39</f>
        <v>51.666666666666657</v>
      </c>
      <c r="F38" s="127">
        <f>+'R_2014_07_atkelta(viso)'!F38+R_2014_07_priskirta!F39</f>
        <v>51.666666666666657</v>
      </c>
      <c r="G38" s="127">
        <f>+'R_2014_07_atkelta(viso)'!G38+R_2014_07_priskirta!G39</f>
        <v>0</v>
      </c>
      <c r="H38" s="127">
        <f>+'R_2014_07_atkelta(viso)'!H38+R_2014_07_priskirta!H39</f>
        <v>0</v>
      </c>
      <c r="I38" s="127">
        <f>+'R_2014_07_atkelta(viso)'!I38+R_2014_07_priskirta!I39</f>
        <v>0</v>
      </c>
      <c r="J38" s="127">
        <f>+'R_2014_07_atkelta(viso)'!J38+R_2014_07_priskirta!J39</f>
        <v>0</v>
      </c>
      <c r="K38" s="127">
        <f>+'R_2014_07_atkelta(viso)'!K38+R_2014_07_priskirta!K39</f>
        <v>0</v>
      </c>
      <c r="L38" s="127">
        <f>+'R_2014_07_atkelta(viso)'!L38+R_2014_07_priskirta!L39</f>
        <v>0</v>
      </c>
      <c r="M38" s="127">
        <f>+'R_2014_07_atkelta(viso)'!M38+R_2014_07_priskirta!M39</f>
        <v>0</v>
      </c>
      <c r="N38" s="127">
        <f>+'R_2014_07_atkelta(viso)'!N38+R_2014_07_priskirta!N39</f>
        <v>0</v>
      </c>
      <c r="O38" s="127">
        <f>+'R_2014_07_atkelta(viso)'!O38+R_2014_07_priskirta!O39</f>
        <v>0</v>
      </c>
      <c r="P38" s="127">
        <f>+'R_2014_06_atkelta(viso)'!Q38+R_2014_06_priskirta!Q39</f>
        <v>0</v>
      </c>
      <c r="Q38" s="24">
        <f t="shared" si="20"/>
        <v>103.33333333333331</v>
      </c>
      <c r="R38" s="229">
        <f t="shared" si="6"/>
        <v>94.801223241590193</v>
      </c>
      <c r="S38" s="73">
        <f t="shared" si="22"/>
        <v>8.532110091743121</v>
      </c>
      <c r="T38" s="21">
        <f t="shared" si="21"/>
        <v>0.2296296296296296</v>
      </c>
      <c r="U38" s="71"/>
      <c r="V38" s="61">
        <v>450</v>
      </c>
      <c r="W38" s="13">
        <f t="shared" si="25"/>
        <v>103.33333333333331</v>
      </c>
    </row>
    <row r="39" spans="1:2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+'R_2014_07_atkelta(viso)'!E39+R_2014_07_priskirta!E40</f>
        <v>20.666666666666671</v>
      </c>
      <c r="F39" s="127">
        <f>+'R_2014_07_atkelta(viso)'!F39+R_2014_07_priskirta!F40</f>
        <v>136.00333333333333</v>
      </c>
      <c r="G39" s="127">
        <f>+'R_2014_07_atkelta(viso)'!G39+R_2014_07_priskirta!G40</f>
        <v>41.33</v>
      </c>
      <c r="H39" s="127">
        <f>+'R_2014_07_atkelta(viso)'!H39+R_2014_07_priskirta!H40</f>
        <v>72.006666666666689</v>
      </c>
      <c r="I39" s="127">
        <f>+'R_2014_07_atkelta(viso)'!I39+R_2014_07_priskirta!I40</f>
        <v>0</v>
      </c>
      <c r="J39" s="127">
        <f>+'R_2014_07_atkelta(viso)'!J39+R_2014_07_priskirta!J40</f>
        <v>0</v>
      </c>
      <c r="K39" s="127">
        <f>+'R_2014_07_atkelta(viso)'!K39+R_2014_07_priskirta!K40</f>
        <v>0</v>
      </c>
      <c r="L39" s="127">
        <f>+'R_2014_07_atkelta(viso)'!L39+R_2014_07_priskirta!L40</f>
        <v>0</v>
      </c>
      <c r="M39" s="127">
        <f>+'R_2014_07_atkelta(viso)'!M39+R_2014_07_priskirta!M40</f>
        <v>0</v>
      </c>
      <c r="N39" s="127">
        <f>+'R_2014_07_atkelta(viso)'!N39+R_2014_07_priskirta!N40</f>
        <v>0</v>
      </c>
      <c r="O39" s="127">
        <f>+'R_2014_07_atkelta(viso)'!O39+R_2014_07_priskirta!O40</f>
        <v>286.6633331298828</v>
      </c>
      <c r="P39" s="127">
        <f>+'R_2014_06_atkelta(viso)'!Q39+R_2014_06_priskirta!Q40</f>
        <v>0</v>
      </c>
      <c r="Q39" s="24">
        <f t="shared" si="20"/>
        <v>556.66999979654952</v>
      </c>
      <c r="R39" s="229">
        <f t="shared" si="6"/>
        <v>510.70642183169679</v>
      </c>
      <c r="S39" s="73">
        <f t="shared" si="22"/>
        <v>45.963577964852732</v>
      </c>
      <c r="T39" s="21">
        <f t="shared" si="21"/>
        <v>3.0926111099808304</v>
      </c>
      <c r="U39" s="71"/>
      <c r="V39" s="61">
        <v>720</v>
      </c>
      <c r="W39" s="13">
        <f t="shared" si="25"/>
        <v>2226.6799991861981</v>
      </c>
    </row>
    <row r="40" spans="1:2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+'R_2014_07_atkelta(viso)'!E40+R_2014_07_priskirta!E41</f>
        <v>0</v>
      </c>
      <c r="F40" s="127">
        <f>+'R_2014_07_atkelta(viso)'!F40+R_2014_07_priskirta!F41</f>
        <v>0</v>
      </c>
      <c r="G40" s="127">
        <f>+'R_2014_07_atkelta(viso)'!G40+R_2014_07_priskirta!G41</f>
        <v>0</v>
      </c>
      <c r="H40" s="127">
        <f>+'R_2014_07_atkelta(viso)'!H40+R_2014_07_priskirta!H41</f>
        <v>0</v>
      </c>
      <c r="I40" s="127">
        <f>+'R_2014_07_atkelta(viso)'!I40+R_2014_07_priskirta!I41</f>
        <v>0</v>
      </c>
      <c r="J40" s="127">
        <f>+'R_2014_07_atkelta(viso)'!J40+R_2014_07_priskirta!J41</f>
        <v>0</v>
      </c>
      <c r="K40" s="127">
        <f>+'R_2014_07_atkelta(viso)'!K40+R_2014_07_priskirta!K41</f>
        <v>0</v>
      </c>
      <c r="L40" s="127">
        <f>+'R_2014_07_atkelta(viso)'!L40+R_2014_07_priskirta!L41</f>
        <v>0</v>
      </c>
      <c r="M40" s="127">
        <f>+'R_2014_07_atkelta(viso)'!M40+R_2014_07_priskirta!M41</f>
        <v>0</v>
      </c>
      <c r="N40" s="127">
        <f>+'R_2014_07_atkelta(viso)'!N40+R_2014_07_priskirta!N41</f>
        <v>0</v>
      </c>
      <c r="O40" s="127">
        <f>+'R_2014_07_atkelta(viso)'!O40+R_2014_07_priskirta!O41</f>
        <v>603</v>
      </c>
      <c r="P40" s="127">
        <f>+'R_2014_06_atkelta(viso)'!Q40+R_2014_06_priskirta!Q41</f>
        <v>0</v>
      </c>
      <c r="Q40" s="24">
        <f t="shared" si="20"/>
        <v>603</v>
      </c>
      <c r="R40" s="229">
        <f t="shared" si="6"/>
        <v>553.21100917431193</v>
      </c>
      <c r="S40" s="73">
        <f t="shared" si="22"/>
        <v>49.788990825688074</v>
      </c>
      <c r="T40" s="21">
        <f t="shared" si="21"/>
        <v>0.74444444444444446</v>
      </c>
      <c r="U40" s="71"/>
      <c r="V40" s="61"/>
      <c r="W40" s="13"/>
    </row>
    <row r="41" spans="1:2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+'R_2014_07_atkelta(viso)'!E41+R_2014_07_priskirta!E42</f>
        <v>0</v>
      </c>
      <c r="F41" s="127">
        <f>+'R_2014_07_atkelta(viso)'!F41+R_2014_07_priskirta!F42</f>
        <v>0</v>
      </c>
      <c r="G41" s="127">
        <f>+'R_2014_07_atkelta(viso)'!G41+R_2014_07_priskirta!G42</f>
        <v>0</v>
      </c>
      <c r="H41" s="127">
        <f>+'R_2014_07_atkelta(viso)'!H41+R_2014_07_priskirta!H42</f>
        <v>0</v>
      </c>
      <c r="I41" s="127">
        <f>+'R_2014_07_atkelta(viso)'!I41+R_2014_07_priskirta!I42</f>
        <v>0</v>
      </c>
      <c r="J41" s="127">
        <f>+'R_2014_07_atkelta(viso)'!J41+R_2014_07_priskirta!J42</f>
        <v>0</v>
      </c>
      <c r="K41" s="127">
        <f>+'R_2014_07_atkelta(viso)'!K41+R_2014_07_priskirta!K42</f>
        <v>0</v>
      </c>
      <c r="L41" s="127">
        <f>+'R_2014_07_atkelta(viso)'!L41+R_2014_07_priskirta!L42</f>
        <v>0</v>
      </c>
      <c r="M41" s="127">
        <f>+'R_2014_07_atkelta(viso)'!M41+R_2014_07_priskirta!M42</f>
        <v>0</v>
      </c>
      <c r="N41" s="127">
        <f>+'R_2014_07_atkelta(viso)'!N41+R_2014_07_priskirta!N42</f>
        <v>0</v>
      </c>
      <c r="O41" s="127">
        <f>+'R_2014_07_atkelta(viso)'!O41+R_2014_07_priskirta!O42</f>
        <v>0</v>
      </c>
      <c r="P41" s="127">
        <f>+'R_2014_06_atkelta(viso)'!Q41+R_2014_06_priskirta!Q42</f>
        <v>0</v>
      </c>
      <c r="Q41" s="24">
        <f t="shared" si="20"/>
        <v>0</v>
      </c>
      <c r="R41" s="229">
        <f t="shared" si="6"/>
        <v>0</v>
      </c>
      <c r="S41" s="73">
        <f t="shared" si="22"/>
        <v>0</v>
      </c>
      <c r="T41" s="21">
        <f t="shared" si="21"/>
        <v>0</v>
      </c>
      <c r="U41" s="71"/>
      <c r="V41" s="61">
        <v>405</v>
      </c>
      <c r="W41" s="13">
        <f t="shared" si="25"/>
        <v>0</v>
      </c>
    </row>
    <row r="42" spans="1:2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+'R_2014_07_atkelta(viso)'!E42+R_2014_07_priskirta!E43</f>
        <v>0</v>
      </c>
      <c r="F42" s="127">
        <f>+'R_2014_07_atkelta(viso)'!F42+R_2014_07_priskirta!F43</f>
        <v>0</v>
      </c>
      <c r="G42" s="127">
        <f>+'R_2014_07_atkelta(viso)'!G42+R_2014_07_priskirta!G43</f>
        <v>0</v>
      </c>
      <c r="H42" s="127">
        <f>+'R_2014_07_atkelta(viso)'!H42+R_2014_07_priskirta!H43</f>
        <v>0</v>
      </c>
      <c r="I42" s="127">
        <f>+'R_2014_07_atkelta(viso)'!I42+R_2014_07_priskirta!I43</f>
        <v>0</v>
      </c>
      <c r="J42" s="127">
        <f>+'R_2014_07_atkelta(viso)'!J42+R_2014_07_priskirta!J43</f>
        <v>0</v>
      </c>
      <c r="K42" s="127">
        <f>+'R_2014_07_atkelta(viso)'!K42+R_2014_07_priskirta!K43</f>
        <v>0</v>
      </c>
      <c r="L42" s="127">
        <f>+'R_2014_07_atkelta(viso)'!L42+R_2014_07_priskirta!L43</f>
        <v>0</v>
      </c>
      <c r="M42" s="127">
        <f>+'R_2014_07_atkelta(viso)'!M42+R_2014_07_priskirta!M43</f>
        <v>0</v>
      </c>
      <c r="N42" s="127">
        <f>+'R_2014_07_atkelta(viso)'!N42+R_2014_07_priskirta!N43</f>
        <v>0</v>
      </c>
      <c r="O42" s="127">
        <f>+'R_2014_07_atkelta(viso)'!O42+R_2014_07_priskirta!O43</f>
        <v>60</v>
      </c>
      <c r="P42" s="127">
        <f>+'R_2014_06_atkelta(viso)'!Q42+R_2014_06_priskirta!Q43</f>
        <v>0</v>
      </c>
      <c r="Q42" s="24">
        <f t="shared" si="20"/>
        <v>60</v>
      </c>
      <c r="R42" s="229">
        <f t="shared" si="6"/>
        <v>55.045871559633021</v>
      </c>
      <c r="S42" s="207">
        <f t="shared" si="22"/>
        <v>4.9541284403669792</v>
      </c>
      <c r="T42" s="39">
        <f t="shared" si="21"/>
        <v>0.37037037037037035</v>
      </c>
      <c r="U42" s="71"/>
      <c r="V42" s="61">
        <v>648</v>
      </c>
      <c r="W42" s="13">
        <f t="shared" si="25"/>
        <v>240</v>
      </c>
    </row>
    <row r="43" spans="1:2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+'R_2014_07_atkelta(viso)'!E43+R_2014_07_priskirta!E44</f>
        <v>156.9315068493151</v>
      </c>
      <c r="F43" s="127">
        <f>+'R_2014_07_atkelta(viso)'!F43+R_2014_07_priskirta!F44</f>
        <v>11840.573698630136</v>
      </c>
      <c r="G43" s="127">
        <f>+'R_2014_07_atkelta(viso)'!G43+R_2014_07_priskirta!G44</f>
        <v>1537.3428767123253</v>
      </c>
      <c r="H43" s="127">
        <f>+'R_2014_07_atkelta(viso)'!H43+R_2014_07_priskirta!H44</f>
        <v>2132.681780821918</v>
      </c>
      <c r="I43" s="127">
        <f>+'R_2014_07_atkelta(viso)'!I43+R_2014_07_priskirta!I44</f>
        <v>0</v>
      </c>
      <c r="J43" s="127">
        <f>+'R_2014_07_atkelta(viso)'!J43+R_2014_07_priskirta!J44</f>
        <v>0</v>
      </c>
      <c r="K43" s="127">
        <f>+'R_2014_07_atkelta(viso)'!K43+R_2014_07_priskirta!K44</f>
        <v>0</v>
      </c>
      <c r="L43" s="127">
        <f>+'R_2014_07_atkelta(viso)'!L43+R_2014_07_priskirta!L44</f>
        <v>0</v>
      </c>
      <c r="M43" s="127">
        <f>+'R_2014_07_atkelta(viso)'!M43+R_2014_07_priskirta!M44</f>
        <v>24.55</v>
      </c>
      <c r="N43" s="127">
        <f>+'R_2014_07_atkelta(viso)'!N43+R_2014_07_priskirta!N44</f>
        <v>0</v>
      </c>
      <c r="O43" s="127">
        <f>+'R_2014_07_atkelta(viso)'!O43+R_2014_07_priskirta!O44</f>
        <v>27.178083496093748</v>
      </c>
      <c r="P43" s="127">
        <f>+'R_2014_06_atkelta(viso)'!Q43+R_2014_06_priskirta!Q44</f>
        <v>0</v>
      </c>
      <c r="Q43" s="24">
        <f t="shared" si="20"/>
        <v>15719.257946509788</v>
      </c>
      <c r="R43" s="229">
        <f t="shared" si="6"/>
        <v>14421.337565605309</v>
      </c>
      <c r="S43" s="147">
        <f t="shared" si="22"/>
        <v>1297.9203809044793</v>
      </c>
      <c r="T43" s="22">
        <f t="shared" si="21"/>
        <v>1571.9257946509788</v>
      </c>
      <c r="U43" s="71"/>
      <c r="V43" s="61"/>
      <c r="W43" s="13"/>
      <c r="X43" s="2"/>
    </row>
    <row r="44" spans="1:24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5226.42</v>
      </c>
      <c r="F44" s="82">
        <f>+SUM(F45:F53)</f>
        <v>204892.36</v>
      </c>
      <c r="G44" s="82">
        <f t="shared" ref="G44:T44" si="26">+SUM(G45:G53)</f>
        <v>30980.11</v>
      </c>
      <c r="H44" s="82">
        <f>+SUM(H45:H53)</f>
        <v>6158.51</v>
      </c>
      <c r="I44" s="82">
        <f t="shared" si="26"/>
        <v>0</v>
      </c>
      <c r="J44" s="82">
        <f t="shared" si="26"/>
        <v>0</v>
      </c>
      <c r="K44" s="100">
        <f t="shared" si="26"/>
        <v>0</v>
      </c>
      <c r="L44" s="100">
        <f t="shared" si="26"/>
        <v>0</v>
      </c>
      <c r="M44" s="100">
        <f t="shared" si="26"/>
        <v>1729.27</v>
      </c>
      <c r="N44" s="100">
        <f t="shared" si="26"/>
        <v>1456.3200000000004</v>
      </c>
      <c r="O44" s="100">
        <f t="shared" si="26"/>
        <v>19886.739999999998</v>
      </c>
      <c r="P44" s="100">
        <f t="shared" si="26"/>
        <v>0</v>
      </c>
      <c r="Q44" s="42">
        <f>+SUM(Q45:Q53)</f>
        <v>270329.73</v>
      </c>
      <c r="R44" s="82">
        <f t="shared" si="26"/>
        <v>248008.92660550456</v>
      </c>
      <c r="S44" s="82">
        <f t="shared" si="26"/>
        <v>22320.803394495437</v>
      </c>
      <c r="T44" s="19">
        <f t="shared" si="26"/>
        <v>37414.333333333328</v>
      </c>
      <c r="U44" s="71"/>
      <c r="V44" s="61"/>
      <c r="W44" s="105">
        <f>+SUM(W45:W53)</f>
        <v>365920.2699999999</v>
      </c>
    </row>
    <row r="45" spans="1:24" ht="12" customHeight="1" x14ac:dyDescent="0.3">
      <c r="A45" s="65" t="s">
        <v>17</v>
      </c>
      <c r="B45" s="86" t="s">
        <v>35</v>
      </c>
      <c r="C45" s="375" t="s">
        <v>2</v>
      </c>
      <c r="D45" s="376">
        <v>12</v>
      </c>
      <c r="E45" s="361">
        <f>+'R_2014_07_atkelta(viso)'!E45+R_2014_07_priskirta!E46</f>
        <v>756</v>
      </c>
      <c r="F45" s="361">
        <f>+'R_2014_07_atkelta(viso)'!F45+R_2014_07_priskirta!F46</f>
        <v>21180</v>
      </c>
      <c r="G45" s="361">
        <f>+'R_2014_07_atkelta(viso)'!G45+R_2014_07_priskirta!G46</f>
        <v>3324</v>
      </c>
      <c r="H45" s="361">
        <f>+'R_2014_07_atkelta(viso)'!H45+R_2014_07_priskirta!H46</f>
        <v>540</v>
      </c>
      <c r="I45" s="361">
        <f>+'R_2014_07_atkelta(viso)'!I45+R_2014_07_priskirta!I46</f>
        <v>0</v>
      </c>
      <c r="J45" s="361">
        <f>+'R_2014_07_atkelta(viso)'!J45+R_2014_07_priskirta!J46</f>
        <v>0</v>
      </c>
      <c r="K45" s="361">
        <f>+'R_2014_07_atkelta(viso)'!K45+R_2014_07_priskirta!K46</f>
        <v>0</v>
      </c>
      <c r="L45" s="361">
        <f>+'R_2014_07_atkelta(viso)'!L45+R_2014_07_priskirta!L46</f>
        <v>0</v>
      </c>
      <c r="M45" s="361">
        <f>+'R_2014_07_atkelta(viso)'!M45+R_2014_07_priskirta!M46</f>
        <v>228</v>
      </c>
      <c r="N45" s="361">
        <f>+'R_2014_07_atkelta(viso)'!N45+R_2014_07_priskirta!N46</f>
        <v>312</v>
      </c>
      <c r="O45" s="361">
        <f>+'R_2014_07_atkelta(viso)'!O45+R_2014_07_priskirta!O46</f>
        <v>1788</v>
      </c>
      <c r="P45" s="290">
        <f>+'R_2014_06_atkelta(viso)'!Q45+R_2014_06_priskirta!Q46</f>
        <v>0</v>
      </c>
      <c r="Q45" s="24">
        <f t="shared" ref="Q45:Q53" si="27">+SUM(E45:P45)</f>
        <v>28128</v>
      </c>
      <c r="R45" s="229">
        <f t="shared" si="6"/>
        <v>25805.50458715596</v>
      </c>
      <c r="S45" s="99">
        <f t="shared" ref="S45:S53" si="28">+Q45-R45</f>
        <v>2322.4954128440404</v>
      </c>
      <c r="T45" s="116">
        <f t="shared" ref="T45:T53" si="29">Q45/D45</f>
        <v>2344</v>
      </c>
      <c r="U45" s="71"/>
      <c r="V45" s="61"/>
      <c r="W45" s="13"/>
      <c r="X45"/>
    </row>
    <row r="46" spans="1:2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96">
        <f>+'R_2014_07_atkelta(viso)'!E46+R_2014_07_priskirta!E47</f>
        <v>156</v>
      </c>
      <c r="F46" s="96">
        <f>+'R_2014_07_atkelta(viso)'!F46+R_2014_07_priskirta!F47</f>
        <v>2160</v>
      </c>
      <c r="G46" s="96">
        <f>+'R_2014_07_atkelta(viso)'!G46+R_2014_07_priskirta!G47</f>
        <v>348</v>
      </c>
      <c r="H46" s="96">
        <f>+'R_2014_07_atkelta(viso)'!H46+R_2014_07_priskirta!H47</f>
        <v>24</v>
      </c>
      <c r="I46" s="96">
        <f>+'R_2014_07_atkelta(viso)'!I46+R_2014_07_priskirta!I47</f>
        <v>0</v>
      </c>
      <c r="J46" s="96">
        <f>+'R_2014_07_atkelta(viso)'!J46+R_2014_07_priskirta!J47</f>
        <v>0</v>
      </c>
      <c r="K46" s="96">
        <f>+'R_2014_07_atkelta(viso)'!K46+R_2014_07_priskirta!K47</f>
        <v>0</v>
      </c>
      <c r="L46" s="96">
        <f>+'R_2014_07_atkelta(viso)'!L46+R_2014_07_priskirta!L47</f>
        <v>0</v>
      </c>
      <c r="M46" s="96">
        <f>+'R_2014_07_atkelta(viso)'!M46+R_2014_07_priskirta!M47</f>
        <v>24</v>
      </c>
      <c r="N46" s="96">
        <f>+'R_2014_07_atkelta(viso)'!N46+R_2014_07_priskirta!N47</f>
        <v>24</v>
      </c>
      <c r="O46" s="96">
        <f>+'R_2014_07_atkelta(viso)'!O46+R_2014_07_priskirta!O47</f>
        <v>270</v>
      </c>
      <c r="P46" s="291">
        <f>+'R_2014_06_atkelta(viso)'!Q46+R_2014_06_priskirta!Q47</f>
        <v>0</v>
      </c>
      <c r="Q46" s="24">
        <f t="shared" si="27"/>
        <v>3006</v>
      </c>
      <c r="R46" s="229">
        <f t="shared" si="6"/>
        <v>2757.7981651376144</v>
      </c>
      <c r="S46" s="5">
        <f t="shared" si="28"/>
        <v>248.20183486238557</v>
      </c>
      <c r="T46" s="31">
        <f t="shared" si="29"/>
        <v>501</v>
      </c>
      <c r="U46" s="71"/>
      <c r="V46" s="61">
        <v>6</v>
      </c>
      <c r="W46" s="13">
        <f t="shared" ref="W46:W47" si="30">+T46*V46</f>
        <v>3006</v>
      </c>
    </row>
    <row r="47" spans="1:2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96">
        <f>+'R_2014_07_atkelta(viso)'!E47+R_2014_07_priskirta!E48</f>
        <v>1068</v>
      </c>
      <c r="F47" s="96">
        <f>+'R_2014_07_atkelta(viso)'!F47+R_2014_07_priskirta!F48</f>
        <v>45734.400000000001</v>
      </c>
      <c r="G47" s="96">
        <f>+'R_2014_07_atkelta(viso)'!G47+R_2014_07_priskirta!G48</f>
        <v>8452.7999999999993</v>
      </c>
      <c r="H47" s="96">
        <f>+'R_2014_07_atkelta(viso)'!H47+R_2014_07_priskirta!H48</f>
        <v>403.2</v>
      </c>
      <c r="I47" s="96">
        <f>+'R_2014_07_atkelta(viso)'!I47+R_2014_07_priskirta!I48</f>
        <v>0</v>
      </c>
      <c r="J47" s="96">
        <f>+'R_2014_07_atkelta(viso)'!J47+R_2014_07_priskirta!J48</f>
        <v>0</v>
      </c>
      <c r="K47" s="96">
        <f>+'R_2014_07_atkelta(viso)'!K47+R_2014_07_priskirta!K48</f>
        <v>0</v>
      </c>
      <c r="L47" s="96">
        <f>+'R_2014_07_atkelta(viso)'!L47+R_2014_07_priskirta!L48</f>
        <v>0</v>
      </c>
      <c r="M47" s="96">
        <f>+'R_2014_07_atkelta(viso)'!M47+R_2014_07_priskirta!M48</f>
        <v>384</v>
      </c>
      <c r="N47" s="96">
        <f>+'R_2014_07_atkelta(viso)'!N47+R_2014_07_priskirta!N48</f>
        <v>369.60000000000008</v>
      </c>
      <c r="O47" s="96">
        <f>+'R_2014_07_atkelta(viso)'!O47+R_2014_07_priskirta!O48</f>
        <v>2613.6</v>
      </c>
      <c r="P47" s="291">
        <f>+'R_2014_06_atkelta(viso)'!Q47+R_2014_06_priskirta!Q48</f>
        <v>0</v>
      </c>
      <c r="Q47" s="24">
        <f t="shared" si="27"/>
        <v>59025.599999999991</v>
      </c>
      <c r="R47" s="229">
        <f t="shared" si="6"/>
        <v>54151.926605504574</v>
      </c>
      <c r="S47" s="5">
        <f t="shared" si="28"/>
        <v>4873.6733944954176</v>
      </c>
      <c r="T47" s="31">
        <f t="shared" si="29"/>
        <v>24593.999999999996</v>
      </c>
      <c r="U47" s="71"/>
      <c r="V47" s="61">
        <v>9.6</v>
      </c>
      <c r="W47" s="13">
        <f t="shared" si="30"/>
        <v>236102.39999999997</v>
      </c>
    </row>
    <row r="48" spans="1:2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96">
        <f>+'R_2014_07_atkelta(viso)'!E48+R_2014_07_priskirta!E49</f>
        <v>413</v>
      </c>
      <c r="F48" s="96">
        <f>+'R_2014_07_atkelta(viso)'!F48+R_2014_07_priskirta!F49</f>
        <v>23793</v>
      </c>
      <c r="G48" s="96">
        <f>+'R_2014_07_atkelta(viso)'!G48+R_2014_07_priskirta!G49</f>
        <v>2520</v>
      </c>
      <c r="H48" s="96">
        <f>+'R_2014_07_atkelta(viso)'!H48+R_2014_07_priskirta!H49</f>
        <v>896</v>
      </c>
      <c r="I48" s="96">
        <f>+'R_2014_07_atkelta(viso)'!I48+R_2014_07_priskirta!I49</f>
        <v>0</v>
      </c>
      <c r="J48" s="96">
        <f>+'R_2014_07_atkelta(viso)'!J48+R_2014_07_priskirta!J49</f>
        <v>0</v>
      </c>
      <c r="K48" s="96">
        <f>+'R_2014_07_atkelta(viso)'!K48+R_2014_07_priskirta!K49</f>
        <v>0</v>
      </c>
      <c r="L48" s="96">
        <f>+'R_2014_07_atkelta(viso)'!L48+R_2014_07_priskirta!L49</f>
        <v>0</v>
      </c>
      <c r="M48" s="96">
        <f>+'R_2014_07_atkelta(viso)'!M48+R_2014_07_priskirta!M49</f>
        <v>133</v>
      </c>
      <c r="N48" s="96">
        <f>+'R_2014_07_atkelta(viso)'!N48+R_2014_07_priskirta!N49</f>
        <v>77</v>
      </c>
      <c r="O48" s="96">
        <f>+'R_2014_07_atkelta(viso)'!O48+R_2014_07_priskirta!O49</f>
        <v>3269</v>
      </c>
      <c r="P48" s="291">
        <f>+'R_2014_06_atkelta(viso)'!Q48+R_2014_06_priskirta!Q49</f>
        <v>0</v>
      </c>
      <c r="Q48" s="24">
        <f t="shared" si="27"/>
        <v>31101</v>
      </c>
      <c r="R48" s="229">
        <f t="shared" si="6"/>
        <v>28533.027522935779</v>
      </c>
      <c r="S48" s="5">
        <f t="shared" si="28"/>
        <v>2567.9724770642206</v>
      </c>
      <c r="T48" s="31">
        <f t="shared" si="29"/>
        <v>1481</v>
      </c>
      <c r="U48" s="71"/>
      <c r="V48" s="61"/>
      <c r="W48" s="13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96">
        <f>+'R_2014_07_atkelta(viso)'!E49+R_2014_07_priskirta!E50</f>
        <v>84</v>
      </c>
      <c r="F49" s="96">
        <f>+'R_2014_07_atkelta(viso)'!F49+R_2014_07_priskirta!F50</f>
        <v>2229.5</v>
      </c>
      <c r="G49" s="96">
        <f>+'R_2014_07_atkelta(viso)'!G49+R_2014_07_priskirta!G50</f>
        <v>388.5</v>
      </c>
      <c r="H49" s="96">
        <f>+'R_2014_07_atkelta(viso)'!H49+R_2014_07_priskirta!H50</f>
        <v>59.5</v>
      </c>
      <c r="I49" s="96">
        <f>+'R_2014_07_atkelta(viso)'!I49+R_2014_07_priskirta!I50</f>
        <v>0</v>
      </c>
      <c r="J49" s="96">
        <f>+'R_2014_07_atkelta(viso)'!J49+R_2014_07_priskirta!J50</f>
        <v>0</v>
      </c>
      <c r="K49" s="96">
        <f>+'R_2014_07_atkelta(viso)'!K49+R_2014_07_priskirta!K50</f>
        <v>0</v>
      </c>
      <c r="L49" s="96">
        <f>+'R_2014_07_atkelta(viso)'!L49+R_2014_07_priskirta!L50</f>
        <v>0</v>
      </c>
      <c r="M49" s="96">
        <f>+'R_2014_07_atkelta(viso)'!M49+R_2014_07_priskirta!M50</f>
        <v>28</v>
      </c>
      <c r="N49" s="96">
        <f>+'R_2014_07_atkelta(viso)'!N49+R_2014_07_priskirta!N50</f>
        <v>10.5</v>
      </c>
      <c r="O49" s="96">
        <f>+'R_2014_07_atkelta(viso)'!O49+R_2014_07_priskirta!O50</f>
        <v>189</v>
      </c>
      <c r="P49" s="291">
        <f>+'R_2014_06_atkelta(viso)'!Q49+R_2014_06_priskirta!Q50</f>
        <v>0</v>
      </c>
      <c r="Q49" s="24">
        <f t="shared" si="27"/>
        <v>2989</v>
      </c>
      <c r="R49" s="229">
        <f t="shared" si="6"/>
        <v>2742.2018348623851</v>
      </c>
      <c r="S49" s="5">
        <f t="shared" si="28"/>
        <v>246.79816513761489</v>
      </c>
      <c r="T49" s="21">
        <f t="shared" si="29"/>
        <v>284.66666666666669</v>
      </c>
      <c r="U49" s="71"/>
      <c r="V49" s="61">
        <v>10.5</v>
      </c>
      <c r="W49" s="13">
        <f t="shared" ref="W49:W50" si="31">+T49*V49</f>
        <v>2989</v>
      </c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96">
        <f>+'R_2014_07_atkelta(viso)'!E50+R_2014_07_priskirta!E51</f>
        <v>182</v>
      </c>
      <c r="F50" s="96">
        <f>+'R_2014_07_atkelta(viso)'!F50+R_2014_07_priskirta!F51</f>
        <v>10581.199999999999</v>
      </c>
      <c r="G50" s="96">
        <f>+'R_2014_07_atkelta(viso)'!G50+R_2014_07_priskirta!G51</f>
        <v>1211</v>
      </c>
      <c r="H50" s="96">
        <f>+'R_2014_07_atkelta(viso)'!H50+R_2014_07_priskirta!H51</f>
        <v>176.40000000000003</v>
      </c>
      <c r="I50" s="96">
        <f>+'R_2014_07_atkelta(viso)'!I50+R_2014_07_priskirta!I51</f>
        <v>0</v>
      </c>
      <c r="J50" s="96">
        <f>+'R_2014_07_atkelta(viso)'!J50+R_2014_07_priskirta!J51</f>
        <v>0</v>
      </c>
      <c r="K50" s="96">
        <f>+'R_2014_07_atkelta(viso)'!K50+R_2014_07_priskirta!K51</f>
        <v>0</v>
      </c>
      <c r="L50" s="96">
        <f>+'R_2014_07_atkelta(viso)'!L50+R_2014_07_priskirta!L51</f>
        <v>0</v>
      </c>
      <c r="M50" s="96">
        <f>+'R_2014_07_atkelta(viso)'!M50+R_2014_07_priskirta!M51</f>
        <v>60.2</v>
      </c>
      <c r="N50" s="96">
        <f>+'R_2014_07_atkelta(viso)'!N50+R_2014_07_priskirta!N51</f>
        <v>154.00000000000003</v>
      </c>
      <c r="O50" s="96">
        <f>+'R_2014_07_atkelta(viso)'!O50+R_2014_07_priskirta!O51</f>
        <v>1640.8</v>
      </c>
      <c r="P50" s="291">
        <f>+'R_2014_06_atkelta(viso)'!Q50+R_2014_06_priskirta!Q51</f>
        <v>0</v>
      </c>
      <c r="Q50" s="24">
        <f t="shared" si="27"/>
        <v>14005.599999999999</v>
      </c>
      <c r="R50" s="229">
        <f t="shared" si="6"/>
        <v>12849.174311926603</v>
      </c>
      <c r="S50" s="5">
        <f t="shared" si="28"/>
        <v>1156.4256880733956</v>
      </c>
      <c r="T50" s="21">
        <f t="shared" si="29"/>
        <v>3334.6666666666661</v>
      </c>
      <c r="U50" s="71"/>
      <c r="V50" s="61">
        <v>16.8</v>
      </c>
      <c r="W50" s="13">
        <f t="shared" si="31"/>
        <v>56022.399999999994</v>
      </c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96">
        <f>+'R_2014_07_atkelta(viso)'!E51+R_2014_07_priskirta!E52</f>
        <v>2144.3000000000002</v>
      </c>
      <c r="F51" s="96">
        <f>+'R_2014_07_atkelta(viso)'!F51+R_2014_07_priskirta!F52</f>
        <v>81442.399999999994</v>
      </c>
      <c r="G51" s="96">
        <f>+'R_2014_07_atkelta(viso)'!G51+R_2014_07_priskirta!G52</f>
        <v>11902.3</v>
      </c>
      <c r="H51" s="96">
        <f>+'R_2014_07_atkelta(viso)'!H51+R_2014_07_priskirta!H52</f>
        <v>3222.6</v>
      </c>
      <c r="I51" s="96">
        <f>+'R_2014_07_atkelta(viso)'!I51+R_2014_07_priskirta!I52</f>
        <v>0</v>
      </c>
      <c r="J51" s="96">
        <f>+'R_2014_07_atkelta(viso)'!J51+R_2014_07_priskirta!J52</f>
        <v>0</v>
      </c>
      <c r="K51" s="96">
        <f>+'R_2014_07_atkelta(viso)'!K51+R_2014_07_priskirta!K52</f>
        <v>0</v>
      </c>
      <c r="L51" s="96">
        <f>+'R_2014_07_atkelta(viso)'!L51+R_2014_07_priskirta!L52</f>
        <v>0</v>
      </c>
      <c r="M51" s="96">
        <f>+'R_2014_07_atkelta(viso)'!M51+R_2014_07_priskirta!M52</f>
        <v>656</v>
      </c>
      <c r="N51" s="96">
        <f>+'R_2014_07_atkelta(viso)'!N51+R_2014_07_priskirta!N52</f>
        <v>455.1</v>
      </c>
      <c r="O51" s="96">
        <f>+'R_2014_07_atkelta(viso)'!O51+R_2014_07_priskirta!O52</f>
        <v>7560.4</v>
      </c>
      <c r="P51" s="291">
        <f>+'R_2014_06_atkelta(viso)'!Q51+R_2014_06_priskirta!Q52</f>
        <v>0</v>
      </c>
      <c r="Q51" s="24">
        <f t="shared" si="27"/>
        <v>107383.1</v>
      </c>
      <c r="R51" s="229">
        <f t="shared" si="6"/>
        <v>98516.605504587147</v>
      </c>
      <c r="S51" s="5">
        <f t="shared" si="28"/>
        <v>8866.4944954128587</v>
      </c>
      <c r="T51" s="21">
        <f t="shared" si="29"/>
        <v>2619.1000000000004</v>
      </c>
      <c r="U51" s="71"/>
      <c r="V51" s="61"/>
      <c r="W51" s="13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96">
        <f>+'R_2014_07_atkelta(viso)'!E52+R_2014_07_priskirta!E53</f>
        <v>135.29999999999998</v>
      </c>
      <c r="F52" s="96">
        <f>+'R_2014_07_atkelta(viso)'!F52+R_2014_07_priskirta!F53</f>
        <v>8031.9</v>
      </c>
      <c r="G52" s="96">
        <f>+'R_2014_07_atkelta(viso)'!G52+R_2014_07_priskirta!G53</f>
        <v>1289.45</v>
      </c>
      <c r="H52" s="96">
        <f>+'R_2014_07_atkelta(viso)'!H52+R_2014_07_priskirta!H53</f>
        <v>330.04999999999995</v>
      </c>
      <c r="I52" s="96">
        <f>+'R_2014_07_atkelta(viso)'!I52+R_2014_07_priskirta!I53</f>
        <v>0</v>
      </c>
      <c r="J52" s="96">
        <f>+'R_2014_07_atkelta(viso)'!J52+R_2014_07_priskirta!J53</f>
        <v>0</v>
      </c>
      <c r="K52" s="96">
        <f>+'R_2014_07_atkelta(viso)'!K52+R_2014_07_priskirta!K53</f>
        <v>0</v>
      </c>
      <c r="L52" s="96">
        <f>+'R_2014_07_atkelta(viso)'!L52+R_2014_07_priskirta!L53</f>
        <v>0</v>
      </c>
      <c r="M52" s="96">
        <f>+'R_2014_07_atkelta(viso)'!M52+R_2014_07_priskirta!M53</f>
        <v>63.55</v>
      </c>
      <c r="N52" s="96">
        <f>+'R_2014_07_atkelta(viso)'!N52+R_2014_07_priskirta!N53</f>
        <v>0</v>
      </c>
      <c r="O52" s="96">
        <f>+'R_2014_07_atkelta(viso)'!O52+R_2014_07_priskirta!O53</f>
        <v>471.5</v>
      </c>
      <c r="P52" s="291">
        <f>+'R_2014_06_atkelta(viso)'!Q52+R_2014_06_priskirta!Q53</f>
        <v>0</v>
      </c>
      <c r="Q52" s="24">
        <f t="shared" si="27"/>
        <v>10321.749999999998</v>
      </c>
      <c r="R52" s="229">
        <f t="shared" si="6"/>
        <v>9469.4954128440349</v>
      </c>
      <c r="S52" s="5">
        <f t="shared" si="28"/>
        <v>852.25458715596324</v>
      </c>
      <c r="T52" s="21">
        <f t="shared" si="29"/>
        <v>503.49999999999989</v>
      </c>
      <c r="U52" s="71"/>
      <c r="V52" s="61">
        <v>20.5</v>
      </c>
      <c r="W52" s="13">
        <f t="shared" ref="W52:W53" si="32">+T52*V52</f>
        <v>10321.749999999998</v>
      </c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48">
        <f>+'R_2014_07_atkelta(viso)'!E53+R_2014_07_priskirta!E54</f>
        <v>287.82</v>
      </c>
      <c r="F53" s="148">
        <f>+'R_2014_07_atkelta(viso)'!F53+R_2014_07_priskirta!F54</f>
        <v>9739.9599999999991</v>
      </c>
      <c r="G53" s="148">
        <f>+'R_2014_07_atkelta(viso)'!G53+R_2014_07_priskirta!G54</f>
        <v>1544.0600000000002</v>
      </c>
      <c r="H53" s="148">
        <f>+'R_2014_07_atkelta(viso)'!H53+R_2014_07_priskirta!H54</f>
        <v>506.76</v>
      </c>
      <c r="I53" s="148">
        <f>+'R_2014_07_atkelta(viso)'!I53+R_2014_07_priskirta!I54</f>
        <v>0</v>
      </c>
      <c r="J53" s="148">
        <f>+'R_2014_07_atkelta(viso)'!J53+R_2014_07_priskirta!J54</f>
        <v>0</v>
      </c>
      <c r="K53" s="148">
        <f>+'R_2014_07_atkelta(viso)'!K53+R_2014_07_priskirta!K54</f>
        <v>0</v>
      </c>
      <c r="L53" s="148">
        <f>+'R_2014_07_atkelta(viso)'!L53+R_2014_07_priskirta!L54</f>
        <v>0</v>
      </c>
      <c r="M53" s="148">
        <f>+'R_2014_07_atkelta(viso)'!M53+R_2014_07_priskirta!M54</f>
        <v>152.51999999999998</v>
      </c>
      <c r="N53" s="148">
        <f>+'R_2014_07_atkelta(viso)'!N53+R_2014_07_priskirta!N54</f>
        <v>54.120000000000012</v>
      </c>
      <c r="O53" s="148">
        <f>+'R_2014_07_atkelta(viso)'!O53+R_2014_07_priskirta!O54</f>
        <v>2084.44</v>
      </c>
      <c r="P53" s="292">
        <f>+'R_2014_06_atkelta(viso)'!Q53+R_2014_06_priskirta!Q54</f>
        <v>0</v>
      </c>
      <c r="Q53" s="359">
        <f t="shared" si="27"/>
        <v>14369.68</v>
      </c>
      <c r="R53" s="140">
        <f t="shared" si="6"/>
        <v>13183.192660550458</v>
      </c>
      <c r="S53" s="6">
        <f t="shared" si="28"/>
        <v>1186.4873394495426</v>
      </c>
      <c r="T53" s="22">
        <f t="shared" si="29"/>
        <v>1752.4</v>
      </c>
      <c r="U53" s="71"/>
      <c r="V53" s="61">
        <v>32.799999999999997</v>
      </c>
      <c r="W53" s="13">
        <f t="shared" si="32"/>
        <v>57478.720000000001</v>
      </c>
    </row>
    <row r="54" spans="1:23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3" x14ac:dyDescent="0.25">
      <c r="E55" s="2"/>
      <c r="F55" s="2"/>
      <c r="G55" s="2"/>
      <c r="H55" s="2"/>
      <c r="I55" s="2"/>
      <c r="J55" s="2"/>
      <c r="M55" s="2"/>
      <c r="N55" s="2"/>
      <c r="Q55" s="2"/>
      <c r="R55" s="2"/>
      <c r="S55" s="2"/>
    </row>
    <row r="57" spans="1:23" x14ac:dyDescent="0.25">
      <c r="O57" s="137"/>
      <c r="P57" s="137"/>
    </row>
    <row r="73" spans="2:2" x14ac:dyDescent="0.25">
      <c r="B73" s="1"/>
    </row>
  </sheetData>
  <mergeCells count="19">
    <mergeCell ref="W3:W4"/>
    <mergeCell ref="Q3:Q4"/>
    <mergeCell ref="R3:R4"/>
    <mergeCell ref="S3:S4"/>
    <mergeCell ref="T3:T4"/>
    <mergeCell ref="N3:N4"/>
    <mergeCell ref="O3:P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>
    <pageSetUpPr fitToPage="1"/>
  </sheetPr>
  <dimension ref="A1:AP73"/>
  <sheetViews>
    <sheetView zoomScaleNormal="100" workbookViewId="0">
      <pane xSplit="4" ySplit="4" topLeftCell="M44" activePane="bottomRight" state="frozen"/>
      <selection pane="topRight" activeCell="E1" sqref="E1"/>
      <selection pane="bottomLeft" activeCell="A5" sqref="A5"/>
      <selection pane="bottomRight" activeCell="D57" sqref="D57:Q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1.5546875" style="1" customWidth="1"/>
    <col min="9" max="9" width="15.109375" style="1" customWidth="1"/>
    <col min="10" max="10" width="14.109375" style="1" customWidth="1"/>
    <col min="11" max="11" width="11.33203125" style="1" customWidth="1"/>
    <col min="12" max="12" width="12.33203125" style="1" customWidth="1"/>
    <col min="13" max="13" width="13" style="1" customWidth="1"/>
    <col min="14" max="14" width="12.6640625" style="1" customWidth="1"/>
    <col min="15" max="15" width="13" style="1" customWidth="1"/>
    <col min="16" max="16" width="12.33203125" style="1" hidden="1" customWidth="1" outlineLevel="1"/>
    <col min="17" max="17" width="15.109375" style="1" bestFit="1" customWidth="1" collapsed="1"/>
    <col min="18" max="19" width="12.33203125" style="1" customWidth="1"/>
    <col min="20" max="20" width="11.6640625" style="1" customWidth="1"/>
    <col min="21" max="21" width="5.33203125" style="1" customWidth="1"/>
    <col min="22" max="22" width="4.88671875" style="1" customWidth="1"/>
    <col min="23" max="23" width="12.88671875" style="2" customWidth="1"/>
    <col min="24" max="24" width="11.33203125" style="1" bestFit="1" customWidth="1"/>
    <col min="25" max="25" width="9.88671875" style="1" bestFit="1" customWidth="1"/>
    <col min="26" max="16384" width="8.88671875" style="1"/>
  </cols>
  <sheetData>
    <row r="1" spans="1:42" ht="22.2" customHeight="1" x14ac:dyDescent="0.3">
      <c r="A1" s="40" t="s">
        <v>393</v>
      </c>
      <c r="E1" s="136"/>
      <c r="F1" s="136"/>
      <c r="G1" s="136"/>
      <c r="H1" s="136"/>
      <c r="I1" s="136"/>
      <c r="J1" s="136"/>
      <c r="K1" s="136"/>
      <c r="L1" s="136"/>
      <c r="M1" s="136"/>
      <c r="N1" s="136">
        <f>+N5/1.09</f>
        <v>42781.816513761463</v>
      </c>
      <c r="O1" s="136">
        <f>+O5/1.09</f>
        <v>490467.85321100912</v>
      </c>
      <c r="P1" s="136"/>
      <c r="Q1" s="136">
        <f>+(Q5-K5-L5)/1.09+Q55</f>
        <v>9315320.4097247701</v>
      </c>
      <c r="R1" s="136"/>
      <c r="S1" s="136"/>
      <c r="T1" s="136"/>
      <c r="U1" s="136"/>
      <c r="V1" s="136"/>
      <c r="W1" s="136"/>
    </row>
    <row r="2" spans="1:42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42" ht="25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148</v>
      </c>
    </row>
    <row r="4" spans="1:42" ht="26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412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42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T5" si="0">+E6+E18+E44</f>
        <v>148845.54</v>
      </c>
      <c r="F5" s="187">
        <f t="shared" si="0"/>
        <v>5574130.2400000002</v>
      </c>
      <c r="G5" s="82">
        <f t="shared" si="0"/>
        <v>834586.44000000006</v>
      </c>
      <c r="H5" s="82">
        <f t="shared" si="0"/>
        <v>122580.45999999999</v>
      </c>
      <c r="I5" s="187">
        <f t="shared" si="0"/>
        <v>756764.05</v>
      </c>
      <c r="J5" s="187">
        <f t="shared" si="0"/>
        <v>997215.1</v>
      </c>
      <c r="K5" s="187">
        <f t="shared" si="0"/>
        <v>867067.74</v>
      </c>
      <c r="L5" s="187">
        <f t="shared" si="0"/>
        <v>904.6800000000319</v>
      </c>
      <c r="M5" s="187">
        <f t="shared" si="0"/>
        <v>66442.640000000014</v>
      </c>
      <c r="N5" s="192">
        <f>+N6+N18+N44</f>
        <v>46632.18</v>
      </c>
      <c r="O5" s="187">
        <f>+O6+O18+O44</f>
        <v>534609.96</v>
      </c>
      <c r="P5" s="19">
        <f>+P6+P18+P44</f>
        <v>0</v>
      </c>
      <c r="Q5" s="42">
        <f t="shared" ref="Q5:Q10" si="1">+SUM(E5:P5)</f>
        <v>9949779.0300000012</v>
      </c>
      <c r="R5" s="42">
        <f t="shared" si="0"/>
        <v>9128237.6422018334</v>
      </c>
      <c r="S5" s="42">
        <f t="shared" si="0"/>
        <v>821541.38779816555</v>
      </c>
      <c r="T5" s="42">
        <f t="shared" si="0"/>
        <v>2348426</v>
      </c>
      <c r="U5" s="71"/>
      <c r="V5" s="87"/>
      <c r="W5" s="135">
        <f>+W7+W18+W44</f>
        <v>4609124.37</v>
      </c>
      <c r="X5" s="2"/>
      <c r="Y5" s="2"/>
    </row>
    <row r="6" spans="1:42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T6" si="2">+E7+E11</f>
        <v>40480.339999999997</v>
      </c>
      <c r="F6" s="187">
        <f t="shared" si="2"/>
        <v>1638678.0400000003</v>
      </c>
      <c r="G6" s="82">
        <f t="shared" si="2"/>
        <v>241096.63999999998</v>
      </c>
      <c r="H6" s="82">
        <f t="shared" si="2"/>
        <v>33933.96</v>
      </c>
      <c r="I6" s="187">
        <f t="shared" si="2"/>
        <v>756764.05</v>
      </c>
      <c r="J6" s="187">
        <f t="shared" si="2"/>
        <v>997215.1</v>
      </c>
      <c r="K6" s="187">
        <f t="shared" si="2"/>
        <v>867067.74</v>
      </c>
      <c r="L6" s="187">
        <f t="shared" si="2"/>
        <v>904.6800000000319</v>
      </c>
      <c r="M6" s="187">
        <f t="shared" si="2"/>
        <v>20364.040000000005</v>
      </c>
      <c r="N6" s="192">
        <f>+N7+N11</f>
        <v>34338.68</v>
      </c>
      <c r="O6" s="187">
        <f t="shared" si="2"/>
        <v>138421.26</v>
      </c>
      <c r="P6" s="19">
        <f t="shared" si="2"/>
        <v>0</v>
      </c>
      <c r="Q6" s="42">
        <f t="shared" si="1"/>
        <v>4769264.5299999993</v>
      </c>
      <c r="R6" s="42">
        <f t="shared" si="2"/>
        <v>4375472.0458715595</v>
      </c>
      <c r="S6" s="42">
        <f t="shared" si="2"/>
        <v>393792.48412844044</v>
      </c>
      <c r="T6" s="42">
        <f t="shared" si="2"/>
        <v>2229452</v>
      </c>
      <c r="V6" s="61"/>
      <c r="W6" s="13"/>
      <c r="X6" s="2"/>
      <c r="Y6" s="2"/>
    </row>
    <row r="7" spans="1:42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219">
        <f t="shared" si="3"/>
        <v>0</v>
      </c>
      <c r="G7" s="79">
        <f t="shared" si="3"/>
        <v>0</v>
      </c>
      <c r="H7" s="79">
        <f t="shared" si="3"/>
        <v>0</v>
      </c>
      <c r="I7" s="126">
        <f t="shared" si="3"/>
        <v>756764.05</v>
      </c>
      <c r="J7" s="380">
        <f t="shared" si="3"/>
        <v>997215.1</v>
      </c>
      <c r="K7" s="79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219">
        <f t="shared" si="4"/>
        <v>0</v>
      </c>
      <c r="P7" s="226">
        <f t="shared" si="4"/>
        <v>0</v>
      </c>
      <c r="Q7" s="43">
        <f t="shared" si="1"/>
        <v>1753979.15</v>
      </c>
      <c r="R7" s="43">
        <f t="shared" si="4"/>
        <v>1609155.1834862384</v>
      </c>
      <c r="S7" s="43">
        <f t="shared" si="4"/>
        <v>144823.96651376149</v>
      </c>
      <c r="T7" s="43">
        <f t="shared" si="4"/>
        <v>631100</v>
      </c>
      <c r="U7" s="71"/>
      <c r="V7" s="134"/>
      <c r="W7" s="105">
        <f>+SUM(W8:W17)</f>
        <v>1018006.87</v>
      </c>
      <c r="X7" s="2"/>
      <c r="Y7" s="2"/>
    </row>
    <row r="8" spans="1:42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539378</v>
      </c>
      <c r="J8" s="127">
        <v>774067</v>
      </c>
      <c r="K8" s="36"/>
      <c r="L8" s="36"/>
      <c r="M8" s="36"/>
      <c r="N8" s="127"/>
      <c r="O8" s="362"/>
      <c r="P8" s="355"/>
      <c r="Q8" s="24">
        <f t="shared" si="1"/>
        <v>1313445</v>
      </c>
      <c r="R8" s="5">
        <f t="shared" ref="R8:R10" si="5">+Q8/1.09</f>
        <v>1204995.4128440367</v>
      </c>
      <c r="S8" s="5">
        <f t="shared" ref="S8:S10" si="6">+Q8-R8</f>
        <v>108449.58715596329</v>
      </c>
      <c r="T8" s="5">
        <f>Q8/D8</f>
        <v>375270</v>
      </c>
      <c r="U8" s="71"/>
      <c r="V8" s="61"/>
      <c r="W8" s="13"/>
      <c r="X8" s="2"/>
      <c r="Y8" s="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</row>
    <row r="9" spans="1:42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7">+D8*0.5</f>
        <v>1.75</v>
      </c>
      <c r="E9" s="122"/>
      <c r="F9" s="17"/>
      <c r="G9" s="13"/>
      <c r="H9" s="13"/>
      <c r="I9" s="127">
        <v>214705.75</v>
      </c>
      <c r="J9" s="127">
        <v>221049.5</v>
      </c>
      <c r="K9" s="143"/>
      <c r="L9" s="143"/>
      <c r="M9" s="143"/>
      <c r="N9" s="127"/>
      <c r="O9" s="17"/>
      <c r="P9" s="350"/>
      <c r="Q9" s="24">
        <f t="shared" si="1"/>
        <v>435755.25</v>
      </c>
      <c r="R9" s="26">
        <f t="shared" si="5"/>
        <v>399775.45871559629</v>
      </c>
      <c r="S9" s="26">
        <f t="shared" si="6"/>
        <v>35979.791284403706</v>
      </c>
      <c r="T9" s="26">
        <f>Q9/D9</f>
        <v>249003</v>
      </c>
      <c r="U9" s="71"/>
      <c r="V9" s="61">
        <v>1.75</v>
      </c>
      <c r="W9" s="13">
        <f>+T9*V9</f>
        <v>435755.25</v>
      </c>
      <c r="X9" s="2"/>
      <c r="Y9" s="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</row>
    <row r="10" spans="1:42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2680.3</v>
      </c>
      <c r="J10" s="144">
        <v>2098.6</v>
      </c>
      <c r="K10" s="144"/>
      <c r="L10" s="144"/>
      <c r="M10" s="144"/>
      <c r="N10" s="144"/>
      <c r="O10" s="18"/>
      <c r="P10" s="350"/>
      <c r="Q10" s="24">
        <f t="shared" si="1"/>
        <v>4778.8999999999996</v>
      </c>
      <c r="R10" s="26">
        <f t="shared" si="5"/>
        <v>4384.3119266055037</v>
      </c>
      <c r="S10" s="26">
        <f t="shared" si="6"/>
        <v>394.58807339449595</v>
      </c>
      <c r="T10" s="26">
        <f>Q10/D10</f>
        <v>6827</v>
      </c>
      <c r="U10" s="71"/>
      <c r="V10" s="107">
        <v>2.8</v>
      </c>
      <c r="W10" s="13">
        <f>+T10*V10</f>
        <v>19115.599999999999</v>
      </c>
      <c r="X10" s="2"/>
      <c r="Y10" s="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</row>
    <row r="11" spans="1:42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40480.339999999997</v>
      </c>
      <c r="F11" s="16">
        <f t="shared" si="8"/>
        <v>1638678.0400000003</v>
      </c>
      <c r="G11" s="84">
        <f t="shared" si="8"/>
        <v>241096.63999999998</v>
      </c>
      <c r="H11" s="84">
        <f t="shared" si="8"/>
        <v>33933.96</v>
      </c>
      <c r="I11" s="84">
        <f t="shared" si="8"/>
        <v>0</v>
      </c>
      <c r="J11" s="74">
        <f t="shared" si="8"/>
        <v>0</v>
      </c>
      <c r="K11" s="101">
        <f t="shared" si="8"/>
        <v>867067.74</v>
      </c>
      <c r="L11" s="101">
        <f t="shared" si="8"/>
        <v>904.6800000000319</v>
      </c>
      <c r="M11" s="101">
        <f t="shared" si="8"/>
        <v>20364.040000000005</v>
      </c>
      <c r="N11" s="101">
        <f t="shared" si="8"/>
        <v>34338.68</v>
      </c>
      <c r="O11" s="101">
        <f t="shared" si="8"/>
        <v>138421.26</v>
      </c>
      <c r="P11" s="101">
        <f t="shared" si="8"/>
        <v>0</v>
      </c>
      <c r="Q11" s="43">
        <f t="shared" si="8"/>
        <v>3015285.38</v>
      </c>
      <c r="R11" s="43">
        <f t="shared" si="8"/>
        <v>2766316.8623853214</v>
      </c>
      <c r="S11" s="43">
        <f t="shared" si="8"/>
        <v>248968.51761467895</v>
      </c>
      <c r="T11" s="43">
        <f t="shared" si="8"/>
        <v>1598352</v>
      </c>
      <c r="U11" s="71"/>
      <c r="V11" s="61"/>
      <c r="W11" s="13"/>
      <c r="X11" s="2"/>
      <c r="Y11" s="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</row>
    <row r="12" spans="1:42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33165</v>
      </c>
      <c r="F12" s="13">
        <v>1252411.6000000001</v>
      </c>
      <c r="G12" s="13">
        <v>178076.79999999999</v>
      </c>
      <c r="H12" s="13">
        <v>26690.400000000005</v>
      </c>
      <c r="I12" s="13"/>
      <c r="J12" s="33"/>
      <c r="K12" s="33">
        <v>665018.19999999995</v>
      </c>
      <c r="L12" s="305">
        <v>646.80000000004657</v>
      </c>
      <c r="M12" s="308">
        <v>13939.2</v>
      </c>
      <c r="N12" s="127">
        <v>29482.2</v>
      </c>
      <c r="O12" s="361">
        <f>122524.6-17.6</f>
        <v>122507</v>
      </c>
      <c r="P12" s="164"/>
      <c r="Q12" s="24">
        <f t="shared" ref="Q12:Q17" si="9">+SUM(E12:P12)</f>
        <v>2321937.2000000002</v>
      </c>
      <c r="R12" s="5">
        <f t="shared" ref="R12:R17" si="10">+Q12/1.09</f>
        <v>2130217.6146788993</v>
      </c>
      <c r="S12" s="5">
        <f t="shared" ref="S12:S17" si="11">+Q12-R12</f>
        <v>191719.58532110089</v>
      </c>
      <c r="T12" s="21">
        <f t="shared" ref="T12:T17" si="12">Q12/D12</f>
        <v>1055426</v>
      </c>
      <c r="U12" s="2"/>
      <c r="V12" s="61"/>
      <c r="W12" s="13"/>
      <c r="X12" s="2"/>
      <c r="Y12" s="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</row>
    <row r="13" spans="1:42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6618.7</v>
      </c>
      <c r="F13" s="13">
        <v>357381.2</v>
      </c>
      <c r="G13" s="13">
        <v>57694.999999999993</v>
      </c>
      <c r="H13" s="13">
        <v>7006.9999999999982</v>
      </c>
      <c r="I13" s="13"/>
      <c r="J13" s="33"/>
      <c r="K13" s="33">
        <v>68990.899999999994</v>
      </c>
      <c r="L13" s="306">
        <v>68.199999999982538</v>
      </c>
      <c r="M13" s="13">
        <v>6021.4</v>
      </c>
      <c r="N13" s="127">
        <v>970.2</v>
      </c>
      <c r="O13" s="96">
        <v>8418.2999999999993</v>
      </c>
      <c r="P13" s="164"/>
      <c r="Q13" s="24">
        <f t="shared" si="9"/>
        <v>513170.9</v>
      </c>
      <c r="R13" s="5">
        <f t="shared" si="10"/>
        <v>470798.99082568806</v>
      </c>
      <c r="S13" s="5">
        <f t="shared" si="11"/>
        <v>42371.909174311964</v>
      </c>
      <c r="T13" s="21">
        <f t="shared" si="12"/>
        <v>466519</v>
      </c>
      <c r="U13" s="71"/>
      <c r="V13" s="107">
        <v>1.1000000000000001</v>
      </c>
      <c r="W13" s="13">
        <f t="shared" ref="W13:W14" si="13">+T13*V13</f>
        <v>513170.9</v>
      </c>
      <c r="X13" s="2"/>
      <c r="Y13" s="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</row>
    <row r="14" spans="1:42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70.400000000000006</v>
      </c>
      <c r="F14" s="13">
        <v>3992.12</v>
      </c>
      <c r="G14" s="13">
        <v>649</v>
      </c>
      <c r="H14" s="13">
        <v>66</v>
      </c>
      <c r="I14" s="13"/>
      <c r="J14" s="33"/>
      <c r="K14" s="33">
        <v>1178.32</v>
      </c>
      <c r="L14" s="306">
        <v>0.87999999999988177</v>
      </c>
      <c r="M14" s="13">
        <v>64.239999999999995</v>
      </c>
      <c r="N14" s="127">
        <v>207.24</v>
      </c>
      <c r="O14" s="96">
        <v>90.2</v>
      </c>
      <c r="P14" s="164"/>
      <c r="Q14" s="24">
        <f t="shared" si="9"/>
        <v>6318.4</v>
      </c>
      <c r="R14" s="5">
        <f t="shared" si="10"/>
        <v>5796.697247706421</v>
      </c>
      <c r="S14" s="5">
        <f t="shared" si="11"/>
        <v>521.70275229357867</v>
      </c>
      <c r="T14" s="5">
        <f t="shared" si="12"/>
        <v>14360</v>
      </c>
      <c r="U14" s="71"/>
      <c r="V14" s="61">
        <v>1.76</v>
      </c>
      <c r="W14" s="13">
        <f t="shared" si="13"/>
        <v>25273.599999999999</v>
      </c>
      <c r="X14" s="2"/>
      <c r="Y14" s="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</row>
    <row r="15" spans="1:42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505.6</v>
      </c>
      <c r="F15" s="13">
        <v>19936</v>
      </c>
      <c r="G15" s="13">
        <v>3628.8</v>
      </c>
      <c r="H15" s="13">
        <v>67.200000000000017</v>
      </c>
      <c r="I15" s="13"/>
      <c r="J15" s="33"/>
      <c r="K15" s="33">
        <v>115676.8</v>
      </c>
      <c r="L15" s="306">
        <v>160</v>
      </c>
      <c r="M15" s="13">
        <v>278.39999999999998</v>
      </c>
      <c r="N15" s="127">
        <v>3465.6</v>
      </c>
      <c r="O15" s="96">
        <v>6864</v>
      </c>
      <c r="P15" s="164"/>
      <c r="Q15" s="24">
        <f t="shared" si="9"/>
        <v>150582.39999999999</v>
      </c>
      <c r="R15" s="5">
        <f t="shared" si="10"/>
        <v>138148.99082568806</v>
      </c>
      <c r="S15" s="5">
        <f t="shared" si="11"/>
        <v>12433.409174311935</v>
      </c>
      <c r="T15" s="21">
        <f t="shared" si="12"/>
        <v>47056.999999999993</v>
      </c>
      <c r="U15" s="71"/>
      <c r="V15" s="61"/>
      <c r="W15" s="13"/>
      <c r="X15" s="2"/>
      <c r="Y15" s="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</row>
    <row r="16" spans="1:42" ht="1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>
        <v>116.8</v>
      </c>
      <c r="F16" s="13">
        <v>4824</v>
      </c>
      <c r="G16" s="13">
        <v>1040</v>
      </c>
      <c r="H16" s="13">
        <v>100.80000000000001</v>
      </c>
      <c r="I16" s="13"/>
      <c r="J16" s="33"/>
      <c r="K16" s="33">
        <v>15948.8</v>
      </c>
      <c r="L16" s="306">
        <v>28.80000000000291</v>
      </c>
      <c r="M16" s="13">
        <v>54.4</v>
      </c>
      <c r="N16" s="127">
        <v>171.2</v>
      </c>
      <c r="O16" s="96">
        <v>520</v>
      </c>
      <c r="P16" s="164"/>
      <c r="Q16" s="24">
        <f t="shared" si="9"/>
        <v>22804.800000000007</v>
      </c>
      <c r="R16" s="5">
        <f t="shared" si="10"/>
        <v>20921.834862385327</v>
      </c>
      <c r="S16" s="5">
        <f t="shared" si="11"/>
        <v>1882.9651376146794</v>
      </c>
      <c r="T16" s="21">
        <f t="shared" si="12"/>
        <v>14253.000000000004</v>
      </c>
      <c r="U16" s="71"/>
      <c r="V16" s="61">
        <v>1.6</v>
      </c>
      <c r="W16" s="13">
        <f t="shared" ref="W16:W17" si="14">+T16*V16</f>
        <v>22804.800000000007</v>
      </c>
      <c r="X16" s="2"/>
      <c r="Y16" s="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</row>
    <row r="17" spans="1:42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3.84</v>
      </c>
      <c r="F17" s="13">
        <v>133.12</v>
      </c>
      <c r="G17" s="13">
        <v>7.04</v>
      </c>
      <c r="H17" s="14">
        <v>2.56</v>
      </c>
      <c r="I17" s="14"/>
      <c r="J17" s="76"/>
      <c r="K17" s="76">
        <v>254.72</v>
      </c>
      <c r="L17" s="307">
        <v>0</v>
      </c>
      <c r="M17" s="14">
        <v>6.4</v>
      </c>
      <c r="N17" s="127">
        <v>42.24</v>
      </c>
      <c r="O17" s="148">
        <v>21.76</v>
      </c>
      <c r="P17" s="164"/>
      <c r="Q17" s="24">
        <f t="shared" si="9"/>
        <v>471.67999999999995</v>
      </c>
      <c r="R17" s="5">
        <f t="shared" si="10"/>
        <v>432.73394495412839</v>
      </c>
      <c r="S17" s="5">
        <f t="shared" si="11"/>
        <v>38.94605504587156</v>
      </c>
      <c r="T17" s="22">
        <f t="shared" si="12"/>
        <v>736.99999999999989</v>
      </c>
      <c r="U17" s="71"/>
      <c r="V17" s="61">
        <v>2.56</v>
      </c>
      <c r="W17" s="13">
        <f t="shared" si="14"/>
        <v>1886.7199999999998</v>
      </c>
      <c r="X17" s="2"/>
      <c r="Y17" s="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</row>
    <row r="18" spans="1:42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103368</v>
      </c>
      <c r="F18" s="118">
        <f t="shared" ref="F18:T18" si="15">+SUM(F19:F43)</f>
        <v>3733012</v>
      </c>
      <c r="G18" s="231">
        <f t="shared" si="15"/>
        <v>563276</v>
      </c>
      <c r="H18" s="118">
        <f t="shared" si="15"/>
        <v>82328</v>
      </c>
      <c r="I18" s="231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44291</v>
      </c>
      <c r="N18" s="231">
        <f t="shared" ref="N18" si="16">+SUM(N19:N43)</f>
        <v>10900</v>
      </c>
      <c r="O18" s="118">
        <f>+SUM(O19:O43)</f>
        <v>376860</v>
      </c>
      <c r="P18" s="118">
        <f t="shared" ref="P18" si="17">+SUM(P19:P43)</f>
        <v>0</v>
      </c>
      <c r="Q18" s="42">
        <f>+SUM(Q19:Q43)</f>
        <v>4914035</v>
      </c>
      <c r="R18" s="118">
        <f t="shared" si="15"/>
        <v>4508288.9908256875</v>
      </c>
      <c r="S18" s="118">
        <f t="shared" si="15"/>
        <v>405746.00917431235</v>
      </c>
      <c r="T18" s="387">
        <f t="shared" si="15"/>
        <v>81791</v>
      </c>
      <c r="U18" s="71"/>
      <c r="V18" s="61"/>
      <c r="W18" s="105">
        <f>+SUM(W19:W43)</f>
        <v>3229685</v>
      </c>
      <c r="X18" s="2"/>
      <c r="Y18" s="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</row>
    <row r="19" spans="1:42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69000</v>
      </c>
      <c r="F19" s="92">
        <v>2304100</v>
      </c>
      <c r="G19" s="92">
        <v>337200</v>
      </c>
      <c r="H19" s="92">
        <v>48100</v>
      </c>
      <c r="I19" s="23"/>
      <c r="J19" s="34"/>
      <c r="K19" s="34"/>
      <c r="L19" s="34"/>
      <c r="M19" s="34">
        <v>27600</v>
      </c>
      <c r="N19" s="127">
        <v>7000</v>
      </c>
      <c r="O19" s="362">
        <v>211500</v>
      </c>
      <c r="P19" s="356"/>
      <c r="Q19" s="24">
        <f t="shared" ref="Q19:Q43" si="18">+SUM(E19:P19)</f>
        <v>3004500</v>
      </c>
      <c r="R19" s="99">
        <f t="shared" ref="R19:R43" si="19">+Q19/1.09</f>
        <v>2756422.0183486235</v>
      </c>
      <c r="S19" s="24">
        <f>+Q19-R19</f>
        <v>248077.98165137647</v>
      </c>
      <c r="T19" s="94">
        <f t="shared" ref="T19:T43" si="20">Q19/D19</f>
        <v>30045</v>
      </c>
      <c r="U19" s="41"/>
      <c r="V19" s="61"/>
      <c r="W19" s="106"/>
      <c r="X19" s="2"/>
      <c r="Y19" s="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</row>
    <row r="20" spans="1:42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12750</v>
      </c>
      <c r="F20" s="48">
        <v>691700</v>
      </c>
      <c r="G20" s="48">
        <v>102700</v>
      </c>
      <c r="H20" s="48">
        <v>16800</v>
      </c>
      <c r="I20" s="13"/>
      <c r="J20" s="33"/>
      <c r="K20" s="33"/>
      <c r="L20" s="33"/>
      <c r="M20" s="33">
        <v>10300</v>
      </c>
      <c r="N20" s="127">
        <v>250</v>
      </c>
      <c r="O20" s="17">
        <v>11350</v>
      </c>
      <c r="P20" s="357"/>
      <c r="Q20" s="24">
        <f t="shared" si="18"/>
        <v>845850</v>
      </c>
      <c r="R20" s="5">
        <f t="shared" si="19"/>
        <v>776009.17431192659</v>
      </c>
      <c r="S20" s="5">
        <f t="shared" ref="S20:S43" si="21">+Q20-R20</f>
        <v>69840.825688073412</v>
      </c>
      <c r="T20" s="21">
        <f t="shared" si="20"/>
        <v>16917</v>
      </c>
      <c r="U20" s="41"/>
      <c r="V20" s="61">
        <v>50</v>
      </c>
      <c r="W20" s="13">
        <f t="shared" ref="W20:W21" si="22">+T20*V20</f>
        <v>845850</v>
      </c>
      <c r="X20" s="2"/>
      <c r="Y20" s="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</row>
    <row r="21" spans="1:42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11560</v>
      </c>
      <c r="F21" s="95">
        <v>428500</v>
      </c>
      <c r="G21" s="95">
        <v>73080</v>
      </c>
      <c r="H21" s="95">
        <v>6460</v>
      </c>
      <c r="I21" s="13"/>
      <c r="J21" s="33"/>
      <c r="K21" s="33"/>
      <c r="L21" s="33"/>
      <c r="M21" s="33">
        <v>3520</v>
      </c>
      <c r="N21" s="127">
        <v>2540</v>
      </c>
      <c r="O21" s="17">
        <v>50060</v>
      </c>
      <c r="P21" s="357"/>
      <c r="Q21" s="24">
        <f t="shared" si="18"/>
        <v>575720</v>
      </c>
      <c r="R21" s="5">
        <f t="shared" si="19"/>
        <v>528183.48623853212</v>
      </c>
      <c r="S21" s="5">
        <f t="shared" si="21"/>
        <v>47536.513761467882</v>
      </c>
      <c r="T21" s="309">
        <f t="shared" si="20"/>
        <v>28786</v>
      </c>
      <c r="U21" s="41"/>
      <c r="V21" s="61">
        <v>80</v>
      </c>
      <c r="W21" s="13">
        <f t="shared" si="22"/>
        <v>2302880</v>
      </c>
      <c r="X21" s="2"/>
      <c r="Y21" s="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</row>
    <row r="22" spans="1:42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0">
        <v>9360</v>
      </c>
      <c r="F22" s="95">
        <v>274140</v>
      </c>
      <c r="G22" s="95">
        <v>45450</v>
      </c>
      <c r="H22" s="95">
        <v>8550</v>
      </c>
      <c r="I22" s="13"/>
      <c r="J22" s="33"/>
      <c r="K22" s="33"/>
      <c r="L22" s="33"/>
      <c r="M22" s="33">
        <v>2430</v>
      </c>
      <c r="N22" s="127">
        <v>990</v>
      </c>
      <c r="O22" s="17">
        <v>84240</v>
      </c>
      <c r="P22" s="357"/>
      <c r="Q22" s="24">
        <f t="shared" si="18"/>
        <v>425160</v>
      </c>
      <c r="R22" s="5">
        <f t="shared" si="19"/>
        <v>390055.04587155959</v>
      </c>
      <c r="S22" s="5">
        <f t="shared" si="21"/>
        <v>35104.954128440411</v>
      </c>
      <c r="T22" s="21">
        <f t="shared" si="20"/>
        <v>4724</v>
      </c>
      <c r="U22" s="41"/>
      <c r="V22" s="61"/>
      <c r="W22" s="13"/>
      <c r="X22" s="2"/>
      <c r="Y22" s="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</row>
    <row r="23" spans="1:42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360</v>
      </c>
      <c r="F23" s="95">
        <v>16425</v>
      </c>
      <c r="G23" s="95">
        <v>2700</v>
      </c>
      <c r="H23" s="95">
        <v>900</v>
      </c>
      <c r="I23" s="13"/>
      <c r="J23" s="33"/>
      <c r="K23" s="33"/>
      <c r="L23" s="33"/>
      <c r="M23" s="33">
        <v>45</v>
      </c>
      <c r="N23" s="127"/>
      <c r="O23" s="17">
        <v>3240</v>
      </c>
      <c r="P23" s="357"/>
      <c r="Q23" s="24">
        <f t="shared" si="18"/>
        <v>23670</v>
      </c>
      <c r="R23" s="5">
        <f t="shared" si="19"/>
        <v>21715.596330275228</v>
      </c>
      <c r="S23" s="5">
        <f t="shared" si="21"/>
        <v>1954.403669724772</v>
      </c>
      <c r="T23" s="21">
        <f t="shared" si="20"/>
        <v>526</v>
      </c>
      <c r="U23" s="35"/>
      <c r="V23" s="61">
        <v>45</v>
      </c>
      <c r="W23" s="13">
        <f t="shared" ref="W23:W24" si="23">+T23*V23</f>
        <v>23670</v>
      </c>
      <c r="X23" s="2"/>
      <c r="Y23" s="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</row>
    <row r="24" spans="1:42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108</v>
      </c>
      <c r="F24" s="95">
        <v>1512</v>
      </c>
      <c r="G24" s="95">
        <v>216</v>
      </c>
      <c r="H24" s="95">
        <v>18</v>
      </c>
      <c r="I24" s="13"/>
      <c r="J24" s="33"/>
      <c r="K24" s="33"/>
      <c r="L24" s="33"/>
      <c r="M24" s="33">
        <v>36</v>
      </c>
      <c r="N24" s="127"/>
      <c r="O24" s="17">
        <v>666</v>
      </c>
      <c r="P24" s="357"/>
      <c r="Q24" s="24">
        <f t="shared" si="18"/>
        <v>2556</v>
      </c>
      <c r="R24" s="5">
        <f t="shared" si="19"/>
        <v>2344.9541284403667</v>
      </c>
      <c r="S24" s="5">
        <f t="shared" si="21"/>
        <v>211.04587155963327</v>
      </c>
      <c r="T24" s="21">
        <f t="shared" si="20"/>
        <v>142</v>
      </c>
      <c r="U24" s="35"/>
      <c r="V24" s="61">
        <v>72</v>
      </c>
      <c r="W24" s="13">
        <f t="shared" si="23"/>
        <v>10224</v>
      </c>
      <c r="X24" s="2"/>
      <c r="Y24" s="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</row>
    <row r="25" spans="1:42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5">
        <v>3900</v>
      </c>
      <c r="G25" s="95">
        <v>0</v>
      </c>
      <c r="H25" s="95">
        <v>0</v>
      </c>
      <c r="I25" s="13"/>
      <c r="J25" s="33"/>
      <c r="K25" s="33"/>
      <c r="L25" s="33"/>
      <c r="M25" s="33">
        <v>300</v>
      </c>
      <c r="N25" s="127"/>
      <c r="O25" s="17">
        <v>3900</v>
      </c>
      <c r="P25" s="357"/>
      <c r="Q25" s="24">
        <f t="shared" si="18"/>
        <v>8100</v>
      </c>
      <c r="R25" s="5">
        <f t="shared" si="19"/>
        <v>7431.1926605504577</v>
      </c>
      <c r="S25" s="5">
        <f t="shared" si="21"/>
        <v>668.80733944954227</v>
      </c>
      <c r="T25" s="21">
        <f t="shared" si="20"/>
        <v>27</v>
      </c>
      <c r="U25" s="35"/>
      <c r="V25" s="61"/>
      <c r="W25" s="13"/>
      <c r="X25" s="2"/>
      <c r="Y25" s="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</row>
    <row r="26" spans="1:42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3150</v>
      </c>
      <c r="G26" s="95">
        <v>150</v>
      </c>
      <c r="H26" s="95">
        <v>0</v>
      </c>
      <c r="I26" s="13"/>
      <c r="J26" s="33"/>
      <c r="K26" s="33"/>
      <c r="L26" s="33"/>
      <c r="M26" s="33"/>
      <c r="N26" s="127"/>
      <c r="O26" s="13">
        <v>450</v>
      </c>
      <c r="P26" s="357"/>
      <c r="Q26" s="24">
        <f t="shared" si="18"/>
        <v>3750</v>
      </c>
      <c r="R26" s="5">
        <f t="shared" si="19"/>
        <v>3440.3669724770639</v>
      </c>
      <c r="S26" s="5">
        <f t="shared" si="21"/>
        <v>309.63302752293612</v>
      </c>
      <c r="T26" s="21">
        <f t="shared" si="20"/>
        <v>25</v>
      </c>
      <c r="U26" s="35"/>
      <c r="V26" s="61">
        <v>150</v>
      </c>
      <c r="W26" s="13">
        <f t="shared" ref="W26:W42" si="24">+T26*V26</f>
        <v>3750</v>
      </c>
      <c r="X26" s="2"/>
      <c r="Y26" s="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</row>
    <row r="27" spans="1:42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180</v>
      </c>
      <c r="F27" s="95">
        <v>3420</v>
      </c>
      <c r="G27" s="95">
        <v>480</v>
      </c>
      <c r="H27" s="95">
        <v>60</v>
      </c>
      <c r="I27" s="13"/>
      <c r="J27" s="33"/>
      <c r="K27" s="33"/>
      <c r="L27" s="33"/>
      <c r="M27" s="33"/>
      <c r="N27" s="127">
        <v>120</v>
      </c>
      <c r="O27" s="13">
        <v>3300</v>
      </c>
      <c r="P27" s="357"/>
      <c r="Q27" s="24">
        <f t="shared" si="18"/>
        <v>7560</v>
      </c>
      <c r="R27" s="5">
        <f t="shared" si="19"/>
        <v>6935.779816513761</v>
      </c>
      <c r="S27" s="5">
        <f t="shared" si="21"/>
        <v>624.22018348623897</v>
      </c>
      <c r="T27" s="21">
        <f t="shared" si="20"/>
        <v>126</v>
      </c>
      <c r="U27" s="35"/>
      <c r="V27" s="61">
        <v>240</v>
      </c>
      <c r="W27" s="13">
        <f t="shared" si="24"/>
        <v>30240</v>
      </c>
      <c r="X27" s="2"/>
      <c r="Y27" s="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</row>
    <row r="28" spans="1:42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540</v>
      </c>
      <c r="G28" s="95"/>
      <c r="H28" s="95">
        <v>540</v>
      </c>
      <c r="I28" s="13"/>
      <c r="J28" s="33"/>
      <c r="K28" s="33"/>
      <c r="L28" s="33"/>
      <c r="M28" s="33"/>
      <c r="N28" s="127"/>
      <c r="O28" s="13">
        <v>5130</v>
      </c>
      <c r="P28" s="357"/>
      <c r="Q28" s="24">
        <f t="shared" si="18"/>
        <v>6210</v>
      </c>
      <c r="R28" s="5">
        <f t="shared" si="19"/>
        <v>5697.2477064220184</v>
      </c>
      <c r="S28" s="5">
        <f t="shared" si="21"/>
        <v>512.75229357798162</v>
      </c>
      <c r="T28" s="21">
        <f t="shared" si="20"/>
        <v>23</v>
      </c>
      <c r="U28" s="35"/>
      <c r="V28" s="61"/>
      <c r="W28" s="13"/>
      <c r="X28" s="2"/>
      <c r="Y28" s="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</row>
    <row r="29" spans="1:42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>
        <v>135</v>
      </c>
      <c r="G29" s="95"/>
      <c r="H29" s="95">
        <v>0</v>
      </c>
      <c r="I29" s="13"/>
      <c r="J29" s="33"/>
      <c r="K29" s="33"/>
      <c r="L29" s="33"/>
      <c r="M29" s="33"/>
      <c r="N29" s="127"/>
      <c r="O29" s="13"/>
      <c r="P29" s="357"/>
      <c r="Q29" s="24">
        <f t="shared" si="18"/>
        <v>135</v>
      </c>
      <c r="R29" s="5">
        <f t="shared" si="19"/>
        <v>123.8532110091743</v>
      </c>
      <c r="S29" s="5">
        <f t="shared" si="21"/>
        <v>11.146788990825698</v>
      </c>
      <c r="T29" s="21">
        <f t="shared" si="20"/>
        <v>1</v>
      </c>
      <c r="U29" s="35"/>
      <c r="V29" s="61">
        <v>135</v>
      </c>
      <c r="W29" s="13">
        <f t="shared" si="24"/>
        <v>135</v>
      </c>
      <c r="X29" s="2"/>
      <c r="Y29" s="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</row>
    <row r="30" spans="1:42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/>
      <c r="F30" s="95">
        <v>0</v>
      </c>
      <c r="G30" s="95"/>
      <c r="H30" s="95">
        <v>0</v>
      </c>
      <c r="I30" s="13"/>
      <c r="J30" s="33"/>
      <c r="K30" s="33"/>
      <c r="L30" s="33"/>
      <c r="M30" s="33"/>
      <c r="N30" s="127"/>
      <c r="O30" s="13">
        <v>54</v>
      </c>
      <c r="P30" s="357"/>
      <c r="Q30" s="24">
        <f t="shared" si="18"/>
        <v>54</v>
      </c>
      <c r="R30" s="5">
        <f t="shared" si="19"/>
        <v>49.541284403669721</v>
      </c>
      <c r="S30" s="5">
        <f t="shared" si="21"/>
        <v>4.4587155963302791</v>
      </c>
      <c r="T30" s="21">
        <f t="shared" si="20"/>
        <v>1</v>
      </c>
      <c r="U30" s="35"/>
      <c r="V30" s="61">
        <v>216</v>
      </c>
      <c r="W30" s="13">
        <f t="shared" si="24"/>
        <v>216</v>
      </c>
      <c r="X30" s="2"/>
      <c r="Y30" s="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</row>
    <row r="31" spans="1:42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>
        <v>600</v>
      </c>
      <c r="G31" s="95"/>
      <c r="H31" s="95">
        <v>0</v>
      </c>
      <c r="I31" s="13"/>
      <c r="J31" s="33"/>
      <c r="K31" s="33"/>
      <c r="L31" s="33"/>
      <c r="M31" s="33"/>
      <c r="N31" s="127"/>
      <c r="O31" s="13"/>
      <c r="P31" s="357"/>
      <c r="Q31" s="24">
        <f t="shared" si="18"/>
        <v>600</v>
      </c>
      <c r="R31" s="5">
        <f t="shared" si="19"/>
        <v>550.45871559633019</v>
      </c>
      <c r="S31" s="5">
        <f t="shared" si="21"/>
        <v>49.541284403669806</v>
      </c>
      <c r="T31" s="21">
        <f t="shared" si="20"/>
        <v>1</v>
      </c>
      <c r="U31" s="35"/>
      <c r="V31" s="61"/>
      <c r="W31" s="13"/>
      <c r="X31" s="2"/>
      <c r="Y31" s="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</row>
    <row r="32" spans="1:42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600</v>
      </c>
      <c r="G32" s="95">
        <v>600</v>
      </c>
      <c r="H32" s="95">
        <v>0</v>
      </c>
      <c r="I32" s="13"/>
      <c r="J32" s="33"/>
      <c r="K32" s="33"/>
      <c r="L32" s="33"/>
      <c r="M32" s="33"/>
      <c r="N32" s="127"/>
      <c r="O32" s="13"/>
      <c r="P32" s="357"/>
      <c r="Q32" s="24">
        <f t="shared" si="18"/>
        <v>1200</v>
      </c>
      <c r="R32" s="5">
        <f t="shared" si="19"/>
        <v>1100.9174311926604</v>
      </c>
      <c r="S32" s="5">
        <f t="shared" si="21"/>
        <v>99.082568807339612</v>
      </c>
      <c r="T32" s="21">
        <f t="shared" si="20"/>
        <v>4</v>
      </c>
      <c r="U32" s="35"/>
      <c r="V32" s="61">
        <v>300</v>
      </c>
      <c r="W32" s="13">
        <f t="shared" si="24"/>
        <v>1200</v>
      </c>
      <c r="X32" s="2"/>
      <c r="Y32" s="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</row>
    <row r="33" spans="1:42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/>
      <c r="F33" s="95">
        <v>600</v>
      </c>
      <c r="G33" s="95">
        <v>120</v>
      </c>
      <c r="H33" s="95">
        <v>0</v>
      </c>
      <c r="I33" s="13"/>
      <c r="J33" s="33"/>
      <c r="K33" s="33"/>
      <c r="L33" s="33"/>
      <c r="M33" s="33"/>
      <c r="N33" s="127"/>
      <c r="O33" s="13">
        <v>720</v>
      </c>
      <c r="P33" s="357"/>
      <c r="Q33" s="24">
        <f t="shared" si="18"/>
        <v>1440</v>
      </c>
      <c r="R33" s="5">
        <f t="shared" si="19"/>
        <v>1321.1009174311926</v>
      </c>
      <c r="S33" s="5">
        <f t="shared" si="21"/>
        <v>118.89908256880744</v>
      </c>
      <c r="T33" s="21">
        <f t="shared" si="20"/>
        <v>12</v>
      </c>
      <c r="U33" s="35"/>
      <c r="V33" s="61">
        <v>480</v>
      </c>
      <c r="W33" s="13">
        <f t="shared" si="24"/>
        <v>5760</v>
      </c>
      <c r="X33" s="2"/>
      <c r="Y33" s="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</row>
    <row r="34" spans="1:42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>
        <v>0</v>
      </c>
      <c r="G34" s="95"/>
      <c r="H34" s="95">
        <v>0</v>
      </c>
      <c r="I34" s="13"/>
      <c r="J34" s="33"/>
      <c r="K34" s="33"/>
      <c r="L34" s="33"/>
      <c r="M34" s="33"/>
      <c r="N34" s="127"/>
      <c r="O34" s="13">
        <v>1080</v>
      </c>
      <c r="P34" s="357"/>
      <c r="Q34" s="24">
        <f t="shared" si="18"/>
        <v>1080</v>
      </c>
      <c r="R34" s="5">
        <f t="shared" si="19"/>
        <v>990.82568807339442</v>
      </c>
      <c r="S34" s="5">
        <f t="shared" si="21"/>
        <v>89.174311926605583</v>
      </c>
      <c r="T34" s="21">
        <f t="shared" si="20"/>
        <v>2</v>
      </c>
      <c r="U34" s="35"/>
      <c r="V34" s="61"/>
      <c r="W34" s="13"/>
      <c r="X34" s="2"/>
      <c r="Y34" s="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</row>
    <row r="35" spans="1:42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>
        <v>0</v>
      </c>
      <c r="G35" s="95"/>
      <c r="H35" s="95">
        <v>0</v>
      </c>
      <c r="I35" s="13"/>
      <c r="J35" s="33"/>
      <c r="K35" s="33"/>
      <c r="L35" s="33"/>
      <c r="M35" s="33"/>
      <c r="N35" s="127"/>
      <c r="O35" s="13"/>
      <c r="P35" s="357"/>
      <c r="Q35" s="24">
        <f t="shared" si="18"/>
        <v>0</v>
      </c>
      <c r="R35" s="5">
        <f t="shared" si="19"/>
        <v>0</v>
      </c>
      <c r="S35" s="5">
        <f t="shared" si="21"/>
        <v>0</v>
      </c>
      <c r="T35" s="21">
        <f t="shared" si="20"/>
        <v>0</v>
      </c>
      <c r="U35" s="35"/>
      <c r="V35" s="61">
        <v>270</v>
      </c>
      <c r="W35" s="13">
        <f t="shared" si="24"/>
        <v>0</v>
      </c>
      <c r="X35" s="2"/>
      <c r="Y35" s="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</row>
    <row r="36" spans="1:42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>
        <v>0</v>
      </c>
      <c r="G36" s="95"/>
      <c r="H36" s="95">
        <v>0</v>
      </c>
      <c r="I36" s="13"/>
      <c r="J36" s="33"/>
      <c r="K36" s="33"/>
      <c r="L36" s="33"/>
      <c r="M36" s="33"/>
      <c r="N36" s="127"/>
      <c r="O36" s="13"/>
      <c r="P36" s="357"/>
      <c r="Q36" s="24">
        <f t="shared" si="18"/>
        <v>0</v>
      </c>
      <c r="R36" s="5">
        <f t="shared" si="19"/>
        <v>0</v>
      </c>
      <c r="S36" s="5">
        <f t="shared" si="21"/>
        <v>0</v>
      </c>
      <c r="T36" s="21">
        <f t="shared" si="20"/>
        <v>0</v>
      </c>
      <c r="U36" s="35"/>
      <c r="V36" s="61">
        <v>432</v>
      </c>
      <c r="W36" s="13">
        <f t="shared" si="24"/>
        <v>0</v>
      </c>
      <c r="X36" s="2"/>
      <c r="Y36" s="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</row>
    <row r="37" spans="1:42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>
        <v>0</v>
      </c>
      <c r="G37" s="95"/>
      <c r="H37" s="95">
        <v>0</v>
      </c>
      <c r="I37" s="13"/>
      <c r="J37" s="33"/>
      <c r="K37" s="33"/>
      <c r="L37" s="33"/>
      <c r="M37" s="33"/>
      <c r="N37" s="127"/>
      <c r="O37" s="13"/>
      <c r="P37" s="357"/>
      <c r="Q37" s="24">
        <f t="shared" si="18"/>
        <v>0</v>
      </c>
      <c r="R37" s="5">
        <f t="shared" si="19"/>
        <v>0</v>
      </c>
      <c r="S37" s="5">
        <f t="shared" si="21"/>
        <v>0</v>
      </c>
      <c r="T37" s="21">
        <f t="shared" si="20"/>
        <v>0</v>
      </c>
      <c r="U37" s="35"/>
      <c r="V37" s="61"/>
      <c r="W37" s="13"/>
      <c r="X37" s="2"/>
      <c r="Y37" s="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</row>
    <row r="38" spans="1:42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>
        <v>0</v>
      </c>
      <c r="G38" s="95"/>
      <c r="H38" s="95">
        <v>0</v>
      </c>
      <c r="I38" s="13"/>
      <c r="J38" s="33"/>
      <c r="K38" s="33"/>
      <c r="L38" s="33"/>
      <c r="M38" s="33"/>
      <c r="N38" s="127"/>
      <c r="O38" s="13"/>
      <c r="P38" s="357"/>
      <c r="Q38" s="24">
        <f t="shared" si="18"/>
        <v>0</v>
      </c>
      <c r="R38" s="5">
        <f t="shared" si="19"/>
        <v>0</v>
      </c>
      <c r="S38" s="5">
        <f t="shared" si="21"/>
        <v>0</v>
      </c>
      <c r="T38" s="21">
        <f t="shared" si="20"/>
        <v>0</v>
      </c>
      <c r="U38" s="35"/>
      <c r="V38" s="61">
        <v>450</v>
      </c>
      <c r="W38" s="13">
        <f t="shared" si="24"/>
        <v>0</v>
      </c>
      <c r="X38" s="2"/>
      <c r="Y38" s="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</row>
    <row r="39" spans="1:42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5">
        <v>900</v>
      </c>
      <c r="G39" s="95"/>
      <c r="H39" s="95">
        <v>180</v>
      </c>
      <c r="I39" s="13"/>
      <c r="J39" s="33"/>
      <c r="K39" s="33"/>
      <c r="L39" s="33"/>
      <c r="M39" s="33"/>
      <c r="N39" s="127"/>
      <c r="O39" s="13">
        <v>360</v>
      </c>
      <c r="P39" s="357"/>
      <c r="Q39" s="24">
        <f t="shared" si="18"/>
        <v>1440</v>
      </c>
      <c r="R39" s="5">
        <f t="shared" si="19"/>
        <v>1321.1009174311926</v>
      </c>
      <c r="S39" s="5">
        <f t="shared" si="21"/>
        <v>118.89908256880744</v>
      </c>
      <c r="T39" s="21">
        <f t="shared" si="20"/>
        <v>8</v>
      </c>
      <c r="U39" s="35"/>
      <c r="V39" s="61">
        <v>720</v>
      </c>
      <c r="W39" s="13">
        <f t="shared" si="24"/>
        <v>5760</v>
      </c>
      <c r="X39" s="2"/>
      <c r="Y39" s="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</row>
    <row r="40" spans="1:42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>
        <v>0</v>
      </c>
      <c r="G40" s="95"/>
      <c r="H40" s="95">
        <v>0</v>
      </c>
      <c r="I40" s="13"/>
      <c r="J40" s="33"/>
      <c r="K40" s="33"/>
      <c r="L40" s="33"/>
      <c r="M40" s="33"/>
      <c r="N40" s="127"/>
      <c r="O40" s="13">
        <v>810</v>
      </c>
      <c r="P40" s="357"/>
      <c r="Q40" s="24">
        <f t="shared" si="18"/>
        <v>810</v>
      </c>
      <c r="R40" s="5">
        <f t="shared" si="19"/>
        <v>743.11926605504584</v>
      </c>
      <c r="S40" s="5">
        <f t="shared" si="21"/>
        <v>66.880733944954159</v>
      </c>
      <c r="T40" s="21">
        <f t="shared" si="20"/>
        <v>1</v>
      </c>
      <c r="U40" s="71"/>
      <c r="V40" s="61"/>
      <c r="W40" s="13"/>
      <c r="X40" s="2"/>
      <c r="Y40" s="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</row>
    <row r="41" spans="1:42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>
        <v>0</v>
      </c>
      <c r="G41" s="95"/>
      <c r="H41" s="95">
        <v>0</v>
      </c>
      <c r="I41" s="13"/>
      <c r="J41" s="33"/>
      <c r="K41" s="33"/>
      <c r="L41" s="33"/>
      <c r="M41" s="33"/>
      <c r="N41" s="127"/>
      <c r="O41" s="13"/>
      <c r="P41" s="357"/>
      <c r="Q41" s="24">
        <f t="shared" si="18"/>
        <v>0</v>
      </c>
      <c r="R41" s="5">
        <f t="shared" si="19"/>
        <v>0</v>
      </c>
      <c r="S41" s="5">
        <f t="shared" si="21"/>
        <v>0</v>
      </c>
      <c r="T41" s="21">
        <f t="shared" si="20"/>
        <v>0</v>
      </c>
      <c r="U41" s="71"/>
      <c r="V41" s="61">
        <v>405</v>
      </c>
      <c r="W41" s="13">
        <f t="shared" si="24"/>
        <v>0</v>
      </c>
      <c r="X41" s="2"/>
      <c r="Y41" s="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</row>
    <row r="42" spans="1:42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>
        <v>0</v>
      </c>
      <c r="G42" s="250"/>
      <c r="H42" s="250">
        <v>0</v>
      </c>
      <c r="I42" s="25"/>
      <c r="J42" s="239"/>
      <c r="K42" s="239"/>
      <c r="L42" s="239"/>
      <c r="M42" s="239"/>
      <c r="N42" s="221"/>
      <c r="O42" s="13"/>
      <c r="P42" s="358"/>
      <c r="Q42" s="24">
        <f t="shared" si="18"/>
        <v>0</v>
      </c>
      <c r="R42" s="26">
        <f t="shared" si="19"/>
        <v>0</v>
      </c>
      <c r="S42" s="26">
        <f t="shared" si="21"/>
        <v>0</v>
      </c>
      <c r="T42" s="39">
        <f t="shared" si="20"/>
        <v>0</v>
      </c>
      <c r="U42" s="71"/>
      <c r="V42" s="61">
        <v>648</v>
      </c>
      <c r="W42" s="13">
        <f t="shared" si="24"/>
        <v>0</v>
      </c>
      <c r="X42" s="2"/>
      <c r="Y42" s="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</row>
    <row r="43" spans="1:42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50</v>
      </c>
      <c r="F43" s="124">
        <v>2790</v>
      </c>
      <c r="G43" s="124">
        <v>580</v>
      </c>
      <c r="H43" s="124">
        <v>720</v>
      </c>
      <c r="I43" s="124"/>
      <c r="J43" s="124"/>
      <c r="K43" s="124"/>
      <c r="L43" s="124"/>
      <c r="M43" s="124">
        <v>60</v>
      </c>
      <c r="N43" s="124"/>
      <c r="O43" s="148"/>
      <c r="P43" s="352"/>
      <c r="Q43" s="24">
        <f t="shared" si="18"/>
        <v>4200</v>
      </c>
      <c r="R43" s="26">
        <f t="shared" si="19"/>
        <v>3853.2110091743116</v>
      </c>
      <c r="S43" s="26">
        <f t="shared" si="21"/>
        <v>346.78899082568842</v>
      </c>
      <c r="T43" s="39">
        <f t="shared" si="20"/>
        <v>420</v>
      </c>
      <c r="U43" s="71"/>
      <c r="V43" s="61"/>
      <c r="W43" s="13"/>
      <c r="X43" s="2"/>
      <c r="Y43" s="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</row>
    <row r="44" spans="1:42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4997.2</v>
      </c>
      <c r="F44" s="82">
        <f>+SUM(F45:F53)</f>
        <v>202440.2</v>
      </c>
      <c r="G44" s="82">
        <f t="shared" ref="G44:T44" si="25">+SUM(G45:G53)</f>
        <v>30213.8</v>
      </c>
      <c r="H44" s="82">
        <f>+SUM(H45:H53)</f>
        <v>6318.5</v>
      </c>
      <c r="I44" s="82">
        <f t="shared" si="25"/>
        <v>0</v>
      </c>
      <c r="J44" s="82">
        <f t="shared" si="25"/>
        <v>0</v>
      </c>
      <c r="K44" s="100">
        <f t="shared" si="25"/>
        <v>0</v>
      </c>
      <c r="L44" s="100">
        <f t="shared" si="25"/>
        <v>0</v>
      </c>
      <c r="M44" s="100">
        <f t="shared" si="25"/>
        <v>1787.6</v>
      </c>
      <c r="N44" s="100">
        <f t="shared" si="25"/>
        <v>1393.5</v>
      </c>
      <c r="O44" s="100">
        <f t="shared" si="25"/>
        <v>19328.699999999997</v>
      </c>
      <c r="P44" s="100">
        <f t="shared" si="25"/>
        <v>0</v>
      </c>
      <c r="Q44" s="42">
        <f>+SUM(Q45:Q53)</f>
        <v>266479.5</v>
      </c>
      <c r="R44" s="82">
        <f t="shared" si="25"/>
        <v>244476.60550458715</v>
      </c>
      <c r="S44" s="82">
        <f t="shared" si="25"/>
        <v>22002.894495412867</v>
      </c>
      <c r="T44" s="388">
        <f t="shared" si="25"/>
        <v>37183</v>
      </c>
      <c r="U44" s="71"/>
      <c r="V44" s="61"/>
      <c r="W44" s="105">
        <f>+SUM(W45:W68)</f>
        <v>361432.49999999994</v>
      </c>
      <c r="X44" s="2"/>
      <c r="Y44" s="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</row>
    <row r="45" spans="1:42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756</v>
      </c>
      <c r="F45" s="23">
        <v>21180</v>
      </c>
      <c r="G45" s="28">
        <v>3324</v>
      </c>
      <c r="H45" s="347">
        <v>540</v>
      </c>
      <c r="I45" s="83"/>
      <c r="J45" s="75"/>
      <c r="K45" s="75"/>
      <c r="L45" s="75"/>
      <c r="M45" s="75">
        <v>228</v>
      </c>
      <c r="N45" s="127">
        <v>312</v>
      </c>
      <c r="O45" s="308">
        <v>1788</v>
      </c>
      <c r="P45" s="356"/>
      <c r="Q45" s="24">
        <f t="shared" ref="Q45:Q55" si="26">+SUM(E45:P45)</f>
        <v>28128</v>
      </c>
      <c r="R45" s="99">
        <f t="shared" ref="R45:R53" si="27">+Q45/1.09</f>
        <v>25805.50458715596</v>
      </c>
      <c r="S45" s="64">
        <f t="shared" ref="S45:T55" si="28">+Q45-R45</f>
        <v>2322.4954128440404</v>
      </c>
      <c r="T45" s="389">
        <f t="shared" ref="T45:T54" si="29">Q45/D45</f>
        <v>2344</v>
      </c>
      <c r="U45" s="71"/>
      <c r="V45" s="61"/>
      <c r="W45" s="13"/>
      <c r="X45" s="2"/>
      <c r="Y45" s="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</row>
    <row r="46" spans="1:42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156</v>
      </c>
      <c r="F46" s="13">
        <v>2160</v>
      </c>
      <c r="G46" s="17">
        <v>348</v>
      </c>
      <c r="H46" s="347">
        <v>24</v>
      </c>
      <c r="I46" s="13"/>
      <c r="J46" s="33"/>
      <c r="K46" s="33"/>
      <c r="L46" s="33"/>
      <c r="M46" s="33">
        <v>24</v>
      </c>
      <c r="N46" s="127">
        <v>24</v>
      </c>
      <c r="O46" s="13">
        <v>270</v>
      </c>
      <c r="P46" s="357"/>
      <c r="Q46" s="24">
        <f t="shared" si="26"/>
        <v>3006</v>
      </c>
      <c r="R46" s="5">
        <f t="shared" si="27"/>
        <v>2757.7981651376144</v>
      </c>
      <c r="S46" s="5">
        <f t="shared" si="28"/>
        <v>248.20183486238557</v>
      </c>
      <c r="T46" s="390">
        <f t="shared" si="29"/>
        <v>501</v>
      </c>
      <c r="U46" s="71"/>
      <c r="V46" s="61">
        <v>6</v>
      </c>
      <c r="W46" s="13">
        <f t="shared" ref="W46:W47" si="30">+T46*V46</f>
        <v>3006</v>
      </c>
      <c r="X46" s="2"/>
      <c r="Y46" s="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</row>
    <row r="47" spans="1:42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1068</v>
      </c>
      <c r="F47" s="13">
        <v>45734.400000000001</v>
      </c>
      <c r="G47" s="17">
        <v>8452.7999999999993</v>
      </c>
      <c r="H47" s="347">
        <v>403.2</v>
      </c>
      <c r="I47" s="13"/>
      <c r="J47" s="33"/>
      <c r="K47" s="33"/>
      <c r="L47" s="33"/>
      <c r="M47" s="33">
        <v>384</v>
      </c>
      <c r="N47" s="127">
        <v>369.6</v>
      </c>
      <c r="O47" s="13">
        <v>2613.6</v>
      </c>
      <c r="P47" s="357"/>
      <c r="Q47" s="24">
        <f t="shared" si="26"/>
        <v>59025.599999999991</v>
      </c>
      <c r="R47" s="5">
        <f t="shared" si="27"/>
        <v>54151.926605504574</v>
      </c>
      <c r="S47" s="5">
        <f t="shared" si="28"/>
        <v>4873.6733944954176</v>
      </c>
      <c r="T47" s="390">
        <f t="shared" si="29"/>
        <v>24593.999999999996</v>
      </c>
      <c r="U47" s="71"/>
      <c r="V47" s="61">
        <v>9.6</v>
      </c>
      <c r="W47" s="13">
        <f t="shared" si="30"/>
        <v>236102.39999999997</v>
      </c>
      <c r="X47" s="2"/>
      <c r="Y47" s="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</row>
    <row r="48" spans="1:42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399</v>
      </c>
      <c r="F48" s="13">
        <v>23562</v>
      </c>
      <c r="G48" s="17">
        <v>2478</v>
      </c>
      <c r="H48" s="13">
        <v>924</v>
      </c>
      <c r="I48" s="13"/>
      <c r="J48" s="33"/>
      <c r="K48" s="33"/>
      <c r="L48" s="33"/>
      <c r="M48" s="33">
        <v>147</v>
      </c>
      <c r="N48" s="127">
        <v>63</v>
      </c>
      <c r="O48" s="13">
        <v>3192</v>
      </c>
      <c r="P48" s="357"/>
      <c r="Q48" s="24">
        <f t="shared" si="26"/>
        <v>30765</v>
      </c>
      <c r="R48" s="5">
        <f t="shared" si="27"/>
        <v>28224.770642201835</v>
      </c>
      <c r="S48" s="5">
        <f t="shared" si="28"/>
        <v>2540.2293577981654</v>
      </c>
      <c r="T48" s="390">
        <f t="shared" si="29"/>
        <v>1465</v>
      </c>
      <c r="U48" s="71"/>
      <c r="V48" s="61"/>
      <c r="W48" s="13"/>
      <c r="X48" s="2"/>
      <c r="Y48" s="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</row>
    <row r="49" spans="1:42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84</v>
      </c>
      <c r="F49" s="13">
        <v>2257.5</v>
      </c>
      <c r="G49" s="17">
        <v>367.5</v>
      </c>
      <c r="H49" s="13">
        <v>52.5</v>
      </c>
      <c r="I49" s="13"/>
      <c r="J49" s="33"/>
      <c r="K49" s="33"/>
      <c r="L49" s="33"/>
      <c r="M49" s="33">
        <v>31.5</v>
      </c>
      <c r="N49" s="127">
        <v>10.5</v>
      </c>
      <c r="O49" s="13">
        <v>189</v>
      </c>
      <c r="P49" s="357"/>
      <c r="Q49" s="24">
        <f t="shared" si="26"/>
        <v>2992.5</v>
      </c>
      <c r="R49" s="5">
        <f t="shared" si="27"/>
        <v>2745.4128440366972</v>
      </c>
      <c r="S49" s="5">
        <f t="shared" si="28"/>
        <v>247.08715596330285</v>
      </c>
      <c r="T49" s="391">
        <f t="shared" si="29"/>
        <v>285</v>
      </c>
      <c r="U49" s="71"/>
      <c r="V49" s="61">
        <v>10.5</v>
      </c>
      <c r="W49" s="13">
        <f t="shared" ref="W49:W50" si="31">+T49*V49</f>
        <v>2992.5</v>
      </c>
      <c r="X49" s="2"/>
      <c r="Y49" s="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</row>
    <row r="50" spans="1:42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189</v>
      </c>
      <c r="F50" s="13">
        <v>10470.6</v>
      </c>
      <c r="G50" s="17">
        <v>1192.8</v>
      </c>
      <c r="H50" s="13">
        <v>176.40000000000003</v>
      </c>
      <c r="I50" s="13"/>
      <c r="J50" s="33"/>
      <c r="K50" s="33"/>
      <c r="L50" s="33"/>
      <c r="M50" s="33">
        <v>58.8</v>
      </c>
      <c r="N50" s="127">
        <v>147</v>
      </c>
      <c r="O50" s="13">
        <v>1596</v>
      </c>
      <c r="P50" s="357"/>
      <c r="Q50" s="24">
        <f t="shared" si="26"/>
        <v>13830.599999999999</v>
      </c>
      <c r="R50" s="5">
        <f t="shared" si="27"/>
        <v>12688.623853211007</v>
      </c>
      <c r="S50" s="5">
        <f t="shared" si="28"/>
        <v>1141.9761467889912</v>
      </c>
      <c r="T50" s="391">
        <f t="shared" si="29"/>
        <v>3292.9999999999995</v>
      </c>
      <c r="U50" s="71"/>
      <c r="V50" s="61">
        <v>16.8</v>
      </c>
      <c r="W50" s="13">
        <f t="shared" si="31"/>
        <v>55322.399999999994</v>
      </c>
      <c r="X50" s="2"/>
      <c r="Y50" s="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</row>
    <row r="51" spans="1:42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1927</v>
      </c>
      <c r="F51" s="13">
        <v>80237</v>
      </c>
      <c r="G51" s="17">
        <v>11439</v>
      </c>
      <c r="H51" s="13">
        <v>3362</v>
      </c>
      <c r="I51" s="13"/>
      <c r="J51" s="33"/>
      <c r="K51" s="33"/>
      <c r="L51" s="33"/>
      <c r="M51" s="33">
        <v>697</v>
      </c>
      <c r="N51" s="127">
        <v>410</v>
      </c>
      <c r="O51" s="13">
        <v>7093</v>
      </c>
      <c r="P51" s="357"/>
      <c r="Q51" s="24">
        <f t="shared" si="26"/>
        <v>105165</v>
      </c>
      <c r="R51" s="5">
        <f t="shared" si="27"/>
        <v>96481.65137614678</v>
      </c>
      <c r="S51" s="5">
        <f t="shared" si="28"/>
        <v>8683.3486238532205</v>
      </c>
      <c r="T51" s="391">
        <f t="shared" si="29"/>
        <v>2565</v>
      </c>
      <c r="U51" s="71"/>
      <c r="V51" s="61"/>
      <c r="W51" s="13"/>
      <c r="X51" s="2"/>
      <c r="Y51" s="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</row>
    <row r="52" spans="1:42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164</v>
      </c>
      <c r="F52" s="13">
        <v>7810.5</v>
      </c>
      <c r="G52" s="17">
        <v>1209.5</v>
      </c>
      <c r="H52" s="13">
        <v>328</v>
      </c>
      <c r="I52" s="13"/>
      <c r="J52" s="33"/>
      <c r="K52" s="33"/>
      <c r="L52" s="33"/>
      <c r="M52" s="33">
        <v>61.5</v>
      </c>
      <c r="N52" s="127"/>
      <c r="O52" s="13">
        <v>512.5</v>
      </c>
      <c r="P52" s="357"/>
      <c r="Q52" s="24">
        <f t="shared" si="26"/>
        <v>10086</v>
      </c>
      <c r="R52" s="5">
        <f t="shared" si="27"/>
        <v>9253.2110091743107</v>
      </c>
      <c r="S52" s="5">
        <f t="shared" si="28"/>
        <v>832.78899082568932</v>
      </c>
      <c r="T52" s="391">
        <f t="shared" si="29"/>
        <v>492</v>
      </c>
      <c r="U52" s="71"/>
      <c r="V52" s="61">
        <v>20.5</v>
      </c>
      <c r="W52" s="13">
        <f t="shared" ref="W52:W53" si="32">+T52*V52</f>
        <v>10086</v>
      </c>
      <c r="X52" s="2"/>
      <c r="Y52" s="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</row>
    <row r="53" spans="1:42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254.2</v>
      </c>
      <c r="F53" s="14">
        <v>9028.2000000000007</v>
      </c>
      <c r="G53" s="51">
        <v>1402.2000000000003</v>
      </c>
      <c r="H53" s="14">
        <v>508.4</v>
      </c>
      <c r="I53" s="14"/>
      <c r="J53" s="76"/>
      <c r="K53" s="76"/>
      <c r="L53" s="76"/>
      <c r="M53" s="76">
        <v>155.80000000000001</v>
      </c>
      <c r="N53" s="148">
        <v>57.4</v>
      </c>
      <c r="O53" s="14">
        <v>2074.6</v>
      </c>
      <c r="P53" s="224"/>
      <c r="Q53" s="359">
        <f t="shared" si="26"/>
        <v>13480.800000000001</v>
      </c>
      <c r="R53" s="6">
        <f t="shared" si="27"/>
        <v>12367.706422018349</v>
      </c>
      <c r="S53" s="6">
        <f t="shared" si="28"/>
        <v>1113.0935779816518</v>
      </c>
      <c r="T53" s="392">
        <f t="shared" si="29"/>
        <v>1644.0000000000002</v>
      </c>
      <c r="U53" s="35"/>
      <c r="V53" s="61">
        <v>32.799999999999997</v>
      </c>
      <c r="W53" s="13">
        <f t="shared" si="32"/>
        <v>53923.200000000004</v>
      </c>
      <c r="X53" s="2"/>
      <c r="Y53" s="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</row>
    <row r="54" spans="1:42" x14ac:dyDescent="0.25">
      <c r="C54" s="1" t="s">
        <v>150</v>
      </c>
      <c r="D54" s="4">
        <v>4</v>
      </c>
      <c r="E54" s="386"/>
      <c r="F54" s="112">
        <v>42308</v>
      </c>
      <c r="G54" s="112">
        <v>5960</v>
      </c>
      <c r="H54" s="112">
        <v>2268</v>
      </c>
      <c r="I54" s="112"/>
      <c r="J54" s="112"/>
      <c r="K54" s="112"/>
      <c r="L54" s="112"/>
      <c r="M54" s="1">
        <v>1000</v>
      </c>
      <c r="O54" s="141"/>
      <c r="Q54" s="230">
        <f t="shared" si="26"/>
        <v>51536</v>
      </c>
      <c r="R54" s="6">
        <f>+Q54/1.21</f>
        <v>42591.735537190085</v>
      </c>
      <c r="S54" s="6">
        <f t="shared" si="28"/>
        <v>8944.2644628099151</v>
      </c>
      <c r="T54" s="22">
        <f t="shared" si="29"/>
        <v>12884</v>
      </c>
    </row>
    <row r="55" spans="1:42" x14ac:dyDescent="0.25">
      <c r="C55" s="1" t="s">
        <v>143</v>
      </c>
      <c r="E55" s="2">
        <v>28507.9</v>
      </c>
      <c r="F55" s="2">
        <v>804278.29</v>
      </c>
      <c r="G55" s="2">
        <v>123614</v>
      </c>
      <c r="H55" s="2">
        <v>16440.96</v>
      </c>
      <c r="I55" s="2"/>
      <c r="J55" s="2"/>
      <c r="K55" s="2"/>
      <c r="L55" s="2"/>
      <c r="M55" s="2">
        <v>10546.59</v>
      </c>
      <c r="N55" s="2"/>
      <c r="Q55" s="6">
        <f t="shared" si="26"/>
        <v>983387.74</v>
      </c>
      <c r="R55" s="6">
        <f>+Q55</f>
        <v>983387.74</v>
      </c>
      <c r="S55" s="6">
        <f t="shared" si="28"/>
        <v>0</v>
      </c>
      <c r="T55" s="6">
        <f t="shared" si="28"/>
        <v>983387.74</v>
      </c>
    </row>
    <row r="56" spans="1:42" x14ac:dyDescent="0.25">
      <c r="H56" s="1">
        <v>-10</v>
      </c>
    </row>
    <row r="57" spans="1:42" x14ac:dyDescent="0.25">
      <c r="D57" s="4" t="s">
        <v>151</v>
      </c>
      <c r="E57" s="136">
        <f>+E5+E54+E55</f>
        <v>177353.44</v>
      </c>
      <c r="F57" s="136">
        <f t="shared" ref="F57:P57" si="33">+F5+F54+F55</f>
        <v>6420716.5300000003</v>
      </c>
      <c r="G57" s="136">
        <f t="shared" si="33"/>
        <v>964160.44000000006</v>
      </c>
      <c r="H57" s="136">
        <f t="shared" si="33"/>
        <v>141289.41999999998</v>
      </c>
      <c r="I57" s="136">
        <f t="shared" si="33"/>
        <v>756764.05</v>
      </c>
      <c r="J57" s="136">
        <f t="shared" si="33"/>
        <v>997215.1</v>
      </c>
      <c r="K57" s="136">
        <f t="shared" si="33"/>
        <v>867067.74</v>
      </c>
      <c r="L57" s="136">
        <f t="shared" si="33"/>
        <v>904.6800000000319</v>
      </c>
      <c r="M57" s="136">
        <f t="shared" si="33"/>
        <v>77989.23000000001</v>
      </c>
      <c r="N57" s="136">
        <f t="shared" si="33"/>
        <v>46632.18</v>
      </c>
      <c r="O57" s="136">
        <f t="shared" si="33"/>
        <v>534609.96</v>
      </c>
      <c r="P57" s="136">
        <f t="shared" si="33"/>
        <v>0</v>
      </c>
      <c r="Q57" s="103">
        <f>+SUM(E57:O57)</f>
        <v>10984702.77</v>
      </c>
      <c r="S57" s="150"/>
    </row>
    <row r="59" spans="1:42" x14ac:dyDescent="0.25">
      <c r="E59" s="125"/>
      <c r="F59" s="112"/>
      <c r="G59" s="2"/>
      <c r="H59" s="112"/>
      <c r="Q59" s="112"/>
    </row>
    <row r="60" spans="1:42" x14ac:dyDescent="0.25">
      <c r="E60" s="125"/>
    </row>
    <row r="61" spans="1:42" x14ac:dyDescent="0.25">
      <c r="G61" s="2"/>
      <c r="M61" s="2"/>
      <c r="N61" s="2"/>
    </row>
    <row r="73" spans="2:2" x14ac:dyDescent="0.25">
      <c r="B73" s="1"/>
    </row>
  </sheetData>
  <mergeCells count="19">
    <mergeCell ref="W3:W4"/>
    <mergeCell ref="Q3:Q4"/>
    <mergeCell ref="R3:R4"/>
    <mergeCell ref="S3:S4"/>
    <mergeCell ref="T3:T4"/>
    <mergeCell ref="N3:N4"/>
    <mergeCell ref="O3:P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X14"/>
  <sheetViews>
    <sheetView workbookViewId="0">
      <pane xSplit="2" ySplit="3" topLeftCell="Q4" activePane="bottomRight" state="frozen"/>
      <selection activeCell="M53" sqref="M53"/>
      <selection pane="topRight" activeCell="M53" sqref="M53"/>
      <selection pane="bottomLeft" activeCell="M53" sqref="M53"/>
      <selection pane="bottomRight" activeCell="W10" sqref="W10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3" width="12.33203125" customWidth="1"/>
    <col min="24" max="24" width="12.33203125" bestFit="1" customWidth="1"/>
  </cols>
  <sheetData>
    <row r="1" spans="1:24" x14ac:dyDescent="0.3">
      <c r="A1" t="s">
        <v>392</v>
      </c>
    </row>
    <row r="2" spans="1:24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  <c r="U2" s="562" t="s">
        <v>359</v>
      </c>
      <c r="V2" s="562"/>
      <c r="W2" s="562"/>
    </row>
    <row r="3" spans="1:24" ht="40.200000000000003" customHeight="1" x14ac:dyDescent="0.3">
      <c r="A3" s="344" t="s">
        <v>46</v>
      </c>
      <c r="B3" s="365" t="s">
        <v>208</v>
      </c>
      <c r="C3" s="365" t="s">
        <v>389</v>
      </c>
      <c r="D3" s="365" t="s">
        <v>425</v>
      </c>
      <c r="E3" s="365" t="s">
        <v>206</v>
      </c>
      <c r="F3" s="365" t="s">
        <v>389</v>
      </c>
      <c r="G3" s="365" t="s">
        <v>425</v>
      </c>
      <c r="H3" s="365" t="s">
        <v>206</v>
      </c>
      <c r="I3" s="365" t="s">
        <v>389</v>
      </c>
      <c r="J3" s="365" t="s">
        <v>425</v>
      </c>
      <c r="K3" s="365" t="s">
        <v>206</v>
      </c>
      <c r="L3" s="365" t="s">
        <v>389</v>
      </c>
      <c r="M3" s="365" t="s">
        <v>425</v>
      </c>
      <c r="N3" s="369" t="s">
        <v>206</v>
      </c>
      <c r="O3" s="365" t="s">
        <v>389</v>
      </c>
      <c r="P3" s="365" t="s">
        <v>389</v>
      </c>
      <c r="Q3" s="369" t="s">
        <v>206</v>
      </c>
      <c r="R3" s="365" t="s">
        <v>389</v>
      </c>
      <c r="S3" s="365" t="s">
        <v>425</v>
      </c>
      <c r="T3" s="369" t="s">
        <v>206</v>
      </c>
      <c r="U3" s="365" t="s">
        <v>426</v>
      </c>
      <c r="V3" s="365" t="s">
        <v>425</v>
      </c>
      <c r="W3" s="369" t="s">
        <v>206</v>
      </c>
      <c r="X3" s="365" t="s">
        <v>351</v>
      </c>
    </row>
    <row r="4" spans="1:24" x14ac:dyDescent="0.3">
      <c r="A4" s="263" t="s">
        <v>54</v>
      </c>
      <c r="B4" s="91">
        <v>2.2000000000000002</v>
      </c>
      <c r="C4" s="91">
        <v>757737.2</v>
      </c>
      <c r="D4" s="91">
        <v>757741.6</v>
      </c>
      <c r="E4" s="91">
        <f>+D4-C4</f>
        <v>4.4000000000232831</v>
      </c>
      <c r="F4" s="91">
        <v>698522</v>
      </c>
      <c r="G4" s="91">
        <v>698528.6</v>
      </c>
      <c r="H4" s="91">
        <f>+G4-F4</f>
        <v>6.5999999999767169</v>
      </c>
      <c r="I4" s="91">
        <v>769874.6</v>
      </c>
      <c r="J4" s="91">
        <v>769874.6</v>
      </c>
      <c r="K4" s="91">
        <f>+J4-I4</f>
        <v>0</v>
      </c>
      <c r="L4" s="91">
        <v>777779.19999999995</v>
      </c>
      <c r="M4" s="91">
        <v>777779.19999999995</v>
      </c>
      <c r="N4" s="265">
        <f>+M4-L4</f>
        <v>0</v>
      </c>
      <c r="O4" s="91">
        <v>774822.40000000002</v>
      </c>
      <c r="P4" s="91">
        <v>774846.6</v>
      </c>
      <c r="Q4" s="265">
        <f>+P4-O4</f>
        <v>24.199999999953434</v>
      </c>
      <c r="R4" s="91">
        <v>720669.4</v>
      </c>
      <c r="S4" s="91">
        <v>721809</v>
      </c>
      <c r="T4" s="265">
        <f>+S4-R4</f>
        <v>1139.5999999999767</v>
      </c>
      <c r="U4" s="91">
        <v>665018.19999999995</v>
      </c>
      <c r="V4" s="91">
        <v>736304.8</v>
      </c>
      <c r="W4" s="265">
        <f>+V4-U4</f>
        <v>71286.600000000093</v>
      </c>
      <c r="X4" s="262">
        <f>+E4+H4+K4+N4+Q4+T4+W4</f>
        <v>72461.400000000023</v>
      </c>
    </row>
    <row r="5" spans="1:24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82964.2</v>
      </c>
      <c r="K5" s="91">
        <f t="shared" ref="K5:K9" si="2">+J5-I5</f>
        <v>0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79328.7</v>
      </c>
      <c r="P5" s="91">
        <v>79332</v>
      </c>
      <c r="Q5" s="257">
        <f t="shared" ref="Q5:Q9" si="4">+P5-O5</f>
        <v>3.3000000000029104</v>
      </c>
      <c r="R5" s="91">
        <v>78285.899999999994</v>
      </c>
      <c r="S5" s="91">
        <v>78398.100000000006</v>
      </c>
      <c r="T5" s="257">
        <f t="shared" ref="T5:T9" si="5">+S5-R5</f>
        <v>112.20000000001164</v>
      </c>
      <c r="U5" s="91">
        <v>68990.899999999994</v>
      </c>
      <c r="V5" s="91">
        <v>75395.100000000006</v>
      </c>
      <c r="W5" s="257">
        <f t="shared" ref="W5:W9" si="6">+V5-U5</f>
        <v>6404.2000000000116</v>
      </c>
      <c r="X5" s="262">
        <f t="shared" ref="X5:X9" si="7">+E5+H5+K5+N5+Q5+T5+W5</f>
        <v>6519.7000000000262</v>
      </c>
    </row>
    <row r="6" spans="1:24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1437.48</v>
      </c>
      <c r="Q6" s="257">
        <f t="shared" si="4"/>
        <v>0</v>
      </c>
      <c r="R6" s="91">
        <v>1244.32</v>
      </c>
      <c r="S6" s="91">
        <v>1250.04</v>
      </c>
      <c r="T6" s="257">
        <f t="shared" si="5"/>
        <v>5.7200000000000273</v>
      </c>
      <c r="U6" s="91">
        <v>1178.32</v>
      </c>
      <c r="V6" s="91">
        <v>1297.1199999999999</v>
      </c>
      <c r="W6" s="257">
        <f t="shared" si="6"/>
        <v>118.79999999999995</v>
      </c>
      <c r="X6" s="262">
        <f t="shared" si="7"/>
        <v>124.51999999999998</v>
      </c>
    </row>
    <row r="7" spans="1:24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107462.39999999999</v>
      </c>
      <c r="G7" s="62">
        <v>107465.60000000001</v>
      </c>
      <c r="H7" s="91">
        <f t="shared" si="1"/>
        <v>3.2000000000116415</v>
      </c>
      <c r="I7" s="62">
        <v>116988.8</v>
      </c>
      <c r="J7" s="62">
        <v>116988.8</v>
      </c>
      <c r="K7" s="91">
        <f t="shared" si="2"/>
        <v>0</v>
      </c>
      <c r="L7" s="91">
        <v>124934.39999999999</v>
      </c>
      <c r="M7" s="91">
        <v>124934.39999999999</v>
      </c>
      <c r="N7" s="257">
        <f t="shared" si="3"/>
        <v>0</v>
      </c>
      <c r="O7" s="91">
        <v>126768</v>
      </c>
      <c r="P7" s="91">
        <v>126780.8</v>
      </c>
      <c r="Q7" s="257">
        <f t="shared" si="4"/>
        <v>12.80000000000291</v>
      </c>
      <c r="R7" s="91">
        <v>122976</v>
      </c>
      <c r="S7" s="91">
        <v>123222.39999999999</v>
      </c>
      <c r="T7" s="257">
        <f t="shared" si="5"/>
        <v>246.39999999999418</v>
      </c>
      <c r="U7" s="91">
        <v>115676.8</v>
      </c>
      <c r="V7" s="91">
        <v>128297.60000000001</v>
      </c>
      <c r="W7" s="257">
        <f t="shared" si="6"/>
        <v>12620.800000000003</v>
      </c>
      <c r="X7" s="262">
        <f t="shared" si="7"/>
        <v>12883.200000000012</v>
      </c>
    </row>
    <row r="8" spans="1:24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16814.400000000001</v>
      </c>
      <c r="P8" s="91">
        <v>16817.599999999999</v>
      </c>
      <c r="Q8" s="257">
        <f t="shared" si="4"/>
        <v>3.1999999999970896</v>
      </c>
      <c r="R8" s="91">
        <v>16616</v>
      </c>
      <c r="S8" s="91">
        <v>16654.400000000001</v>
      </c>
      <c r="T8" s="257">
        <f t="shared" si="5"/>
        <v>38.400000000001455</v>
      </c>
      <c r="U8" s="91">
        <v>15948.8</v>
      </c>
      <c r="V8" s="91">
        <v>17550.400000000001</v>
      </c>
      <c r="W8" s="257">
        <f t="shared" si="6"/>
        <v>1601.6000000000022</v>
      </c>
      <c r="X8" s="262">
        <f t="shared" si="7"/>
        <v>1643.2000000000007</v>
      </c>
    </row>
    <row r="9" spans="1:24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288.64</v>
      </c>
      <c r="S9" s="91">
        <v>290.56</v>
      </c>
      <c r="T9" s="259">
        <f t="shared" si="5"/>
        <v>1.9200000000000159</v>
      </c>
      <c r="U9" s="91">
        <v>254.72</v>
      </c>
      <c r="V9" s="91">
        <v>275.83999999999997</v>
      </c>
      <c r="W9" s="259">
        <f t="shared" si="6"/>
        <v>21.119999999999976</v>
      </c>
      <c r="X9" s="262">
        <f t="shared" si="7"/>
        <v>23.039999999999992</v>
      </c>
    </row>
    <row r="10" spans="1:24" x14ac:dyDescent="0.3">
      <c r="A10" s="260" t="s">
        <v>151</v>
      </c>
      <c r="B10" s="261"/>
      <c r="C10" s="364">
        <f>+SUM(C4:C9)</f>
        <v>964339.79999999981</v>
      </c>
      <c r="D10" s="364">
        <f t="shared" ref="D10:X10" si="8">+SUM(D4:D9)</f>
        <v>964344.19999999984</v>
      </c>
      <c r="E10" s="364">
        <f t="shared" si="8"/>
        <v>4.4000000000232831</v>
      </c>
      <c r="F10" s="364">
        <f t="shared" ref="F10" si="9">+SUM(F4:F9)</f>
        <v>891877.42000000016</v>
      </c>
      <c r="G10" s="364">
        <f t="shared" si="8"/>
        <v>891887.22000000009</v>
      </c>
      <c r="H10" s="364">
        <f t="shared" si="8"/>
        <v>9.7999999999883585</v>
      </c>
      <c r="I10" s="364">
        <f t="shared" ref="I10" si="10">+SUM(I4:I9)</f>
        <v>985948.75999999989</v>
      </c>
      <c r="J10" s="364">
        <f t="shared" si="8"/>
        <v>985948.75999999989</v>
      </c>
      <c r="K10" s="364">
        <f t="shared" si="8"/>
        <v>0</v>
      </c>
      <c r="L10" s="364">
        <f t="shared" ref="L10" si="11">+SUM(L4:L9)</f>
        <v>1003188.96</v>
      </c>
      <c r="M10" s="364">
        <f t="shared" si="8"/>
        <v>1003188.96</v>
      </c>
      <c r="N10" s="364">
        <f t="shared" si="8"/>
        <v>0</v>
      </c>
      <c r="O10" s="364">
        <f t="shared" si="8"/>
        <v>999501.22</v>
      </c>
      <c r="P10" s="364">
        <f t="shared" ref="P10:W10" si="12">+SUM(P4:P9)</f>
        <v>999544.72</v>
      </c>
      <c r="Q10" s="364">
        <f t="shared" si="12"/>
        <v>43.499999999956344</v>
      </c>
      <c r="R10" s="364">
        <f t="shared" si="12"/>
        <v>940080.26</v>
      </c>
      <c r="S10" s="364">
        <f t="shared" si="12"/>
        <v>941624.50000000012</v>
      </c>
      <c r="T10" s="364">
        <f t="shared" si="12"/>
        <v>1544.2399999999841</v>
      </c>
      <c r="U10" s="364">
        <f t="shared" si="12"/>
        <v>867067.74</v>
      </c>
      <c r="V10" s="364">
        <f t="shared" si="12"/>
        <v>959120.86</v>
      </c>
      <c r="W10" s="364">
        <f t="shared" si="12"/>
        <v>92053.120000000112</v>
      </c>
      <c r="X10" s="364">
        <f t="shared" si="8"/>
        <v>93655.060000000056</v>
      </c>
    </row>
    <row r="11" spans="1:24" x14ac:dyDescent="0.3">
      <c r="C11" s="102"/>
      <c r="F11" s="102"/>
      <c r="I11" s="102"/>
    </row>
    <row r="12" spans="1:24" x14ac:dyDescent="0.3">
      <c r="X12" s="366"/>
    </row>
    <row r="14" spans="1:24" x14ac:dyDescent="0.3">
      <c r="Q14" s="102"/>
      <c r="T14" s="102"/>
      <c r="U14" s="102"/>
      <c r="V14" s="102"/>
      <c r="W14" s="102"/>
    </row>
  </sheetData>
  <mergeCells count="7">
    <mergeCell ref="U2:W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Z74"/>
  <sheetViews>
    <sheetView zoomScaleNormal="100" workbookViewId="0">
      <pane xSplit="4" ySplit="5" topLeftCell="R6" activePane="bottomRight" state="frozen"/>
      <selection pane="topRight" activeCell="E1" sqref="E1"/>
      <selection pane="bottomLeft" activeCell="A6" sqref="A6"/>
      <selection pane="bottomRight" activeCell="W4" sqref="W4:W5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3" style="1" customWidth="1"/>
    <col min="16" max="16" width="13" style="1" hidden="1" customWidth="1" outlineLevel="1"/>
    <col min="17" max="17" width="12.33203125" style="1" bestFit="1" customWidth="1" collapsed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1093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6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6" s="141" customFormat="1" ht="19.2" customHeight="1" x14ac:dyDescent="0.3">
      <c r="A2" s="40" t="s">
        <v>427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"/>
      <c r="R2" s="1"/>
      <c r="S2" s="1"/>
      <c r="T2" s="1"/>
      <c r="U2" s="1"/>
      <c r="V2" s="1"/>
      <c r="W2" s="2"/>
      <c r="X2" s="1"/>
      <c r="Z2" s="1"/>
    </row>
    <row r="3" spans="1:26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3"/>
      <c r="S3" s="1"/>
      <c r="T3" s="3"/>
      <c r="U3" s="1"/>
      <c r="V3" s="1"/>
      <c r="W3" s="2"/>
      <c r="X3" s="1"/>
      <c r="Z3" s="1"/>
    </row>
    <row r="4" spans="1:26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74" t="s">
        <v>387</v>
      </c>
      <c r="O4" s="586" t="s">
        <v>178</v>
      </c>
      <c r="P4" s="598"/>
      <c r="Q4" s="590" t="s">
        <v>43</v>
      </c>
      <c r="R4" s="590" t="s">
        <v>44</v>
      </c>
      <c r="S4" s="590" t="s">
        <v>41</v>
      </c>
      <c r="T4" s="590" t="s">
        <v>149</v>
      </c>
      <c r="U4" s="1"/>
      <c r="V4" s="61"/>
      <c r="W4" s="584" t="s">
        <v>449</v>
      </c>
      <c r="X4" s="1"/>
      <c r="Z4" s="1"/>
    </row>
    <row r="5" spans="1:26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444</v>
      </c>
      <c r="M5" s="575"/>
      <c r="N5" s="575"/>
      <c r="O5" s="587"/>
      <c r="P5" s="600"/>
      <c r="Q5" s="591"/>
      <c r="R5" s="592"/>
      <c r="S5" s="592"/>
      <c r="T5" s="592"/>
      <c r="U5" s="1"/>
      <c r="V5" s="87"/>
      <c r="W5" s="585"/>
      <c r="X5" s="1"/>
      <c r="Z5" s="1"/>
    </row>
    <row r="6" spans="1:26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T6" si="0">+E7+E19+E45</f>
        <v>126771.21333333336</v>
      </c>
      <c r="F6" s="82">
        <f t="shared" si="0"/>
        <v>3799264.2404566105</v>
      </c>
      <c r="G6" s="82">
        <f t="shared" si="0"/>
        <v>547925.91374429211</v>
      </c>
      <c r="H6" s="82">
        <f t="shared" si="0"/>
        <v>77152.78913242009</v>
      </c>
      <c r="I6" s="82">
        <f t="shared" si="0"/>
        <v>579086.19999999995</v>
      </c>
      <c r="J6" s="187">
        <f t="shared" si="0"/>
        <v>1094563.3999999999</v>
      </c>
      <c r="K6" s="187">
        <f t="shared" si="0"/>
        <v>893800.78000000014</v>
      </c>
      <c r="L6" s="187">
        <f t="shared" si="0"/>
        <v>93655.060000000056</v>
      </c>
      <c r="M6" s="187">
        <f t="shared" si="0"/>
        <v>44065.66817351598</v>
      </c>
      <c r="N6" s="192">
        <f>+N7+N19+N45</f>
        <v>56968.803333333337</v>
      </c>
      <c r="O6" s="19">
        <f t="shared" si="0"/>
        <v>306394.89983818051</v>
      </c>
      <c r="P6" s="19">
        <f t="shared" si="0"/>
        <v>0</v>
      </c>
      <c r="Q6" s="42">
        <f t="shared" ref="Q6:Q11" si="1">+SUM(E6:P6)</f>
        <v>7619648.9680116866</v>
      </c>
      <c r="R6" s="42">
        <f t="shared" si="0"/>
        <v>6990503.6403776929</v>
      </c>
      <c r="S6" s="42">
        <f t="shared" si="0"/>
        <v>629145.32763399289</v>
      </c>
      <c r="T6" s="42">
        <f t="shared" si="0"/>
        <v>2280559.0089986464</v>
      </c>
      <c r="U6" s="71"/>
      <c r="V6" s="87"/>
      <c r="W6" s="135">
        <f>+W8+W19+W45</f>
        <v>3155400.3701494345</v>
      </c>
      <c r="X6" s="1"/>
      <c r="Z6" s="1"/>
    </row>
    <row r="7" spans="1:26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T7" si="2">+E8+E12</f>
        <v>49786.32</v>
      </c>
      <c r="F7" s="82">
        <f t="shared" si="2"/>
        <v>1542276.9999999998</v>
      </c>
      <c r="G7" s="82">
        <f t="shared" si="2"/>
        <v>220533.02</v>
      </c>
      <c r="H7" s="82">
        <f t="shared" si="2"/>
        <v>30287.22</v>
      </c>
      <c r="I7" s="82">
        <f t="shared" si="2"/>
        <v>579086.19999999995</v>
      </c>
      <c r="J7" s="187">
        <f t="shared" si="2"/>
        <v>1094563.3999999999</v>
      </c>
      <c r="K7" s="187">
        <f t="shared" si="2"/>
        <v>893800.78000000014</v>
      </c>
      <c r="L7" s="187">
        <f t="shared" si="2"/>
        <v>93655.060000000056</v>
      </c>
      <c r="M7" s="187">
        <f t="shared" si="2"/>
        <v>19545.46</v>
      </c>
      <c r="N7" s="192">
        <f>+N8+N12</f>
        <v>45341.340000000004</v>
      </c>
      <c r="O7" s="19">
        <f t="shared" si="2"/>
        <v>122784.92</v>
      </c>
      <c r="P7" s="19">
        <f t="shared" si="2"/>
        <v>0</v>
      </c>
      <c r="Q7" s="42">
        <f t="shared" si="1"/>
        <v>4691660.72</v>
      </c>
      <c r="R7" s="42">
        <f t="shared" si="2"/>
        <v>4304275.8899082569</v>
      </c>
      <c r="S7" s="42">
        <f t="shared" si="2"/>
        <v>387384.83009174326</v>
      </c>
      <c r="T7" s="44">
        <f t="shared" si="2"/>
        <v>2198076</v>
      </c>
      <c r="U7" s="1"/>
      <c r="V7" s="61"/>
      <c r="W7" s="13"/>
      <c r="X7" s="1"/>
      <c r="Z7" s="1"/>
    </row>
    <row r="8" spans="1:26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579086.19999999995</v>
      </c>
      <c r="J8" s="126">
        <f t="shared" si="3"/>
        <v>1094563.3999999999</v>
      </c>
      <c r="K8" s="79">
        <f t="shared" si="3"/>
        <v>0</v>
      </c>
      <c r="L8" s="79">
        <f t="shared" si="3"/>
        <v>0</v>
      </c>
      <c r="M8" s="79">
        <f t="shared" ref="M8:T8" si="4">+SUM(M9:M11)</f>
        <v>0</v>
      </c>
      <c r="N8" s="79">
        <f t="shared" si="4"/>
        <v>0</v>
      </c>
      <c r="O8" s="354">
        <f t="shared" si="4"/>
        <v>0</v>
      </c>
      <c r="P8" s="354">
        <f t="shared" si="4"/>
        <v>0</v>
      </c>
      <c r="Q8" s="43">
        <f t="shared" si="1"/>
        <v>1673649.5999999999</v>
      </c>
      <c r="R8" s="43">
        <f t="shared" si="4"/>
        <v>1535458.3486238532</v>
      </c>
      <c r="S8" s="43">
        <f t="shared" si="4"/>
        <v>138191.25137614686</v>
      </c>
      <c r="T8" s="45">
        <f t="shared" si="4"/>
        <v>606451</v>
      </c>
      <c r="U8" s="71"/>
      <c r="V8" s="134"/>
      <c r="W8" s="105">
        <f>+SUM(W9:W18)</f>
        <v>999807.78000000014</v>
      </c>
      <c r="Y8" s="138"/>
    </row>
    <row r="9" spans="1:26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426062</v>
      </c>
      <c r="J9" s="127">
        <v>811580</v>
      </c>
      <c r="K9" s="36"/>
      <c r="L9" s="36"/>
      <c r="M9" s="36"/>
      <c r="N9" s="127"/>
      <c r="O9" s="36"/>
      <c r="P9" s="355"/>
      <c r="Q9" s="24">
        <f t="shared" si="1"/>
        <v>1237642</v>
      </c>
      <c r="R9" s="5">
        <f t="shared" ref="R9:R11" si="5">+Q9/1.09</f>
        <v>1135451.3761467889</v>
      </c>
      <c r="S9" s="5">
        <f t="shared" ref="S9:S11" si="6">+Q9-R9</f>
        <v>102190.62385321106</v>
      </c>
      <c r="T9" s="21">
        <f>Q9/D9</f>
        <v>353612</v>
      </c>
      <c r="U9" s="71"/>
      <c r="V9" s="61"/>
      <c r="W9" s="13"/>
      <c r="X9" s="2"/>
      <c r="Z9" s="1"/>
    </row>
    <row r="10" spans="1:26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150899</v>
      </c>
      <c r="J10" s="127">
        <v>280801.5</v>
      </c>
      <c r="K10" s="143"/>
      <c r="L10" s="143"/>
      <c r="M10" s="143"/>
      <c r="N10" s="127"/>
      <c r="O10" s="143"/>
      <c r="P10" s="350"/>
      <c r="Q10" s="24">
        <f t="shared" si="1"/>
        <v>431700.5</v>
      </c>
      <c r="R10" s="5">
        <f t="shared" si="5"/>
        <v>396055.50458715594</v>
      </c>
      <c r="S10" s="5">
        <f t="shared" si="6"/>
        <v>35644.995412844059</v>
      </c>
      <c r="T10" s="21">
        <f>Q10/D10</f>
        <v>246686</v>
      </c>
      <c r="U10" s="71"/>
      <c r="V10" s="61">
        <v>1.75</v>
      </c>
      <c r="W10" s="13">
        <f>+T10*V10</f>
        <v>431700.5</v>
      </c>
      <c r="X10" s="1"/>
      <c r="Z10" s="1"/>
    </row>
    <row r="11" spans="1:26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2125.1999999999998</v>
      </c>
      <c r="J11" s="144">
        <v>2181.9</v>
      </c>
      <c r="K11" s="144"/>
      <c r="L11" s="144"/>
      <c r="M11" s="144"/>
      <c r="N11" s="144"/>
      <c r="O11" s="144"/>
      <c r="P11" s="350"/>
      <c r="Q11" s="24">
        <f t="shared" si="1"/>
        <v>4307.1000000000004</v>
      </c>
      <c r="R11" s="243">
        <f t="shared" si="5"/>
        <v>3951.4678899082569</v>
      </c>
      <c r="S11" s="243">
        <f t="shared" si="6"/>
        <v>355.63211009174347</v>
      </c>
      <c r="T11" s="244">
        <f>Q11/D11</f>
        <v>6153.0000000000009</v>
      </c>
      <c r="U11" s="71"/>
      <c r="V11" s="107">
        <v>2.8</v>
      </c>
      <c r="W11" s="13">
        <f>+T11*V11</f>
        <v>17228.400000000001</v>
      </c>
      <c r="X11" s="2"/>
      <c r="Y11" s="138"/>
      <c r="Z11" s="2"/>
    </row>
    <row r="12" spans="1:26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29">
        <f t="shared" ref="E12:T12" si="8">+SUM(E13:E18)</f>
        <v>49786.32</v>
      </c>
      <c r="F12" s="84">
        <f t="shared" si="8"/>
        <v>1542276.9999999998</v>
      </c>
      <c r="G12" s="84">
        <f t="shared" si="8"/>
        <v>220533.02</v>
      </c>
      <c r="H12" s="84">
        <f t="shared" si="8"/>
        <v>30287.22</v>
      </c>
      <c r="I12" s="84">
        <f t="shared" si="8"/>
        <v>0</v>
      </c>
      <c r="J12" s="74">
        <f t="shared" si="8"/>
        <v>0</v>
      </c>
      <c r="K12" s="101">
        <f t="shared" si="8"/>
        <v>893800.78000000014</v>
      </c>
      <c r="L12" s="101">
        <f t="shared" si="8"/>
        <v>93655.060000000056</v>
      </c>
      <c r="M12" s="101">
        <f t="shared" si="8"/>
        <v>19545.46</v>
      </c>
      <c r="N12" s="101">
        <f t="shared" ref="N12" si="9">+SUM(N13:N18)</f>
        <v>45341.340000000004</v>
      </c>
      <c r="O12" s="101">
        <f t="shared" si="8"/>
        <v>122784.92</v>
      </c>
      <c r="P12" s="101">
        <f t="shared" si="8"/>
        <v>0</v>
      </c>
      <c r="Q12" s="43">
        <f t="shared" ref="Q12" si="10">+SUM(Q13:Q18)</f>
        <v>3018011.1200000006</v>
      </c>
      <c r="R12" s="43">
        <f t="shared" si="8"/>
        <v>2768817.5412844038</v>
      </c>
      <c r="S12" s="43">
        <f t="shared" si="8"/>
        <v>249193.57871559638</v>
      </c>
      <c r="T12" s="45">
        <f t="shared" si="8"/>
        <v>1591625</v>
      </c>
      <c r="U12" s="71"/>
      <c r="V12" s="61"/>
      <c r="W12" s="13"/>
      <c r="X12" s="1"/>
      <c r="Z12" s="1"/>
    </row>
    <row r="13" spans="1:26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40508.6</v>
      </c>
      <c r="F13" s="13">
        <v>1177906.3999999999</v>
      </c>
      <c r="G13" s="13">
        <v>163209.20000000001</v>
      </c>
      <c r="H13" s="13">
        <v>23047.200000000001</v>
      </c>
      <c r="I13" s="13"/>
      <c r="J13" s="33"/>
      <c r="K13" s="33">
        <v>685066.8</v>
      </c>
      <c r="L13" s="305">
        <v>72461.400000000023</v>
      </c>
      <c r="M13" s="33">
        <v>13303.4</v>
      </c>
      <c r="N13" s="127">
        <v>38478</v>
      </c>
      <c r="O13" s="127">
        <v>108482</v>
      </c>
      <c r="P13" s="164"/>
      <c r="Q13" s="24">
        <f t="shared" ref="Q13:Q18" si="11">+SUM(E13:P13)</f>
        <v>2322463</v>
      </c>
      <c r="R13" s="5">
        <f t="shared" ref="R13:R18" si="12">+Q13/1.09</f>
        <v>2130700</v>
      </c>
      <c r="S13" s="5">
        <f t="shared" ref="S13:S18" si="13">+Q13-R13</f>
        <v>191763</v>
      </c>
      <c r="T13" s="21">
        <f t="shared" ref="T13:T18" si="14">Q13/D13</f>
        <v>1055665</v>
      </c>
      <c r="U13" s="2"/>
      <c r="V13" s="61"/>
      <c r="W13" s="13"/>
    </row>
    <row r="14" spans="1:26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8426</v>
      </c>
      <c r="F14" s="13">
        <v>338243.4</v>
      </c>
      <c r="G14" s="13">
        <v>52660.3</v>
      </c>
      <c r="H14" s="13">
        <v>6871.7000000000007</v>
      </c>
      <c r="I14" s="13"/>
      <c r="J14" s="33"/>
      <c r="K14" s="33">
        <v>72218.3</v>
      </c>
      <c r="L14" s="306">
        <v>6519.7000000000262</v>
      </c>
      <c r="M14" s="33">
        <v>5910.3</v>
      </c>
      <c r="N14" s="127">
        <v>1538.9000000000003</v>
      </c>
      <c r="O14" s="127">
        <v>7046.6</v>
      </c>
      <c r="P14" s="164"/>
      <c r="Q14" s="24">
        <f t="shared" si="11"/>
        <v>499435.2</v>
      </c>
      <c r="R14" s="5">
        <f t="shared" si="12"/>
        <v>458197.43119266053</v>
      </c>
      <c r="S14" s="5">
        <f t="shared" si="13"/>
        <v>41237.768807339482</v>
      </c>
      <c r="T14" s="21">
        <f t="shared" si="14"/>
        <v>454032</v>
      </c>
      <c r="U14" s="71"/>
      <c r="V14" s="107">
        <v>1.1000000000000001</v>
      </c>
      <c r="W14" s="13">
        <f t="shared" ref="W14:W15" si="15">+T14*V14</f>
        <v>499435.2</v>
      </c>
    </row>
    <row r="15" spans="1:26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112.2</v>
      </c>
      <c r="F15" s="13">
        <v>3908.96</v>
      </c>
      <c r="G15" s="13">
        <v>522.72</v>
      </c>
      <c r="H15" s="13">
        <v>56.319999999999993</v>
      </c>
      <c r="I15" s="13"/>
      <c r="J15" s="33"/>
      <c r="K15" s="33">
        <v>1233.76</v>
      </c>
      <c r="L15" s="306">
        <v>124.51999999999998</v>
      </c>
      <c r="M15" s="33">
        <v>67.760000000000005</v>
      </c>
      <c r="N15" s="127">
        <v>343.63999999999993</v>
      </c>
      <c r="O15" s="127">
        <v>59.84</v>
      </c>
      <c r="P15" s="164"/>
      <c r="Q15" s="24">
        <f t="shared" si="11"/>
        <v>6429.72</v>
      </c>
      <c r="R15" s="5">
        <f t="shared" si="12"/>
        <v>5898.8256880733943</v>
      </c>
      <c r="S15" s="5">
        <f t="shared" si="13"/>
        <v>530.89431192660595</v>
      </c>
      <c r="T15" s="21">
        <f t="shared" si="14"/>
        <v>14613</v>
      </c>
      <c r="U15" s="71"/>
      <c r="V15" s="61">
        <v>1.76</v>
      </c>
      <c r="W15" s="13">
        <f t="shared" si="15"/>
        <v>25718.880000000001</v>
      </c>
    </row>
    <row r="16" spans="1:26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572.79999999999995</v>
      </c>
      <c r="F16" s="13">
        <v>17920</v>
      </c>
      <c r="G16" s="13">
        <v>3318.4</v>
      </c>
      <c r="H16" s="13">
        <v>198.4</v>
      </c>
      <c r="I16" s="13"/>
      <c r="J16" s="33"/>
      <c r="K16" s="33">
        <v>118985.60000000001</v>
      </c>
      <c r="L16" s="306">
        <v>12883.200000000012</v>
      </c>
      <c r="M16" s="33">
        <v>198.4</v>
      </c>
      <c r="N16" s="127">
        <v>4576</v>
      </c>
      <c r="O16" s="127">
        <f>6694.4-16</f>
        <v>6678.4</v>
      </c>
      <c r="P16" s="164"/>
      <c r="Q16" s="24">
        <f t="shared" si="11"/>
        <v>165331.20000000001</v>
      </c>
      <c r="R16" s="5">
        <f t="shared" si="12"/>
        <v>151680</v>
      </c>
      <c r="S16" s="5">
        <f t="shared" si="13"/>
        <v>13651.200000000012</v>
      </c>
      <c r="T16" s="21">
        <f t="shared" si="14"/>
        <v>51666</v>
      </c>
      <c r="U16" s="71"/>
      <c r="V16" s="61"/>
      <c r="W16" s="13"/>
    </row>
    <row r="17" spans="1:26" ht="14.4" x14ac:dyDescent="0.3">
      <c r="A17" s="58" t="s">
        <v>59</v>
      </c>
      <c r="B17" s="53" t="s">
        <v>193</v>
      </c>
      <c r="C17" s="59" t="s">
        <v>94</v>
      </c>
      <c r="D17" s="62">
        <v>1.6</v>
      </c>
      <c r="E17" s="130">
        <v>158.4</v>
      </c>
      <c r="F17" s="13">
        <v>4230.3999999999996</v>
      </c>
      <c r="G17" s="13">
        <v>822.4</v>
      </c>
      <c r="H17" s="13">
        <v>113.60000000000001</v>
      </c>
      <c r="I17" s="13"/>
      <c r="J17" s="33"/>
      <c r="K17" s="33">
        <v>16028.8</v>
      </c>
      <c r="L17" s="306">
        <v>1643.2000000000007</v>
      </c>
      <c r="M17" s="33">
        <v>52.8</v>
      </c>
      <c r="N17" s="127">
        <v>328.00000000000006</v>
      </c>
      <c r="O17" s="127">
        <v>516.79999999999995</v>
      </c>
      <c r="P17" s="164"/>
      <c r="Q17" s="24">
        <f t="shared" si="11"/>
        <v>23894.399999999998</v>
      </c>
      <c r="R17" s="5">
        <f t="shared" si="12"/>
        <v>21921.467889908254</v>
      </c>
      <c r="S17" s="5">
        <f t="shared" si="13"/>
        <v>1972.9321100917441</v>
      </c>
      <c r="T17" s="21">
        <f t="shared" si="14"/>
        <v>14933.999999999998</v>
      </c>
      <c r="U17" s="71"/>
      <c r="V17" s="107">
        <v>1.6</v>
      </c>
      <c r="W17" s="13">
        <f t="shared" ref="W17:W18" si="16">+T17*V17</f>
        <v>23894.399999999998</v>
      </c>
    </row>
    <row r="18" spans="1:26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2">
        <v>8.32</v>
      </c>
      <c r="F18" s="14">
        <v>67.84</v>
      </c>
      <c r="G18" s="13"/>
      <c r="H18" s="14">
        <v>0</v>
      </c>
      <c r="I18" s="14"/>
      <c r="J18" s="76"/>
      <c r="K18" s="76">
        <v>267.52</v>
      </c>
      <c r="L18" s="307">
        <v>23.039999999999992</v>
      </c>
      <c r="M18" s="76">
        <v>12.8</v>
      </c>
      <c r="N18" s="127">
        <v>76.800000000000026</v>
      </c>
      <c r="O18" s="127">
        <v>1.28</v>
      </c>
      <c r="P18" s="164"/>
      <c r="Q18" s="24">
        <f t="shared" si="11"/>
        <v>457.59999999999991</v>
      </c>
      <c r="R18" s="5">
        <f t="shared" si="12"/>
        <v>419.81651376146777</v>
      </c>
      <c r="S18" s="5">
        <f t="shared" si="13"/>
        <v>37.783486238532134</v>
      </c>
      <c r="T18" s="22">
        <f t="shared" si="14"/>
        <v>714.99999999999989</v>
      </c>
      <c r="U18" s="71"/>
      <c r="V18" s="61">
        <v>2.56</v>
      </c>
      <c r="W18" s="13">
        <f t="shared" si="16"/>
        <v>1830.3999999999996</v>
      </c>
    </row>
    <row r="19" spans="1:26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70970.183333333349</v>
      </c>
      <c r="F19" s="118">
        <f t="shared" ref="F19:T19" si="17">+SUM(F20:F44)</f>
        <v>2084456.0704566108</v>
      </c>
      <c r="G19" s="118">
        <f t="shared" si="17"/>
        <v>300935.52374429215</v>
      </c>
      <c r="H19" s="118">
        <f t="shared" si="17"/>
        <v>43203.509132420098</v>
      </c>
      <c r="I19" s="118">
        <f t="shared" si="17"/>
        <v>0</v>
      </c>
      <c r="J19" s="118">
        <f t="shared" si="17"/>
        <v>0</v>
      </c>
      <c r="K19" s="118">
        <f t="shared" si="17"/>
        <v>0</v>
      </c>
      <c r="L19" s="118">
        <f t="shared" si="17"/>
        <v>0</v>
      </c>
      <c r="M19" s="118">
        <f t="shared" si="17"/>
        <v>22579.628173515983</v>
      </c>
      <c r="N19" s="231">
        <f t="shared" ref="N19" si="18">+SUM(N20:N44)</f>
        <v>8974.3333333333358</v>
      </c>
      <c r="O19" s="118">
        <f t="shared" si="17"/>
        <v>169765.16983818053</v>
      </c>
      <c r="P19" s="118">
        <f t="shared" si="17"/>
        <v>0</v>
      </c>
      <c r="Q19" s="42">
        <f>+SUM(Q20:Q44)</f>
        <v>2700884.4180116868</v>
      </c>
      <c r="R19" s="118">
        <f t="shared" si="17"/>
        <v>2477875.6128547578</v>
      </c>
      <c r="S19" s="118">
        <f t="shared" si="17"/>
        <v>223008.80515692855</v>
      </c>
      <c r="T19" s="253">
        <f t="shared" si="17"/>
        <v>45146.042331979515</v>
      </c>
      <c r="U19" s="71"/>
      <c r="V19" s="61"/>
      <c r="W19" s="105">
        <f>+SUM(W20:W43)</f>
        <v>1797218.1201494348</v>
      </c>
    </row>
    <row r="20" spans="1:26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45610.000000000007</v>
      </c>
      <c r="F20" s="92">
        <v>1289583.3333333228</v>
      </c>
      <c r="G20" s="92">
        <v>180073.3333333332</v>
      </c>
      <c r="H20" s="92">
        <v>24706.666666666668</v>
      </c>
      <c r="I20" s="23"/>
      <c r="J20" s="34"/>
      <c r="K20" s="34"/>
      <c r="L20" s="34"/>
      <c r="M20" s="34">
        <v>13636.666666666664</v>
      </c>
      <c r="N20" s="127">
        <v>5653.3333333333348</v>
      </c>
      <c r="O20" s="367">
        <v>101300.00297546387</v>
      </c>
      <c r="P20" s="356"/>
      <c r="Q20" s="24">
        <f t="shared" ref="Q20:Q44" si="19">+SUM(E20:P20)</f>
        <v>1660563.3363087866</v>
      </c>
      <c r="R20" s="99">
        <f t="shared" ref="R20:R44" si="20">+Q20/1.09</f>
        <v>1523452.6021181527</v>
      </c>
      <c r="S20" s="24">
        <f>+Q20-R20</f>
        <v>137110.73419063399</v>
      </c>
      <c r="T20" s="94">
        <f t="shared" ref="T20:T43" si="21">Q20/D20</f>
        <v>16605.633363087865</v>
      </c>
      <c r="U20" s="41"/>
      <c r="V20" s="61"/>
      <c r="W20" s="106"/>
      <c r="X20"/>
      <c r="Y20" s="142"/>
      <c r="Z20"/>
    </row>
    <row r="21" spans="1:26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8923.3333333333339</v>
      </c>
      <c r="F21" s="48">
        <v>376230.00000000017</v>
      </c>
      <c r="G21" s="48">
        <v>50838.333333333343</v>
      </c>
      <c r="H21" s="48">
        <v>8516.6666666666661</v>
      </c>
      <c r="I21" s="13"/>
      <c r="J21" s="33"/>
      <c r="K21" s="33"/>
      <c r="L21" s="33"/>
      <c r="M21" s="33">
        <v>4811.6666666666661</v>
      </c>
      <c r="N21" s="127">
        <v>243.33333333333331</v>
      </c>
      <c r="O21" s="36">
        <v>5428.3334985351567</v>
      </c>
      <c r="P21" s="357"/>
      <c r="Q21" s="24">
        <f t="shared" si="19"/>
        <v>454991.6668318687</v>
      </c>
      <c r="R21" s="5">
        <f t="shared" si="20"/>
        <v>417423.54755217308</v>
      </c>
      <c r="S21" s="5">
        <f t="shared" ref="S21:S44" si="22">+Q21-R21</f>
        <v>37568.119279695617</v>
      </c>
      <c r="T21" s="21">
        <f t="shared" si="21"/>
        <v>9099.8333366373736</v>
      </c>
      <c r="U21" s="41"/>
      <c r="V21" s="61">
        <v>50</v>
      </c>
      <c r="W21" s="13">
        <f t="shared" ref="W21:W22" si="23">+T21*V21</f>
        <v>454991.6668318687</v>
      </c>
      <c r="Y21" s="142"/>
    </row>
    <row r="22" spans="1:26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8562</v>
      </c>
      <c r="F22" s="95">
        <v>241382.67</v>
      </c>
      <c r="G22" s="95">
        <v>39454.67</v>
      </c>
      <c r="H22" s="95">
        <v>3446</v>
      </c>
      <c r="I22" s="13"/>
      <c r="J22" s="33"/>
      <c r="K22" s="33"/>
      <c r="L22" s="33"/>
      <c r="M22" s="33">
        <v>2175.33</v>
      </c>
      <c r="N22" s="127">
        <v>1766.666666666667</v>
      </c>
      <c r="O22" s="36">
        <v>28818</v>
      </c>
      <c r="P22" s="357"/>
      <c r="Q22" s="24">
        <f t="shared" si="19"/>
        <v>325605.33666666673</v>
      </c>
      <c r="R22" s="5">
        <f t="shared" si="20"/>
        <v>298720.4923547401</v>
      </c>
      <c r="S22" s="5">
        <f t="shared" si="22"/>
        <v>26884.84431192663</v>
      </c>
      <c r="T22" s="21">
        <f t="shared" si="21"/>
        <v>16280.266833333337</v>
      </c>
      <c r="U22" s="41"/>
      <c r="V22" s="61">
        <v>80</v>
      </c>
      <c r="W22" s="13">
        <f t="shared" si="23"/>
        <v>1302421.3466666669</v>
      </c>
      <c r="X22" s="112"/>
      <c r="Y22" s="142"/>
    </row>
    <row r="23" spans="1:26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7311</v>
      </c>
      <c r="F23" s="95">
        <v>163473</v>
      </c>
      <c r="G23" s="95">
        <v>28362</v>
      </c>
      <c r="H23" s="95">
        <v>5709</v>
      </c>
      <c r="I23" s="13"/>
      <c r="J23" s="33"/>
      <c r="K23" s="33"/>
      <c r="L23" s="33"/>
      <c r="M23" s="33">
        <v>1746</v>
      </c>
      <c r="N23" s="127">
        <v>1218</v>
      </c>
      <c r="O23" s="33">
        <v>29022</v>
      </c>
      <c r="P23" s="357"/>
      <c r="Q23" s="24">
        <f t="shared" si="19"/>
        <v>236841</v>
      </c>
      <c r="R23" s="5">
        <f t="shared" si="20"/>
        <v>217285.32110091741</v>
      </c>
      <c r="S23" s="5">
        <f t="shared" si="22"/>
        <v>19555.678899082588</v>
      </c>
      <c r="T23" s="21">
        <f t="shared" si="21"/>
        <v>2631.5666666666666</v>
      </c>
      <c r="U23" s="41"/>
      <c r="V23" s="61"/>
      <c r="W23" s="13"/>
      <c r="Y23" s="142"/>
    </row>
    <row r="24" spans="1:26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244.5</v>
      </c>
      <c r="F24" s="95">
        <v>9430.5</v>
      </c>
      <c r="G24" s="95">
        <v>1675.5</v>
      </c>
      <c r="H24" s="95">
        <v>276</v>
      </c>
      <c r="I24" s="13"/>
      <c r="J24" s="33"/>
      <c r="K24" s="33"/>
      <c r="L24" s="33"/>
      <c r="M24" s="33">
        <v>127.5</v>
      </c>
      <c r="N24" s="127"/>
      <c r="O24" s="33">
        <v>877.5</v>
      </c>
      <c r="P24" s="357"/>
      <c r="Q24" s="24">
        <f t="shared" si="19"/>
        <v>12631.5</v>
      </c>
      <c r="R24" s="5">
        <f t="shared" si="20"/>
        <v>11588.532110091743</v>
      </c>
      <c r="S24" s="5">
        <f t="shared" si="22"/>
        <v>1042.9678899082573</v>
      </c>
      <c r="T24" s="21">
        <f t="shared" si="21"/>
        <v>280.7</v>
      </c>
      <c r="U24" s="35"/>
      <c r="V24" s="61">
        <v>45</v>
      </c>
      <c r="W24" s="13">
        <f t="shared" ref="W24:W25" si="24">+T24*V24</f>
        <v>12631.5</v>
      </c>
      <c r="Y24" s="142"/>
    </row>
    <row r="25" spans="1:26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149.4</v>
      </c>
      <c r="F25" s="95">
        <v>1408.8</v>
      </c>
      <c r="G25" s="95">
        <v>339.6</v>
      </c>
      <c r="H25" s="95">
        <v>237.60000000000002</v>
      </c>
      <c r="I25" s="13"/>
      <c r="J25" s="33"/>
      <c r="K25" s="33"/>
      <c r="L25" s="33"/>
      <c r="M25" s="33">
        <v>57</v>
      </c>
      <c r="N25" s="127">
        <v>69.599999999999994</v>
      </c>
      <c r="O25" s="33">
        <v>699</v>
      </c>
      <c r="P25" s="357"/>
      <c r="Q25" s="24">
        <f t="shared" si="19"/>
        <v>2961</v>
      </c>
      <c r="R25" s="5">
        <f t="shared" si="20"/>
        <v>2716.5137614678897</v>
      </c>
      <c r="S25" s="5">
        <f t="shared" si="22"/>
        <v>244.48623853211029</v>
      </c>
      <c r="T25" s="21">
        <f t="shared" si="21"/>
        <v>164.5</v>
      </c>
      <c r="U25" s="35"/>
      <c r="V25" s="61">
        <v>72</v>
      </c>
      <c r="W25" s="13">
        <f t="shared" si="24"/>
        <v>11844</v>
      </c>
      <c r="Y25" s="142"/>
    </row>
    <row r="26" spans="1:26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>
        <v>96.666666666666657</v>
      </c>
      <c r="F26" s="95">
        <v>493.33333333333326</v>
      </c>
      <c r="G26" s="95">
        <v>0</v>
      </c>
      <c r="H26" s="95">
        <v>0</v>
      </c>
      <c r="I26" s="13"/>
      <c r="J26" s="33"/>
      <c r="K26" s="33"/>
      <c r="L26" s="33"/>
      <c r="M26" s="33"/>
      <c r="N26" s="127"/>
      <c r="O26" s="33">
        <v>723.33336120605463</v>
      </c>
      <c r="P26" s="357"/>
      <c r="Q26" s="24">
        <f t="shared" si="19"/>
        <v>1313.3333612060546</v>
      </c>
      <c r="R26" s="5">
        <f t="shared" si="20"/>
        <v>1204.8929919321602</v>
      </c>
      <c r="S26" s="5">
        <f t="shared" si="22"/>
        <v>108.44036927389448</v>
      </c>
      <c r="T26" s="21">
        <f t="shared" si="21"/>
        <v>4.3777778706868489</v>
      </c>
      <c r="U26" s="35"/>
      <c r="V26" s="61"/>
      <c r="W26" s="13"/>
      <c r="Y26" s="142"/>
    </row>
    <row r="27" spans="1:26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>
        <v>1.6666666666666665</v>
      </c>
      <c r="F27" s="95">
        <v>599.99999999999989</v>
      </c>
      <c r="G27" s="95">
        <v>80</v>
      </c>
      <c r="H27" s="95">
        <v>90</v>
      </c>
      <c r="I27" s="13"/>
      <c r="J27" s="33"/>
      <c r="K27" s="33"/>
      <c r="L27" s="33"/>
      <c r="M27" s="33"/>
      <c r="N27" s="127"/>
      <c r="O27" s="33">
        <v>120.0000048828125</v>
      </c>
      <c r="P27" s="357"/>
      <c r="Q27" s="24">
        <f t="shared" si="19"/>
        <v>891.66667154947902</v>
      </c>
      <c r="R27" s="5">
        <f t="shared" si="20"/>
        <v>818.04281793530174</v>
      </c>
      <c r="S27" s="5">
        <f t="shared" si="22"/>
        <v>73.623853614177278</v>
      </c>
      <c r="T27" s="21">
        <f t="shared" si="21"/>
        <v>5.9444444769965266</v>
      </c>
      <c r="U27" s="35"/>
      <c r="V27" s="61">
        <v>150</v>
      </c>
      <c r="W27" s="13">
        <f t="shared" ref="W27:W43" si="25">+T27*V27</f>
        <v>891.66667154947902</v>
      </c>
      <c r="Y27" s="142"/>
    </row>
    <row r="28" spans="1:26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50.666666666666671</v>
      </c>
      <c r="F28" s="95">
        <v>1180.67</v>
      </c>
      <c r="G28" s="95">
        <v>85.33</v>
      </c>
      <c r="H28" s="95">
        <v>78</v>
      </c>
      <c r="I28" s="13"/>
      <c r="J28" s="33"/>
      <c r="K28" s="33"/>
      <c r="L28" s="33"/>
      <c r="M28" s="33">
        <v>22.666666666666671</v>
      </c>
      <c r="N28" s="127">
        <v>18.000000000000004</v>
      </c>
      <c r="O28" s="33">
        <v>1338</v>
      </c>
      <c r="P28" s="357"/>
      <c r="Q28" s="24">
        <f t="shared" si="19"/>
        <v>2773.3333333333335</v>
      </c>
      <c r="R28" s="5">
        <f t="shared" si="20"/>
        <v>2544.34250764526</v>
      </c>
      <c r="S28" s="5">
        <f t="shared" si="22"/>
        <v>228.99082568807353</v>
      </c>
      <c r="T28" s="21">
        <f t="shared" si="21"/>
        <v>46.222222222222221</v>
      </c>
      <c r="U28" s="35"/>
      <c r="V28" s="61">
        <v>240</v>
      </c>
      <c r="W28" s="13">
        <f t="shared" si="25"/>
        <v>11093.333333333334</v>
      </c>
      <c r="Y28" s="142"/>
    </row>
    <row r="29" spans="1:26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258</v>
      </c>
      <c r="G29" s="95"/>
      <c r="H29" s="95">
        <v>21</v>
      </c>
      <c r="I29" s="13"/>
      <c r="J29" s="33"/>
      <c r="K29" s="33"/>
      <c r="L29" s="33"/>
      <c r="M29" s="33"/>
      <c r="N29" s="127"/>
      <c r="O29" s="33">
        <v>843</v>
      </c>
      <c r="P29" s="357"/>
      <c r="Q29" s="24">
        <f t="shared" si="19"/>
        <v>1122</v>
      </c>
      <c r="R29" s="5">
        <f t="shared" si="20"/>
        <v>1029.3577981651376</v>
      </c>
      <c r="S29" s="5">
        <f t="shared" si="22"/>
        <v>92.642201834862362</v>
      </c>
      <c r="T29" s="21">
        <f t="shared" si="21"/>
        <v>4.1555555555555559</v>
      </c>
      <c r="U29" s="35"/>
      <c r="V29" s="61"/>
      <c r="W29" s="13"/>
      <c r="Y29" s="142"/>
    </row>
    <row r="30" spans="1:26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0</v>
      </c>
      <c r="G30" s="95"/>
      <c r="H30" s="95">
        <v>40.5</v>
      </c>
      <c r="I30" s="13"/>
      <c r="J30" s="33"/>
      <c r="K30" s="33"/>
      <c r="L30" s="33"/>
      <c r="M30" s="33"/>
      <c r="N30" s="127"/>
      <c r="O30" s="33"/>
      <c r="P30" s="357"/>
      <c r="Q30" s="24">
        <f t="shared" si="19"/>
        <v>40.5</v>
      </c>
      <c r="R30" s="5">
        <f t="shared" si="20"/>
        <v>37.155963302752291</v>
      </c>
      <c r="S30" s="5">
        <f t="shared" si="22"/>
        <v>3.3440366972477094</v>
      </c>
      <c r="T30" s="21">
        <f t="shared" si="21"/>
        <v>0.3</v>
      </c>
      <c r="U30" s="35"/>
      <c r="V30" s="61">
        <v>135</v>
      </c>
      <c r="W30" s="13">
        <f t="shared" si="25"/>
        <v>40.5</v>
      </c>
      <c r="Y30" s="142"/>
    </row>
    <row r="31" spans="1:26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/>
      <c r="F31" s="95">
        <v>13.2</v>
      </c>
      <c r="G31" s="95">
        <v>4.2</v>
      </c>
      <c r="H31" s="95">
        <v>5.3999999999999986</v>
      </c>
      <c r="I31" s="13"/>
      <c r="J31" s="33"/>
      <c r="K31" s="33"/>
      <c r="L31" s="33"/>
      <c r="M31" s="33">
        <v>1.2</v>
      </c>
      <c r="N31" s="127">
        <v>2.4000000000000004</v>
      </c>
      <c r="O31" s="33">
        <v>66</v>
      </c>
      <c r="P31" s="357"/>
      <c r="Q31" s="24">
        <f t="shared" si="19"/>
        <v>92.4</v>
      </c>
      <c r="R31" s="5">
        <f t="shared" si="20"/>
        <v>84.77064220183486</v>
      </c>
      <c r="S31" s="5">
        <f t="shared" si="22"/>
        <v>7.6293577981651453</v>
      </c>
      <c r="T31" s="21">
        <f t="shared" si="21"/>
        <v>1.7111111111111112</v>
      </c>
      <c r="U31" s="35"/>
      <c r="V31" s="61">
        <v>216</v>
      </c>
      <c r="W31" s="13">
        <f t="shared" si="25"/>
        <v>369.6</v>
      </c>
      <c r="Y31" s="142"/>
    </row>
    <row r="32" spans="1:26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>
        <v>10</v>
      </c>
      <c r="F32" s="95">
        <v>0</v>
      </c>
      <c r="G32" s="95"/>
      <c r="H32" s="95">
        <v>0</v>
      </c>
      <c r="I32" s="13"/>
      <c r="J32" s="33"/>
      <c r="K32" s="33"/>
      <c r="L32" s="33"/>
      <c r="M32" s="33"/>
      <c r="N32" s="127"/>
      <c r="O32" s="33">
        <v>76.666669921874998</v>
      </c>
      <c r="P32" s="357"/>
      <c r="Q32" s="24">
        <f t="shared" si="19"/>
        <v>86.666669921874998</v>
      </c>
      <c r="R32" s="5">
        <f t="shared" si="20"/>
        <v>79.510706350344023</v>
      </c>
      <c r="S32" s="5">
        <f t="shared" si="22"/>
        <v>7.1559635715309753</v>
      </c>
      <c r="T32" s="21">
        <f t="shared" si="21"/>
        <v>0.14444444986979166</v>
      </c>
      <c r="U32" s="35"/>
      <c r="V32" s="61"/>
      <c r="W32" s="13"/>
      <c r="Y32" s="142"/>
    </row>
    <row r="33" spans="1:26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55</v>
      </c>
      <c r="G33" s="95"/>
      <c r="H33" s="95">
        <v>30</v>
      </c>
      <c r="I33" s="13"/>
      <c r="J33" s="33"/>
      <c r="K33" s="33"/>
      <c r="L33" s="33"/>
      <c r="M33" s="33"/>
      <c r="N33" s="127"/>
      <c r="O33" s="33">
        <v>5</v>
      </c>
      <c r="P33" s="357"/>
      <c r="Q33" s="24">
        <f t="shared" si="19"/>
        <v>90</v>
      </c>
      <c r="R33" s="5">
        <f t="shared" si="20"/>
        <v>82.568807339449535</v>
      </c>
      <c r="S33" s="5">
        <f t="shared" si="22"/>
        <v>7.4311926605504652</v>
      </c>
      <c r="T33" s="21">
        <f t="shared" si="21"/>
        <v>0.3</v>
      </c>
      <c r="U33" s="35"/>
      <c r="V33" s="61">
        <v>300</v>
      </c>
      <c r="W33" s="13">
        <f t="shared" si="25"/>
        <v>90</v>
      </c>
      <c r="Y33" s="142"/>
    </row>
    <row r="34" spans="1:26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1.33</v>
      </c>
      <c r="F34" s="95">
        <v>133.33000000000001</v>
      </c>
      <c r="G34" s="95">
        <v>6</v>
      </c>
      <c r="H34" s="95">
        <v>12</v>
      </c>
      <c r="I34" s="13"/>
      <c r="J34" s="33"/>
      <c r="K34" s="33"/>
      <c r="L34" s="33"/>
      <c r="M34" s="33"/>
      <c r="N34" s="127"/>
      <c r="O34" s="33">
        <v>183.33332817077635</v>
      </c>
      <c r="P34" s="357"/>
      <c r="Q34" s="24">
        <f t="shared" si="19"/>
        <v>335.99332817077641</v>
      </c>
      <c r="R34" s="5">
        <f t="shared" si="20"/>
        <v>308.25075978970312</v>
      </c>
      <c r="S34" s="5">
        <f t="shared" si="22"/>
        <v>27.742568381073283</v>
      </c>
      <c r="T34" s="21">
        <f t="shared" si="21"/>
        <v>2.7999444014231369</v>
      </c>
      <c r="U34" s="35"/>
      <c r="V34" s="61">
        <v>480</v>
      </c>
      <c r="W34" s="13">
        <f t="shared" si="25"/>
        <v>1343.9733126831056</v>
      </c>
      <c r="Y34" s="142"/>
    </row>
    <row r="35" spans="1:26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>
        <v>0</v>
      </c>
      <c r="I35" s="13"/>
      <c r="J35" s="33"/>
      <c r="K35" s="33"/>
      <c r="L35" s="33"/>
      <c r="M35" s="33"/>
      <c r="N35" s="127"/>
      <c r="O35" s="33"/>
      <c r="P35" s="357"/>
      <c r="Q35" s="24">
        <f t="shared" si="19"/>
        <v>0</v>
      </c>
      <c r="R35" s="5">
        <f t="shared" si="20"/>
        <v>0</v>
      </c>
      <c r="S35" s="5">
        <f t="shared" si="22"/>
        <v>0</v>
      </c>
      <c r="T35" s="21">
        <f t="shared" si="21"/>
        <v>0</v>
      </c>
      <c r="U35" s="35"/>
      <c r="V35" s="61"/>
      <c r="W35" s="13"/>
      <c r="Y35" s="142"/>
    </row>
    <row r="36" spans="1:26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>
        <v>0</v>
      </c>
      <c r="I36" s="13"/>
      <c r="J36" s="33"/>
      <c r="K36" s="33"/>
      <c r="L36" s="33"/>
      <c r="M36" s="33"/>
      <c r="N36" s="127"/>
      <c r="O36" s="33"/>
      <c r="P36" s="357"/>
      <c r="Q36" s="24">
        <f t="shared" si="19"/>
        <v>0</v>
      </c>
      <c r="R36" s="5">
        <f t="shared" si="20"/>
        <v>0</v>
      </c>
      <c r="S36" s="5">
        <f t="shared" si="22"/>
        <v>0</v>
      </c>
      <c r="T36" s="21">
        <f t="shared" si="21"/>
        <v>0</v>
      </c>
      <c r="U36" s="35"/>
      <c r="V36" s="61">
        <v>270</v>
      </c>
      <c r="W36" s="13">
        <f t="shared" si="25"/>
        <v>0</v>
      </c>
      <c r="Y36" s="142"/>
    </row>
    <row r="37" spans="1:26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/>
      <c r="G37" s="95"/>
      <c r="H37" s="95">
        <v>0</v>
      </c>
      <c r="I37" s="13"/>
      <c r="J37" s="33"/>
      <c r="K37" s="33"/>
      <c r="L37" s="33"/>
      <c r="M37" s="33"/>
      <c r="N37" s="127"/>
      <c r="O37" s="33">
        <v>1.8</v>
      </c>
      <c r="P37" s="357"/>
      <c r="Q37" s="24">
        <f t="shared" si="19"/>
        <v>1.8</v>
      </c>
      <c r="R37" s="5">
        <f t="shared" si="20"/>
        <v>1.6513761467889907</v>
      </c>
      <c r="S37" s="5">
        <f t="shared" si="22"/>
        <v>0.14862385321100935</v>
      </c>
      <c r="T37" s="21">
        <f t="shared" si="21"/>
        <v>1.6666666666666666E-2</v>
      </c>
      <c r="U37" s="35"/>
      <c r="V37" s="61">
        <v>432</v>
      </c>
      <c r="W37" s="13">
        <f t="shared" si="25"/>
        <v>7.2</v>
      </c>
      <c r="Y37" s="142"/>
    </row>
    <row r="38" spans="1:26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>
        <v>0</v>
      </c>
      <c r="I38" s="13"/>
      <c r="J38" s="33"/>
      <c r="K38" s="33"/>
      <c r="L38" s="33"/>
      <c r="M38" s="33"/>
      <c r="N38" s="127"/>
      <c r="O38" s="33"/>
      <c r="P38" s="357"/>
      <c r="Q38" s="24">
        <f t="shared" si="19"/>
        <v>0</v>
      </c>
      <c r="R38" s="5">
        <f t="shared" si="20"/>
        <v>0</v>
      </c>
      <c r="S38" s="5">
        <f t="shared" si="22"/>
        <v>0</v>
      </c>
      <c r="T38" s="21">
        <f t="shared" si="21"/>
        <v>0</v>
      </c>
      <c r="U38" s="35"/>
      <c r="V38" s="61"/>
      <c r="W38" s="13"/>
      <c r="Y38" s="142"/>
    </row>
    <row r="39" spans="1:26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>
        <v>19.999999999999996</v>
      </c>
      <c r="G39" s="95"/>
      <c r="H39" s="95">
        <v>0</v>
      </c>
      <c r="I39" s="13"/>
      <c r="J39" s="33"/>
      <c r="K39" s="33"/>
      <c r="L39" s="33"/>
      <c r="M39" s="33"/>
      <c r="N39" s="127"/>
      <c r="O39" s="33"/>
      <c r="P39" s="357"/>
      <c r="Q39" s="24">
        <f t="shared" si="19"/>
        <v>19.999999999999996</v>
      </c>
      <c r="R39" s="5">
        <f t="shared" si="20"/>
        <v>18.348623853211006</v>
      </c>
      <c r="S39" s="5">
        <f t="shared" si="22"/>
        <v>1.6513761467889907</v>
      </c>
      <c r="T39" s="21">
        <f t="shared" si="21"/>
        <v>4.4444444444444439E-2</v>
      </c>
      <c r="U39" s="35"/>
      <c r="V39" s="61">
        <v>450</v>
      </c>
      <c r="W39" s="13">
        <f t="shared" si="25"/>
        <v>19.999999999999996</v>
      </c>
      <c r="Y39" s="142"/>
    </row>
    <row r="40" spans="1:26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>
        <v>8</v>
      </c>
      <c r="F40" s="250">
        <v>74.666666666666671</v>
      </c>
      <c r="G40" s="95">
        <v>6.6666666666666679</v>
      </c>
      <c r="H40" s="95">
        <v>7.3333333333333712</v>
      </c>
      <c r="I40" s="13"/>
      <c r="J40" s="33"/>
      <c r="K40" s="33"/>
      <c r="L40" s="33"/>
      <c r="M40" s="33">
        <v>0.66666666666666674</v>
      </c>
      <c r="N40" s="127"/>
      <c r="O40" s="33">
        <v>232</v>
      </c>
      <c r="P40" s="357"/>
      <c r="Q40" s="24">
        <f t="shared" si="19"/>
        <v>329.33333333333337</v>
      </c>
      <c r="R40" s="5">
        <f t="shared" si="20"/>
        <v>302.14067278287462</v>
      </c>
      <c r="S40" s="5">
        <f t="shared" si="22"/>
        <v>27.192660550458754</v>
      </c>
      <c r="T40" s="21">
        <f t="shared" si="21"/>
        <v>1.8296296296296299</v>
      </c>
      <c r="U40" s="35"/>
      <c r="V40" s="61">
        <v>720</v>
      </c>
      <c r="W40" s="13">
        <f t="shared" si="25"/>
        <v>1317.3333333333335</v>
      </c>
      <c r="Y40" s="142"/>
    </row>
    <row r="41" spans="1:26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>
        <v>0</v>
      </c>
      <c r="I41" s="13"/>
      <c r="J41" s="33"/>
      <c r="K41" s="33"/>
      <c r="L41" s="33"/>
      <c r="M41" s="33"/>
      <c r="N41" s="127"/>
      <c r="O41" s="33"/>
      <c r="P41" s="357"/>
      <c r="Q41" s="24">
        <f t="shared" si="19"/>
        <v>0</v>
      </c>
      <c r="R41" s="5">
        <f t="shared" si="20"/>
        <v>0</v>
      </c>
      <c r="S41" s="5">
        <f t="shared" si="22"/>
        <v>0</v>
      </c>
      <c r="T41" s="21">
        <f t="shared" si="21"/>
        <v>0</v>
      </c>
      <c r="U41" s="71"/>
      <c r="V41" s="61"/>
      <c r="W41" s="13"/>
      <c r="Y41" s="142"/>
    </row>
    <row r="42" spans="1:26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>
        <v>0</v>
      </c>
      <c r="I42" s="13"/>
      <c r="J42" s="33"/>
      <c r="K42" s="33"/>
      <c r="L42" s="33"/>
      <c r="M42" s="33"/>
      <c r="N42" s="127"/>
      <c r="O42" s="33"/>
      <c r="P42" s="357"/>
      <c r="Q42" s="24">
        <f t="shared" si="19"/>
        <v>0</v>
      </c>
      <c r="R42" s="5">
        <f t="shared" si="20"/>
        <v>0</v>
      </c>
      <c r="S42" s="5">
        <f t="shared" si="22"/>
        <v>0</v>
      </c>
      <c r="T42" s="21">
        <f t="shared" si="21"/>
        <v>0</v>
      </c>
      <c r="U42" s="71"/>
      <c r="V42" s="61">
        <v>405</v>
      </c>
      <c r="W42" s="13">
        <f t="shared" si="25"/>
        <v>0</v>
      </c>
      <c r="Y42" s="142"/>
    </row>
    <row r="43" spans="1:26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>
        <v>4.8</v>
      </c>
      <c r="G43" s="250"/>
      <c r="H43" s="250">
        <v>0</v>
      </c>
      <c r="I43" s="25"/>
      <c r="J43" s="239"/>
      <c r="K43" s="239"/>
      <c r="L43" s="239"/>
      <c r="M43" s="239"/>
      <c r="N43" s="221">
        <v>3</v>
      </c>
      <c r="O43" s="239">
        <v>31.2</v>
      </c>
      <c r="P43" s="358"/>
      <c r="Q43" s="24">
        <f t="shared" si="19"/>
        <v>39</v>
      </c>
      <c r="R43" s="26">
        <f t="shared" si="20"/>
        <v>35.779816513761467</v>
      </c>
      <c r="S43" s="26">
        <f t="shared" si="22"/>
        <v>3.2201834862385326</v>
      </c>
      <c r="T43" s="39">
        <f t="shared" si="21"/>
        <v>0.24074074074074073</v>
      </c>
      <c r="U43" s="71"/>
      <c r="V43" s="61">
        <v>648</v>
      </c>
      <c r="W43" s="13">
        <f t="shared" si="25"/>
        <v>156</v>
      </c>
      <c r="Y43" s="142"/>
    </row>
    <row r="44" spans="1:26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1.62</v>
      </c>
      <c r="F44" s="124">
        <v>114.76712328767124</v>
      </c>
      <c r="G44" s="124">
        <v>9.8904109589041074</v>
      </c>
      <c r="H44" s="124">
        <v>27.342465753424676</v>
      </c>
      <c r="I44" s="124"/>
      <c r="J44" s="124"/>
      <c r="K44" s="124"/>
      <c r="L44" s="124"/>
      <c r="M44" s="124">
        <v>0.93150684931506844</v>
      </c>
      <c r="N44" s="124"/>
      <c r="O44" s="124"/>
      <c r="P44" s="352"/>
      <c r="Q44" s="24">
        <f t="shared" si="19"/>
        <v>154.5515068493151</v>
      </c>
      <c r="R44" s="124">
        <f t="shared" si="20"/>
        <v>141.79037325625237</v>
      </c>
      <c r="S44" s="6">
        <f t="shared" si="22"/>
        <v>12.761133593062738</v>
      </c>
      <c r="T44" s="22">
        <f>+Q44/D44</f>
        <v>15.45515068493151</v>
      </c>
      <c r="U44" s="71"/>
      <c r="V44" s="61"/>
      <c r="W44" s="13"/>
      <c r="X44" s="2"/>
      <c r="Y44" s="1"/>
    </row>
    <row r="45" spans="1:26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6014.71</v>
      </c>
      <c r="F45" s="82">
        <f>+SUM(F46:F54)</f>
        <v>172531.16999999998</v>
      </c>
      <c r="G45" s="82">
        <f>+SUM(G46:G54)</f>
        <v>26457.370000000003</v>
      </c>
      <c r="H45" s="82">
        <f>+SUM(H46:H54)</f>
        <v>3662.06</v>
      </c>
      <c r="I45" s="82">
        <f t="shared" ref="I45:T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1940.5800000000002</v>
      </c>
      <c r="N45" s="100">
        <f t="shared" si="26"/>
        <v>2653.1300000000006</v>
      </c>
      <c r="O45" s="100">
        <f t="shared" si="26"/>
        <v>13844.81</v>
      </c>
      <c r="P45" s="100">
        <f t="shared" si="26"/>
        <v>0</v>
      </c>
      <c r="Q45" s="42">
        <f>+SUM(Q46:Q54)</f>
        <v>227103.83</v>
      </c>
      <c r="R45" s="82">
        <f t="shared" si="26"/>
        <v>208352.13761467888</v>
      </c>
      <c r="S45" s="82">
        <f t="shared" si="26"/>
        <v>18751.692385321119</v>
      </c>
      <c r="T45" s="19">
        <f t="shared" si="26"/>
        <v>37336.966666666674</v>
      </c>
      <c r="U45" s="71"/>
      <c r="V45" s="61"/>
      <c r="W45" s="105">
        <f>+SUM(W46:W69)</f>
        <v>358374.47</v>
      </c>
    </row>
    <row r="46" spans="1:26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876</v>
      </c>
      <c r="F46" s="92">
        <v>21180</v>
      </c>
      <c r="G46" s="28">
        <v>2988</v>
      </c>
      <c r="H46" s="347">
        <v>288</v>
      </c>
      <c r="I46" s="83"/>
      <c r="J46" s="75"/>
      <c r="K46" s="75"/>
      <c r="L46" s="75"/>
      <c r="M46" s="75">
        <v>240</v>
      </c>
      <c r="N46" s="127">
        <v>324</v>
      </c>
      <c r="O46" s="75">
        <v>1536</v>
      </c>
      <c r="P46" s="356"/>
      <c r="Q46" s="24">
        <f t="shared" ref="Q46:Q54" si="27">+SUM(E46:P46)</f>
        <v>27432</v>
      </c>
      <c r="R46" s="99">
        <f t="shared" ref="R46:R54" si="28">+Q46/1.09</f>
        <v>25166.972477064217</v>
      </c>
      <c r="S46" s="64">
        <f t="shared" ref="S46:S54" si="29">+Q46-R46</f>
        <v>2265.0275229357831</v>
      </c>
      <c r="T46" s="85">
        <f t="shared" ref="T46:T54" si="30">Q46/D46</f>
        <v>2286</v>
      </c>
      <c r="U46" s="71"/>
      <c r="V46" s="61"/>
      <c r="W46" s="13"/>
      <c r="X46"/>
      <c r="Y46" s="142"/>
      <c r="Z46"/>
    </row>
    <row r="47" spans="1:26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240</v>
      </c>
      <c r="F47" s="48">
        <v>2124</v>
      </c>
      <c r="G47" s="17">
        <v>258</v>
      </c>
      <c r="H47" s="347">
        <v>30</v>
      </c>
      <c r="I47" s="13"/>
      <c r="J47" s="33"/>
      <c r="K47" s="33"/>
      <c r="L47" s="33"/>
      <c r="M47" s="33">
        <v>36</v>
      </c>
      <c r="N47" s="127">
        <v>54</v>
      </c>
      <c r="O47" s="33">
        <v>180</v>
      </c>
      <c r="P47" s="357"/>
      <c r="Q47" s="24">
        <f t="shared" si="27"/>
        <v>2922</v>
      </c>
      <c r="R47" s="5">
        <f t="shared" si="28"/>
        <v>2680.7339449541282</v>
      </c>
      <c r="S47" s="5">
        <f t="shared" si="29"/>
        <v>241.26605504587178</v>
      </c>
      <c r="T47" s="31">
        <f t="shared" si="30"/>
        <v>487</v>
      </c>
      <c r="U47" s="71"/>
      <c r="V47" s="61">
        <v>6</v>
      </c>
      <c r="W47" s="13">
        <f t="shared" ref="W47:W48" si="31">+T47*V47</f>
        <v>2922</v>
      </c>
      <c r="Y47" s="142"/>
    </row>
    <row r="48" spans="1:26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1591.2</v>
      </c>
      <c r="F48" s="95">
        <v>49048.800000000003</v>
      </c>
      <c r="G48" s="17">
        <v>9134.4</v>
      </c>
      <c r="H48" s="347">
        <v>448.79999999999995</v>
      </c>
      <c r="I48" s="13"/>
      <c r="J48" s="33"/>
      <c r="K48" s="33"/>
      <c r="L48" s="33"/>
      <c r="M48" s="33">
        <v>453.6</v>
      </c>
      <c r="N48" s="127">
        <v>566.4</v>
      </c>
      <c r="O48" s="33">
        <v>2652</v>
      </c>
      <c r="P48" s="357"/>
      <c r="Q48" s="24">
        <f t="shared" si="27"/>
        <v>63895.200000000004</v>
      </c>
      <c r="R48" s="5">
        <f t="shared" si="28"/>
        <v>58619.449541284404</v>
      </c>
      <c r="S48" s="5">
        <f t="shared" si="29"/>
        <v>5275.7504587156</v>
      </c>
      <c r="T48" s="31">
        <f t="shared" si="30"/>
        <v>26623.000000000004</v>
      </c>
      <c r="U48" s="71"/>
      <c r="V48" s="61">
        <v>9.6</v>
      </c>
      <c r="W48" s="13">
        <f t="shared" si="31"/>
        <v>255580.80000000002</v>
      </c>
      <c r="Y48" s="142"/>
    </row>
    <row r="49" spans="1:25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518</v>
      </c>
      <c r="F49" s="13">
        <v>21021</v>
      </c>
      <c r="G49" s="13">
        <v>2919</v>
      </c>
      <c r="H49" s="348">
        <v>588</v>
      </c>
      <c r="I49" s="13"/>
      <c r="J49" s="33"/>
      <c r="K49" s="33"/>
      <c r="L49" s="33"/>
      <c r="M49" s="33">
        <v>147</v>
      </c>
      <c r="N49" s="127">
        <v>301</v>
      </c>
      <c r="O49" s="33">
        <v>1323</v>
      </c>
      <c r="P49" s="357"/>
      <c r="Q49" s="24">
        <f t="shared" si="27"/>
        <v>26817</v>
      </c>
      <c r="R49" s="5">
        <f t="shared" si="28"/>
        <v>24602.752293577982</v>
      </c>
      <c r="S49" s="5">
        <f t="shared" si="29"/>
        <v>2214.2477064220184</v>
      </c>
      <c r="T49" s="31">
        <f t="shared" si="30"/>
        <v>1277</v>
      </c>
      <c r="U49" s="71"/>
      <c r="V49" s="61"/>
      <c r="W49" s="13"/>
      <c r="Y49" s="142"/>
    </row>
    <row r="50" spans="1:25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42</v>
      </c>
      <c r="F50" s="13">
        <v>1855</v>
      </c>
      <c r="G50" s="13">
        <v>269.5</v>
      </c>
      <c r="H50" s="348">
        <v>59.5</v>
      </c>
      <c r="I50" s="13"/>
      <c r="J50" s="33"/>
      <c r="K50" s="33"/>
      <c r="L50" s="33"/>
      <c r="M50" s="33">
        <v>84</v>
      </c>
      <c r="N50" s="127">
        <v>42</v>
      </c>
      <c r="O50" s="33">
        <v>168</v>
      </c>
      <c r="P50" s="357"/>
      <c r="Q50" s="24">
        <f t="shared" si="27"/>
        <v>2520</v>
      </c>
      <c r="R50" s="5">
        <f t="shared" si="28"/>
        <v>2311.9266055045869</v>
      </c>
      <c r="S50" s="5">
        <f t="shared" si="29"/>
        <v>208.07339449541314</v>
      </c>
      <c r="T50" s="21">
        <f t="shared" si="30"/>
        <v>240</v>
      </c>
      <c r="U50" s="71"/>
      <c r="V50" s="61">
        <v>10.5</v>
      </c>
      <c r="W50" s="13">
        <f t="shared" ref="W50:W51" si="32">+T50*V50</f>
        <v>2520</v>
      </c>
      <c r="Y50" s="142"/>
    </row>
    <row r="51" spans="1:25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233.8</v>
      </c>
      <c r="F51" s="13">
        <v>9678.2000000000007</v>
      </c>
      <c r="G51" s="13">
        <v>1267</v>
      </c>
      <c r="H51" s="348">
        <v>166.60000000000002</v>
      </c>
      <c r="I51" s="13"/>
      <c r="J51" s="33"/>
      <c r="K51" s="33"/>
      <c r="L51" s="33"/>
      <c r="M51" s="33">
        <v>37.799999999999997</v>
      </c>
      <c r="N51" s="127">
        <v>196</v>
      </c>
      <c r="O51" s="33">
        <v>1548.4</v>
      </c>
      <c r="P51" s="357"/>
      <c r="Q51" s="24">
        <f t="shared" si="27"/>
        <v>13127.8</v>
      </c>
      <c r="R51" s="5">
        <f t="shared" si="28"/>
        <v>12043.853211009173</v>
      </c>
      <c r="S51" s="5">
        <f t="shared" si="29"/>
        <v>1083.9467889908265</v>
      </c>
      <c r="T51" s="21">
        <f t="shared" si="30"/>
        <v>3125.6666666666665</v>
      </c>
      <c r="U51" s="71"/>
      <c r="V51" s="61">
        <v>16.8</v>
      </c>
      <c r="W51" s="13">
        <f t="shared" si="32"/>
        <v>52511.199999999997</v>
      </c>
      <c r="Y51" s="142"/>
    </row>
    <row r="52" spans="1:25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2095.1</v>
      </c>
      <c r="F52" s="13">
        <v>55628.800000000003</v>
      </c>
      <c r="G52" s="13">
        <v>7872</v>
      </c>
      <c r="H52" s="348">
        <v>1795.8</v>
      </c>
      <c r="I52" s="13"/>
      <c r="J52" s="33"/>
      <c r="K52" s="33"/>
      <c r="L52" s="33"/>
      <c r="M52" s="33">
        <v>697</v>
      </c>
      <c r="N52" s="127">
        <v>979.9</v>
      </c>
      <c r="O52" s="33">
        <v>5014.3</v>
      </c>
      <c r="P52" s="357"/>
      <c r="Q52" s="24">
        <f t="shared" si="27"/>
        <v>74082.899999999994</v>
      </c>
      <c r="R52" s="5">
        <f t="shared" si="28"/>
        <v>67965.96330275228</v>
      </c>
      <c r="S52" s="5">
        <f t="shared" si="29"/>
        <v>6116.9366972477146</v>
      </c>
      <c r="T52" s="21">
        <f t="shared" si="30"/>
        <v>1806.8999999999999</v>
      </c>
      <c r="U52" s="71"/>
      <c r="V52" s="61"/>
      <c r="W52" s="13"/>
      <c r="Y52" s="142"/>
    </row>
    <row r="53" spans="1:25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202.95</v>
      </c>
      <c r="F53" s="13">
        <v>5418.15</v>
      </c>
      <c r="G53" s="13">
        <v>707.25</v>
      </c>
      <c r="H53" s="348">
        <v>73.8</v>
      </c>
      <c r="I53" s="13"/>
      <c r="J53" s="33"/>
      <c r="K53" s="33"/>
      <c r="L53" s="33"/>
      <c r="M53" s="33">
        <v>143.5</v>
      </c>
      <c r="N53" s="127">
        <v>22.550000000000004</v>
      </c>
      <c r="O53" s="33">
        <v>227.55</v>
      </c>
      <c r="P53" s="357"/>
      <c r="Q53" s="24">
        <f t="shared" si="27"/>
        <v>6795.75</v>
      </c>
      <c r="R53" s="5">
        <f t="shared" si="28"/>
        <v>6234.6330275229357</v>
      </c>
      <c r="S53" s="5">
        <f t="shared" si="29"/>
        <v>561.11697247706434</v>
      </c>
      <c r="T53" s="21">
        <f t="shared" si="30"/>
        <v>331.5</v>
      </c>
      <c r="U53" s="71"/>
      <c r="V53" s="61">
        <v>20.5</v>
      </c>
      <c r="W53" s="13">
        <f t="shared" ref="W53:W54" si="33">+T53*V53</f>
        <v>6795.75</v>
      </c>
      <c r="Y53" s="142"/>
    </row>
    <row r="54" spans="1:25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215.66</v>
      </c>
      <c r="F54" s="14">
        <v>6577.22</v>
      </c>
      <c r="G54" s="14">
        <v>1042.22</v>
      </c>
      <c r="H54" s="349">
        <v>211.56000000000003</v>
      </c>
      <c r="I54" s="14"/>
      <c r="J54" s="76"/>
      <c r="K54" s="76"/>
      <c r="L54" s="76"/>
      <c r="M54" s="76">
        <v>101.68</v>
      </c>
      <c r="N54" s="148">
        <v>167.28</v>
      </c>
      <c r="O54" s="76">
        <v>1195.56</v>
      </c>
      <c r="P54" s="224"/>
      <c r="Q54" s="359">
        <f t="shared" si="27"/>
        <v>9511.18</v>
      </c>
      <c r="R54" s="6">
        <f t="shared" si="28"/>
        <v>8725.8532110091746</v>
      </c>
      <c r="S54" s="6">
        <f t="shared" si="29"/>
        <v>785.32678899082566</v>
      </c>
      <c r="T54" s="22">
        <f t="shared" si="30"/>
        <v>1159.9000000000001</v>
      </c>
      <c r="U54" s="35"/>
      <c r="V54" s="61">
        <v>32.799999999999997</v>
      </c>
      <c r="W54" s="13">
        <f t="shared" si="33"/>
        <v>38044.720000000001</v>
      </c>
      <c r="Y54" s="142"/>
    </row>
    <row r="55" spans="1:25" x14ac:dyDescent="0.25"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6" spans="1:2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</row>
    <row r="58" spans="1:25" x14ac:dyDescent="0.25">
      <c r="O58" s="137"/>
      <c r="P58" s="137"/>
    </row>
    <row r="74" spans="2:2" x14ac:dyDescent="0.25">
      <c r="B74" s="1"/>
    </row>
  </sheetData>
  <mergeCells count="19">
    <mergeCell ref="W4:W5"/>
    <mergeCell ref="N4:N5"/>
    <mergeCell ref="O4:P5"/>
    <mergeCell ref="Q4:Q5"/>
    <mergeCell ref="R4:R5"/>
    <mergeCell ref="S4:S5"/>
    <mergeCell ref="T4:T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W66"/>
  <sheetViews>
    <sheetView zoomScaleNormal="100" workbookViewId="0">
      <pane xSplit="4" ySplit="4" topLeftCell="M8" activePane="bottomRight" state="frozen"/>
      <selection pane="topRight" activeCell="E1" sqref="E1"/>
      <selection pane="bottomLeft" activeCell="A5" sqref="A5"/>
      <selection pane="bottomRight" activeCell="W3" sqref="W3:W4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47" style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10937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2.109375" style="1" customWidth="1"/>
    <col min="16" max="16" width="11.6640625" style="1" hidden="1" customWidth="1" outlineLevel="1"/>
    <col min="17" max="17" width="12.33203125" style="1" bestFit="1" customWidth="1" collapsed="1"/>
    <col min="18" max="19" width="12.33203125" style="1" customWidth="1"/>
    <col min="20" max="20" width="11.33203125" style="1" customWidth="1" outlineLevel="1"/>
    <col min="21" max="21" width="3.109375" style="1" customWidth="1"/>
    <col min="22" max="22" width="5.109375" style="1" customWidth="1"/>
    <col min="23" max="23" width="13.33203125" style="2" customWidth="1"/>
    <col min="24" max="16384" width="8.88671875" style="1"/>
  </cols>
  <sheetData>
    <row r="1" spans="1:23" ht="15.6" customHeight="1" x14ac:dyDescent="0.3">
      <c r="A1" s="40" t="s">
        <v>427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"/>
    </row>
    <row r="2" spans="1:23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9"/>
      <c r="R2" s="2"/>
      <c r="S2" s="2"/>
    </row>
    <row r="3" spans="1:23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3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444</v>
      </c>
      <c r="M4" s="575"/>
      <c r="N4" s="575"/>
      <c r="O4" s="587"/>
      <c r="P4" s="600"/>
      <c r="Q4" s="597"/>
      <c r="R4" s="597"/>
      <c r="S4" s="597"/>
      <c r="T4" s="597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46890.861917808215</v>
      </c>
      <c r="F5" s="187">
        <f t="shared" si="0"/>
        <v>1667774.5738812785</v>
      </c>
      <c r="G5" s="82">
        <f t="shared" si="0"/>
        <v>253365.46315068504</v>
      </c>
      <c r="H5" s="82">
        <f t="shared" si="0"/>
        <v>39078.420684931516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21620.740730593607</v>
      </c>
      <c r="N5" s="192">
        <f>+N6+N18+N44</f>
        <v>5224.1599999999989</v>
      </c>
      <c r="O5" s="42">
        <f>+O6+O18+O44</f>
        <v>194930.41532913203</v>
      </c>
      <c r="P5" s="42">
        <f>+P6+P18+P44</f>
        <v>0</v>
      </c>
      <c r="Q5" s="42">
        <f t="shared" ref="Q5:Q10" si="1">+SUM(E5:P5)</f>
        <v>2228884.6356944288</v>
      </c>
      <c r="R5" s="42">
        <f>+R6+R18+R44</f>
        <v>2044848.2896279155</v>
      </c>
      <c r="S5" s="42">
        <f>+S6+S18+S44</f>
        <v>184036.34606651257</v>
      </c>
      <c r="T5" s="44">
        <f>+T6+T18+T44</f>
        <v>38206.364254050153</v>
      </c>
      <c r="U5" s="71"/>
      <c r="V5" s="87"/>
      <c r="W5" s="135">
        <f>+W7+W18+W44</f>
        <v>1431560.5402094014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42">
        <f>+O7+O11</f>
        <v>0</v>
      </c>
      <c r="P6" s="42">
        <f>+P7+P11</f>
        <v>0</v>
      </c>
      <c r="Q6" s="42">
        <f t="shared" si="1"/>
        <v>0</v>
      </c>
      <c r="R6" s="42">
        <f>+R7+R11</f>
        <v>0</v>
      </c>
      <c r="S6" s="42">
        <f>+S7+S11</f>
        <v>0</v>
      </c>
      <c r="T6" s="44">
        <f>+T7+T11</f>
        <v>0</v>
      </c>
      <c r="V6" s="61"/>
      <c r="W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354">
        <f t="shared" si="4"/>
        <v>0</v>
      </c>
      <c r="P7" s="354">
        <f t="shared" si="4"/>
        <v>0</v>
      </c>
      <c r="Q7" s="43">
        <f t="shared" si="1"/>
        <v>0</v>
      </c>
      <c r="R7" s="354">
        <f t="shared" si="4"/>
        <v>0</v>
      </c>
      <c r="S7" s="354">
        <f t="shared" si="4"/>
        <v>0</v>
      </c>
      <c r="T7" s="240">
        <f t="shared" si="4"/>
        <v>0</v>
      </c>
      <c r="U7" s="71"/>
      <c r="V7" s="134"/>
      <c r="W7" s="105">
        <f>+SUM(W8:W17)</f>
        <v>0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64"/>
      <c r="Q8" s="24">
        <f t="shared" si="1"/>
        <v>0</v>
      </c>
      <c r="R8" s="127">
        <f t="shared" ref="R8:R53" si="5">+Q8/1.09</f>
        <v>0</v>
      </c>
      <c r="S8" s="24">
        <f t="shared" ref="S8:S17" si="6">+Q8-R8</f>
        <v>0</v>
      </c>
      <c r="T8" s="94">
        <f>+Q8/D8</f>
        <v>0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64"/>
      <c r="Q9" s="24">
        <f t="shared" si="1"/>
        <v>0</v>
      </c>
      <c r="R9" s="127">
        <f t="shared" si="5"/>
        <v>0</v>
      </c>
      <c r="S9" s="26">
        <f t="shared" si="6"/>
        <v>0</v>
      </c>
      <c r="T9" s="94">
        <f>+Q9/D9</f>
        <v>0</v>
      </c>
      <c r="U9" s="71"/>
      <c r="V9" s="61">
        <v>1.75</v>
      </c>
      <c r="W9" s="13">
        <f>+T9*V9</f>
        <v>0</v>
      </c>
    </row>
    <row r="10" spans="1:23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44"/>
      <c r="P10" s="350"/>
      <c r="Q10" s="24">
        <f t="shared" si="1"/>
        <v>0</v>
      </c>
      <c r="R10" s="26">
        <f t="shared" si="5"/>
        <v>0</v>
      </c>
      <c r="S10" s="26">
        <f t="shared" si="6"/>
        <v>0</v>
      </c>
      <c r="T10" s="39">
        <f>Q10/D10</f>
        <v>0</v>
      </c>
      <c r="U10" s="71"/>
      <c r="V10" s="107">
        <v>2.8</v>
      </c>
      <c r="W10" s="13">
        <f>+T10*V10</f>
        <v>0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" si="9">+SUM(N12:N17)</f>
        <v>0</v>
      </c>
      <c r="O11" s="101">
        <f t="shared" si="8"/>
        <v>0</v>
      </c>
      <c r="P11" s="101">
        <f t="shared" si="8"/>
        <v>0</v>
      </c>
      <c r="Q11" s="43">
        <f t="shared" si="8"/>
        <v>0</v>
      </c>
      <c r="R11" s="72">
        <f t="shared" si="8"/>
        <v>0</v>
      </c>
      <c r="S11" s="43">
        <f t="shared" si="8"/>
        <v>0</v>
      </c>
      <c r="T11" s="45">
        <f t="shared" si="8"/>
        <v>0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64"/>
      <c r="Q12" s="24">
        <f t="shared" ref="Q12:Q17" si="10">+SUM(E12:P12)</f>
        <v>0</v>
      </c>
      <c r="R12" s="127">
        <f t="shared" si="5"/>
        <v>0</v>
      </c>
      <c r="S12" s="5">
        <f t="shared" si="6"/>
        <v>0</v>
      </c>
      <c r="T12" s="94">
        <f t="shared" ref="T12:T17" si="11">+Q12/D12</f>
        <v>0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64"/>
      <c r="Q13" s="24">
        <f t="shared" si="10"/>
        <v>0</v>
      </c>
      <c r="R13" s="127">
        <f t="shared" si="5"/>
        <v>0</v>
      </c>
      <c r="S13" s="5">
        <f t="shared" si="6"/>
        <v>0</v>
      </c>
      <c r="T13" s="94">
        <f t="shared" si="11"/>
        <v>0</v>
      </c>
      <c r="U13" s="71"/>
      <c r="V13" s="107">
        <v>1.1000000000000001</v>
      </c>
      <c r="W13" s="13">
        <f t="shared" ref="W13:W14" si="12">+T13*V13</f>
        <v>0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64"/>
      <c r="Q14" s="24">
        <f t="shared" si="10"/>
        <v>0</v>
      </c>
      <c r="R14" s="127">
        <f t="shared" si="5"/>
        <v>0</v>
      </c>
      <c r="S14" s="5">
        <f t="shared" si="6"/>
        <v>0</v>
      </c>
      <c r="T14" s="94">
        <f t="shared" si="11"/>
        <v>0</v>
      </c>
      <c r="U14" s="71"/>
      <c r="V14" s="61">
        <v>1.76</v>
      </c>
      <c r="W14" s="13">
        <f t="shared" si="12"/>
        <v>0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64"/>
      <c r="Q15" s="24">
        <f t="shared" si="10"/>
        <v>0</v>
      </c>
      <c r="R15" s="127">
        <f t="shared" si="5"/>
        <v>0</v>
      </c>
      <c r="S15" s="5">
        <f t="shared" si="6"/>
        <v>0</v>
      </c>
      <c r="T15" s="94">
        <f t="shared" si="11"/>
        <v>0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64"/>
      <c r="Q16" s="24">
        <f t="shared" si="10"/>
        <v>0</v>
      </c>
      <c r="R16" s="127">
        <f t="shared" si="5"/>
        <v>0</v>
      </c>
      <c r="S16" s="5">
        <f t="shared" si="6"/>
        <v>0</v>
      </c>
      <c r="T16" s="94">
        <f t="shared" si="11"/>
        <v>0</v>
      </c>
      <c r="U16" s="71"/>
      <c r="V16" s="61">
        <v>1.6</v>
      </c>
      <c r="W16" s="13">
        <f t="shared" ref="W16:W17" si="13">+T16*V16</f>
        <v>0</v>
      </c>
    </row>
    <row r="17" spans="1:23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64"/>
      <c r="Q17" s="24">
        <f t="shared" si="10"/>
        <v>0</v>
      </c>
      <c r="R17" s="127">
        <f t="shared" si="5"/>
        <v>0</v>
      </c>
      <c r="S17" s="5">
        <f t="shared" si="6"/>
        <v>0</v>
      </c>
      <c r="T17" s="94">
        <f t="shared" si="11"/>
        <v>0</v>
      </c>
      <c r="U17" s="71"/>
      <c r="V17" s="61">
        <v>2.56</v>
      </c>
      <c r="W17" s="13">
        <f t="shared" si="13"/>
        <v>0</v>
      </c>
    </row>
    <row r="18" spans="1:23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46618.021917808219</v>
      </c>
      <c r="F18" s="231">
        <f t="shared" ref="F18:P18" si="14">+SUM(F19:F43)</f>
        <v>1653821.1138812786</v>
      </c>
      <c r="G18" s="231">
        <f t="shared" si="14"/>
        <v>251455.69315068505</v>
      </c>
      <c r="H18" s="231">
        <f t="shared" si="14"/>
        <v>38548.310684931515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21515.330730593607</v>
      </c>
      <c r="N18" s="231">
        <f t="shared" si="14"/>
        <v>5196.9999999999991</v>
      </c>
      <c r="O18" s="238">
        <f t="shared" si="14"/>
        <v>193561.14532913204</v>
      </c>
      <c r="P18" s="238">
        <f t="shared" si="14"/>
        <v>0</v>
      </c>
      <c r="Q18" s="42">
        <f>+SUM(Q19:Q43)</f>
        <v>2210716.6156944293</v>
      </c>
      <c r="R18" s="42">
        <f t="shared" ref="R18:T18" si="15">+SUM(R19:R43)</f>
        <v>2028180.3813710348</v>
      </c>
      <c r="S18" s="42">
        <f t="shared" si="15"/>
        <v>182536.23432339332</v>
      </c>
      <c r="T18" s="42">
        <f t="shared" si="15"/>
        <v>37483.964254050152</v>
      </c>
      <c r="U18" s="71"/>
      <c r="V18" s="61"/>
      <c r="W18" s="105">
        <f>+SUM(W19:W42)</f>
        <v>1422670.1602094015</v>
      </c>
    </row>
    <row r="19" spans="1:23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30693.333333333339</v>
      </c>
      <c r="F19" s="127">
        <v>1008569.9999999994</v>
      </c>
      <c r="G19" s="127">
        <v>148293.33333333346</v>
      </c>
      <c r="H19" s="127">
        <v>20290.000000000004</v>
      </c>
      <c r="I19" s="127"/>
      <c r="J19" s="127"/>
      <c r="K19" s="127"/>
      <c r="L19" s="127"/>
      <c r="M19" s="127">
        <v>13140</v>
      </c>
      <c r="N19" s="127">
        <v>3460</v>
      </c>
      <c r="O19" s="127">
        <v>103486.67009399414</v>
      </c>
      <c r="P19" s="164"/>
      <c r="Q19" s="24">
        <f t="shared" ref="Q19:Q43" si="16">+SUM(E19:P19)</f>
        <v>1327933.3367606604</v>
      </c>
      <c r="R19" s="127">
        <f t="shared" si="5"/>
        <v>1218287.4649180369</v>
      </c>
      <c r="S19" s="24">
        <f>+Q19-R19</f>
        <v>109645.87184262346</v>
      </c>
      <c r="T19" s="94">
        <f t="shared" ref="T19:T43" si="17">+Q19/D19</f>
        <v>13279.333367606603</v>
      </c>
      <c r="U19" s="71"/>
      <c r="V19" s="61"/>
      <c r="W19" s="106"/>
    </row>
    <row r="20" spans="1:23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5553.3333333333321</v>
      </c>
      <c r="F20" s="127">
        <v>309203.33333333349</v>
      </c>
      <c r="G20" s="127">
        <v>48338.333333333343</v>
      </c>
      <c r="H20" s="127">
        <v>7926.6666666666652</v>
      </c>
      <c r="I20" s="127"/>
      <c r="J20" s="127"/>
      <c r="K20" s="127"/>
      <c r="L20" s="127"/>
      <c r="M20" s="127">
        <v>5208.333333333333</v>
      </c>
      <c r="N20" s="127">
        <v>39.999999999999993</v>
      </c>
      <c r="O20" s="127">
        <v>5528.3335015869143</v>
      </c>
      <c r="P20" s="164"/>
      <c r="Q20" s="24">
        <f t="shared" si="16"/>
        <v>381798.33350158704</v>
      </c>
      <c r="R20" s="127">
        <f t="shared" si="5"/>
        <v>350273.70046017156</v>
      </c>
      <c r="S20" s="5">
        <f t="shared" ref="S20:S43" si="18">+Q20-R20</f>
        <v>31524.63304141548</v>
      </c>
      <c r="T20" s="94">
        <f t="shared" si="17"/>
        <v>7635.9666700317412</v>
      </c>
      <c r="U20" s="71"/>
      <c r="V20" s="61">
        <v>50</v>
      </c>
      <c r="W20" s="13">
        <f t="shared" ref="W20:W21" si="19">+T20*V20</f>
        <v>381798.33350158704</v>
      </c>
    </row>
    <row r="21" spans="1:23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4886</v>
      </c>
      <c r="F21" s="127">
        <v>183152.67</v>
      </c>
      <c r="G21" s="127">
        <v>30824.67</v>
      </c>
      <c r="H21" s="127">
        <v>2854</v>
      </c>
      <c r="I21" s="13"/>
      <c r="J21" s="127"/>
      <c r="K21" s="127"/>
      <c r="L21" s="127"/>
      <c r="M21" s="127">
        <v>1664.67</v>
      </c>
      <c r="N21" s="127">
        <v>1232.6666666666665</v>
      </c>
      <c r="O21" s="127">
        <v>21328</v>
      </c>
      <c r="P21" s="164"/>
      <c r="Q21" s="24">
        <f t="shared" si="16"/>
        <v>245942.6766666667</v>
      </c>
      <c r="R21" s="127">
        <f t="shared" si="5"/>
        <v>225635.48318042816</v>
      </c>
      <c r="S21" s="5">
        <f t="shared" si="18"/>
        <v>20307.193486238539</v>
      </c>
      <c r="T21" s="94">
        <f t="shared" si="17"/>
        <v>12297.133833333335</v>
      </c>
      <c r="U21" s="71"/>
      <c r="V21" s="61">
        <v>80</v>
      </c>
      <c r="W21" s="13">
        <f t="shared" si="19"/>
        <v>983770.70666666678</v>
      </c>
    </row>
    <row r="22" spans="1:23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4428</v>
      </c>
      <c r="F22" s="127">
        <v>120720</v>
      </c>
      <c r="G22" s="127">
        <v>20184</v>
      </c>
      <c r="H22" s="127">
        <v>3351</v>
      </c>
      <c r="I22" s="96"/>
      <c r="J22" s="127"/>
      <c r="K22" s="127"/>
      <c r="L22" s="127"/>
      <c r="M22" s="127">
        <v>1296</v>
      </c>
      <c r="N22" s="127">
        <v>423</v>
      </c>
      <c r="O22" s="127">
        <v>41877</v>
      </c>
      <c r="P22" s="164"/>
      <c r="Q22" s="24">
        <f t="shared" si="16"/>
        <v>192279</v>
      </c>
      <c r="R22" s="127">
        <f t="shared" si="5"/>
        <v>176402.75229357797</v>
      </c>
      <c r="S22" s="5">
        <f t="shared" si="18"/>
        <v>15876.247706422029</v>
      </c>
      <c r="T22" s="94">
        <f t="shared" si="17"/>
        <v>2136.4333333333334</v>
      </c>
      <c r="U22" s="71"/>
      <c r="V22" s="61"/>
      <c r="W22" s="13"/>
    </row>
    <row r="23" spans="1:23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v>147</v>
      </c>
      <c r="F23" s="127">
        <v>7599</v>
      </c>
      <c r="G23" s="127">
        <v>1344</v>
      </c>
      <c r="H23" s="127">
        <v>399</v>
      </c>
      <c r="I23" s="127"/>
      <c r="J23" s="127"/>
      <c r="K23" s="127"/>
      <c r="L23" s="127"/>
      <c r="M23" s="127">
        <v>22.5</v>
      </c>
      <c r="N23" s="127"/>
      <c r="O23" s="127">
        <v>1891.5</v>
      </c>
      <c r="P23" s="164"/>
      <c r="Q23" s="24">
        <f t="shared" si="16"/>
        <v>11403</v>
      </c>
      <c r="R23" s="127">
        <f t="shared" si="5"/>
        <v>10461.467889908256</v>
      </c>
      <c r="S23" s="5">
        <f t="shared" si="18"/>
        <v>941.53211009174447</v>
      </c>
      <c r="T23" s="94">
        <f t="shared" si="17"/>
        <v>253.4</v>
      </c>
      <c r="U23" s="71"/>
      <c r="V23" s="61">
        <v>45</v>
      </c>
      <c r="W23" s="13">
        <f t="shared" ref="W23:W24" si="20">+T23*V23</f>
        <v>11403</v>
      </c>
    </row>
    <row r="24" spans="1:23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55.2</v>
      </c>
      <c r="F24" s="127">
        <v>609.6</v>
      </c>
      <c r="G24" s="127">
        <v>97.2</v>
      </c>
      <c r="H24" s="127">
        <v>17.399999999999999</v>
      </c>
      <c r="I24" s="127"/>
      <c r="J24" s="127"/>
      <c r="K24" s="127"/>
      <c r="L24" s="127"/>
      <c r="M24" s="127">
        <v>13.2</v>
      </c>
      <c r="N24" s="127"/>
      <c r="O24" s="127">
        <v>321.60000000000002</v>
      </c>
      <c r="P24" s="164"/>
      <c r="Q24" s="24">
        <f t="shared" si="16"/>
        <v>1114.2000000000003</v>
      </c>
      <c r="R24" s="127">
        <f t="shared" si="5"/>
        <v>1022.2018348623855</v>
      </c>
      <c r="S24" s="5">
        <f t="shared" si="18"/>
        <v>91.998165137614819</v>
      </c>
      <c r="T24" s="94">
        <f t="shared" si="17"/>
        <v>61.900000000000013</v>
      </c>
      <c r="U24" s="71"/>
      <c r="V24" s="61">
        <v>72</v>
      </c>
      <c r="W24" s="13">
        <f t="shared" si="20"/>
        <v>4456.8000000000011</v>
      </c>
    </row>
    <row r="25" spans="1:23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103.33333333333331</v>
      </c>
      <c r="F25" s="127">
        <v>2823.333333333333</v>
      </c>
      <c r="G25" s="127">
        <v>103.33333333333331</v>
      </c>
      <c r="H25" s="127">
        <v>203.33</v>
      </c>
      <c r="I25" s="127"/>
      <c r="J25" s="127"/>
      <c r="K25" s="127"/>
      <c r="L25" s="127"/>
      <c r="M25" s="127">
        <v>103.33333333333331</v>
      </c>
      <c r="N25" s="127"/>
      <c r="O25" s="127">
        <v>4646.6669357299807</v>
      </c>
      <c r="P25" s="164"/>
      <c r="Q25" s="24">
        <f t="shared" si="16"/>
        <v>7983.3302690633136</v>
      </c>
      <c r="R25" s="127">
        <f t="shared" si="5"/>
        <v>7324.1562101498284</v>
      </c>
      <c r="S25" s="5">
        <f t="shared" si="18"/>
        <v>659.17405891348517</v>
      </c>
      <c r="T25" s="94">
        <f t="shared" si="17"/>
        <v>26.611100896877712</v>
      </c>
      <c r="U25" s="71"/>
      <c r="V25" s="61"/>
      <c r="W25" s="13"/>
    </row>
    <row r="26" spans="1:23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v>0</v>
      </c>
      <c r="F26" s="127">
        <v>3606.6666666666652</v>
      </c>
      <c r="G26" s="127">
        <v>119.99999999999999</v>
      </c>
      <c r="H26" s="127">
        <v>310</v>
      </c>
      <c r="I26" s="127"/>
      <c r="J26" s="127"/>
      <c r="K26" s="127"/>
      <c r="L26" s="127"/>
      <c r="M26" s="127"/>
      <c r="N26" s="127"/>
      <c r="O26" s="127">
        <v>623.33336959838869</v>
      </c>
      <c r="P26" s="164"/>
      <c r="Q26" s="24">
        <f t="shared" si="16"/>
        <v>4660.0000362650535</v>
      </c>
      <c r="R26" s="127">
        <f t="shared" si="5"/>
        <v>4275.2293910688559</v>
      </c>
      <c r="S26" s="5">
        <f t="shared" si="18"/>
        <v>384.77064519619762</v>
      </c>
      <c r="T26" s="94">
        <f t="shared" si="17"/>
        <v>31.066666908433689</v>
      </c>
      <c r="U26" s="71"/>
      <c r="V26" s="61">
        <v>150</v>
      </c>
      <c r="W26" s="13">
        <f t="shared" ref="W26:W42" si="21">+T26*V26</f>
        <v>4660.0000362650535</v>
      </c>
    </row>
    <row r="27" spans="1:23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82.67</v>
      </c>
      <c r="F27" s="127">
        <v>3417.33</v>
      </c>
      <c r="G27" s="127">
        <v>374.6666666666668</v>
      </c>
      <c r="H27" s="127">
        <f>20.6666666666667+47.33+20.67</f>
        <v>88.6666666666667</v>
      </c>
      <c r="I27" s="127"/>
      <c r="J27" s="127"/>
      <c r="K27" s="127"/>
      <c r="L27" s="127"/>
      <c r="M27" s="127">
        <v>18.600000000000001</v>
      </c>
      <c r="N27" s="127">
        <v>41.333333333333336</v>
      </c>
      <c r="O27" s="127">
        <v>3016.67</v>
      </c>
      <c r="P27" s="164"/>
      <c r="Q27" s="24">
        <f t="shared" si="16"/>
        <v>7039.9366666666665</v>
      </c>
      <c r="R27" s="127">
        <f t="shared" si="5"/>
        <v>6458.6574923547396</v>
      </c>
      <c r="S27" s="5">
        <f t="shared" si="18"/>
        <v>581.27917431192691</v>
      </c>
      <c r="T27" s="94">
        <f t="shared" si="17"/>
        <v>117.33227777777778</v>
      </c>
      <c r="U27" s="71"/>
      <c r="V27" s="61">
        <v>240</v>
      </c>
      <c r="W27" s="13">
        <f t="shared" si="21"/>
        <v>28159.746666666666</v>
      </c>
    </row>
    <row r="28" spans="1:23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597</v>
      </c>
      <c r="G28" s="127"/>
      <c r="H28" s="127">
        <f>186+33</f>
        <v>219</v>
      </c>
      <c r="I28" s="127"/>
      <c r="J28" s="127"/>
      <c r="K28" s="127"/>
      <c r="L28" s="127"/>
      <c r="M28" s="127"/>
      <c r="N28" s="127"/>
      <c r="O28" s="127">
        <v>8394</v>
      </c>
      <c r="P28" s="164"/>
      <c r="Q28" s="24">
        <f t="shared" si="16"/>
        <v>9210</v>
      </c>
      <c r="R28" s="127">
        <f t="shared" si="5"/>
        <v>8449.5412844036691</v>
      </c>
      <c r="S28" s="5">
        <f t="shared" si="18"/>
        <v>760.45871559633088</v>
      </c>
      <c r="T28" s="94">
        <f t="shared" si="17"/>
        <v>34.111111111111114</v>
      </c>
      <c r="U28" s="71"/>
      <c r="V28" s="61"/>
      <c r="W28" s="13"/>
    </row>
    <row r="29" spans="1:23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93</v>
      </c>
      <c r="G29" s="127"/>
      <c r="H29" s="127">
        <v>34.5</v>
      </c>
      <c r="I29" s="127"/>
      <c r="J29" s="127"/>
      <c r="K29" s="127"/>
      <c r="L29" s="127"/>
      <c r="M29" s="127"/>
      <c r="N29" s="127"/>
      <c r="O29" s="127"/>
      <c r="P29" s="164"/>
      <c r="Q29" s="24">
        <f t="shared" si="16"/>
        <v>127.5</v>
      </c>
      <c r="R29" s="127">
        <f t="shared" si="5"/>
        <v>116.97247706422017</v>
      </c>
      <c r="S29" s="5">
        <f t="shared" si="18"/>
        <v>10.527522935779828</v>
      </c>
      <c r="T29" s="94">
        <f t="shared" si="17"/>
        <v>0.94444444444444442</v>
      </c>
      <c r="U29" s="71"/>
      <c r="V29" s="61">
        <v>135</v>
      </c>
      <c r="W29" s="13">
        <f t="shared" si="21"/>
        <v>127.5</v>
      </c>
    </row>
    <row r="30" spans="1:23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/>
      <c r="F30" s="127">
        <v>0</v>
      </c>
      <c r="G30" s="127"/>
      <c r="H30" s="127">
        <v>0</v>
      </c>
      <c r="I30" s="127"/>
      <c r="J30" s="127"/>
      <c r="K30" s="127"/>
      <c r="L30" s="127"/>
      <c r="M30" s="127"/>
      <c r="N30" s="127"/>
      <c r="O30" s="127">
        <v>70.2</v>
      </c>
      <c r="P30" s="164"/>
      <c r="Q30" s="24">
        <f t="shared" si="16"/>
        <v>70.2</v>
      </c>
      <c r="R30" s="127">
        <f t="shared" si="5"/>
        <v>64.403669724770637</v>
      </c>
      <c r="S30" s="5">
        <f t="shared" si="18"/>
        <v>5.7963302752293657</v>
      </c>
      <c r="T30" s="94">
        <f t="shared" si="17"/>
        <v>1.3</v>
      </c>
      <c r="U30" s="71"/>
      <c r="V30" s="61">
        <v>216</v>
      </c>
      <c r="W30" s="13">
        <f t="shared" si="21"/>
        <v>280.8</v>
      </c>
    </row>
    <row r="31" spans="1:23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86.666666666666657</v>
      </c>
      <c r="F31" s="127">
        <v>306.66666666666663</v>
      </c>
      <c r="G31" s="127"/>
      <c r="H31" s="127">
        <v>103.33</v>
      </c>
      <c r="I31" s="127"/>
      <c r="J31" s="127"/>
      <c r="K31" s="127"/>
      <c r="L31" s="127"/>
      <c r="M31" s="127"/>
      <c r="N31" s="127"/>
      <c r="O31" s="127"/>
      <c r="P31" s="164"/>
      <c r="Q31" s="24">
        <f t="shared" si="16"/>
        <v>496.66333333333324</v>
      </c>
      <c r="R31" s="127">
        <f t="shared" si="5"/>
        <v>455.65443425076438</v>
      </c>
      <c r="S31" s="5">
        <f t="shared" si="18"/>
        <v>41.00889908256886</v>
      </c>
      <c r="T31" s="94">
        <f t="shared" si="17"/>
        <v>0.82777222222222202</v>
      </c>
      <c r="U31" s="71"/>
      <c r="V31" s="61"/>
      <c r="W31" s="13"/>
    </row>
    <row r="32" spans="1:23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461.66666666666657</v>
      </c>
      <c r="G32" s="127">
        <v>154.99999999999997</v>
      </c>
      <c r="H32" s="127">
        <f>30+51.67+51.67+155</f>
        <v>288.34000000000003</v>
      </c>
      <c r="I32" s="127"/>
      <c r="J32" s="127"/>
      <c r="K32" s="127"/>
      <c r="L32" s="127"/>
      <c r="M32" s="127"/>
      <c r="N32" s="127"/>
      <c r="O32" s="127">
        <v>125.0000048828125</v>
      </c>
      <c r="P32" s="164"/>
      <c r="Q32" s="24">
        <f t="shared" si="16"/>
        <v>1030.0066715494791</v>
      </c>
      <c r="R32" s="127">
        <f t="shared" si="5"/>
        <v>944.96024912796236</v>
      </c>
      <c r="S32" s="5">
        <f t="shared" si="18"/>
        <v>85.046422421516695</v>
      </c>
      <c r="T32" s="94">
        <f t="shared" si="17"/>
        <v>3.4333555718315969</v>
      </c>
      <c r="U32" s="71"/>
      <c r="V32" s="61">
        <v>300</v>
      </c>
      <c r="W32" s="13">
        <f t="shared" si="21"/>
        <v>1030.0066715494791</v>
      </c>
    </row>
    <row r="33" spans="1:23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41.33</v>
      </c>
      <c r="F33" s="127">
        <v>487.33</v>
      </c>
      <c r="G33" s="127">
        <v>21.333333333333336</v>
      </c>
      <c r="H33" s="127">
        <v>0</v>
      </c>
      <c r="I33" s="127"/>
      <c r="J33" s="127"/>
      <c r="K33" s="127"/>
      <c r="L33" s="127"/>
      <c r="M33" s="127">
        <v>20.666666666666671</v>
      </c>
      <c r="N33" s="127"/>
      <c r="O33" s="127">
        <v>503.33</v>
      </c>
      <c r="P33" s="164"/>
      <c r="Q33" s="24">
        <f t="shared" si="16"/>
        <v>1073.99</v>
      </c>
      <c r="R33" s="127">
        <f t="shared" si="5"/>
        <v>985.31192660550448</v>
      </c>
      <c r="S33" s="5">
        <f t="shared" si="18"/>
        <v>88.678073394495527</v>
      </c>
      <c r="T33" s="94">
        <f t="shared" si="17"/>
        <v>8.9499166666666667</v>
      </c>
      <c r="U33" s="71"/>
      <c r="V33" s="61">
        <v>480</v>
      </c>
      <c r="W33" s="13">
        <f t="shared" si="21"/>
        <v>4295.96</v>
      </c>
    </row>
    <row r="34" spans="1:23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>
        <v>0</v>
      </c>
      <c r="I34" s="127"/>
      <c r="J34" s="127"/>
      <c r="K34" s="127"/>
      <c r="L34" s="127"/>
      <c r="M34" s="127"/>
      <c r="N34" s="127"/>
      <c r="O34" s="127">
        <v>648</v>
      </c>
      <c r="P34" s="164"/>
      <c r="Q34" s="24">
        <f t="shared" si="16"/>
        <v>648</v>
      </c>
      <c r="R34" s="127">
        <f t="shared" si="5"/>
        <v>594.49541284403665</v>
      </c>
      <c r="S34" s="5">
        <f t="shared" si="18"/>
        <v>53.50458715596335</v>
      </c>
      <c r="T34" s="94">
        <f t="shared" si="17"/>
        <v>1.2</v>
      </c>
      <c r="U34" s="71"/>
      <c r="V34" s="61"/>
      <c r="W34" s="13"/>
    </row>
    <row r="35" spans="1:23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>
        <v>0</v>
      </c>
      <c r="I35" s="127"/>
      <c r="J35" s="127"/>
      <c r="K35" s="127"/>
      <c r="L35" s="127"/>
      <c r="M35" s="127"/>
      <c r="N35" s="127"/>
      <c r="O35" s="127"/>
      <c r="P35" s="164"/>
      <c r="Q35" s="24">
        <f t="shared" si="16"/>
        <v>0</v>
      </c>
      <c r="R35" s="127">
        <f t="shared" si="5"/>
        <v>0</v>
      </c>
      <c r="S35" s="5">
        <f t="shared" si="18"/>
        <v>0</v>
      </c>
      <c r="T35" s="94">
        <f t="shared" si="17"/>
        <v>0</v>
      </c>
      <c r="U35" s="71"/>
      <c r="V35" s="61">
        <v>270</v>
      </c>
      <c r="W35" s="13">
        <f t="shared" si="21"/>
        <v>0</v>
      </c>
    </row>
    <row r="36" spans="1:23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/>
      <c r="F36" s="127"/>
      <c r="G36" s="127"/>
      <c r="H36" s="127">
        <v>0</v>
      </c>
      <c r="I36" s="127"/>
      <c r="J36" s="127"/>
      <c r="K36" s="127"/>
      <c r="L36" s="127"/>
      <c r="M36" s="127"/>
      <c r="N36" s="127"/>
      <c r="O36" s="127">
        <v>18.600000000000001</v>
      </c>
      <c r="P36" s="164"/>
      <c r="Q36" s="24">
        <f t="shared" si="16"/>
        <v>18.600000000000001</v>
      </c>
      <c r="R36" s="127">
        <f t="shared" si="5"/>
        <v>17.064220183486238</v>
      </c>
      <c r="S36" s="5">
        <f t="shared" si="18"/>
        <v>1.5357798165137631</v>
      </c>
      <c r="T36" s="94">
        <f t="shared" si="17"/>
        <v>0.17222222222222225</v>
      </c>
      <c r="U36" s="71"/>
      <c r="V36" s="61">
        <v>432</v>
      </c>
      <c r="W36" s="13">
        <f t="shared" si="21"/>
        <v>74.400000000000006</v>
      </c>
    </row>
    <row r="37" spans="1:23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309.99999999999994</v>
      </c>
      <c r="F37" s="127"/>
      <c r="G37" s="127"/>
      <c r="H37" s="127">
        <v>206.67</v>
      </c>
      <c r="I37" s="127"/>
      <c r="J37" s="127"/>
      <c r="K37" s="127"/>
      <c r="L37" s="127"/>
      <c r="M37" s="127"/>
      <c r="N37" s="127"/>
      <c r="O37" s="127">
        <v>103.33333984375</v>
      </c>
      <c r="P37" s="164"/>
      <c r="Q37" s="24">
        <f t="shared" si="16"/>
        <v>620.00333984374993</v>
      </c>
      <c r="R37" s="127">
        <f t="shared" si="5"/>
        <v>568.81040352637604</v>
      </c>
      <c r="S37" s="5">
        <f t="shared" si="18"/>
        <v>51.192936317373892</v>
      </c>
      <c r="T37" s="94">
        <f t="shared" si="17"/>
        <v>0.68889259982638884</v>
      </c>
      <c r="U37" s="71"/>
      <c r="V37" s="61"/>
      <c r="W37" s="13"/>
    </row>
    <row r="38" spans="1:23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51.666666666666657</v>
      </c>
      <c r="F38" s="127">
        <v>51.666666666666657</v>
      </c>
      <c r="G38" s="127"/>
      <c r="H38" s="127">
        <v>0</v>
      </c>
      <c r="I38" s="127"/>
      <c r="J38" s="127"/>
      <c r="K38" s="127"/>
      <c r="L38" s="127"/>
      <c r="M38" s="127"/>
      <c r="N38" s="127"/>
      <c r="O38" s="127"/>
      <c r="P38" s="164"/>
      <c r="Q38" s="24">
        <f t="shared" si="16"/>
        <v>103.33333333333331</v>
      </c>
      <c r="R38" s="127">
        <f t="shared" si="5"/>
        <v>94.801223241590193</v>
      </c>
      <c r="S38" s="5">
        <f t="shared" si="18"/>
        <v>8.532110091743121</v>
      </c>
      <c r="T38" s="94">
        <f t="shared" si="17"/>
        <v>0.2296296296296296</v>
      </c>
      <c r="U38" s="71"/>
      <c r="V38" s="61">
        <v>450</v>
      </c>
      <c r="W38" s="13">
        <f t="shared" si="21"/>
        <v>103.33333333333331</v>
      </c>
    </row>
    <row r="39" spans="1:23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20.666666666666671</v>
      </c>
      <c r="F39" s="127">
        <v>181.33</v>
      </c>
      <c r="G39" s="127">
        <v>41.33</v>
      </c>
      <c r="H39" s="127">
        <f>20.6666666666667+20.67+21.33+20.67</f>
        <v>83.336666666666702</v>
      </c>
      <c r="I39" s="127"/>
      <c r="J39" s="127"/>
      <c r="K39" s="127"/>
      <c r="L39" s="127"/>
      <c r="M39" s="127"/>
      <c r="N39" s="127"/>
      <c r="O39" s="127">
        <v>253.33</v>
      </c>
      <c r="P39" s="164"/>
      <c r="Q39" s="24">
        <f t="shared" si="16"/>
        <v>579.99333333333334</v>
      </c>
      <c r="R39" s="127">
        <f t="shared" si="5"/>
        <v>532.10397553516816</v>
      </c>
      <c r="S39" s="5">
        <f t="shared" si="18"/>
        <v>47.889357798165179</v>
      </c>
      <c r="T39" s="94">
        <f t="shared" si="17"/>
        <v>3.222185185185185</v>
      </c>
      <c r="U39" s="71"/>
      <c r="V39" s="61">
        <v>720</v>
      </c>
      <c r="W39" s="13">
        <f t="shared" si="21"/>
        <v>2319.9733333333334</v>
      </c>
    </row>
    <row r="40" spans="1:23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>
        <v>0</v>
      </c>
      <c r="I40" s="127"/>
      <c r="J40" s="127"/>
      <c r="K40" s="127"/>
      <c r="L40" s="127"/>
      <c r="M40" s="127"/>
      <c r="N40" s="127"/>
      <c r="O40" s="127">
        <v>651</v>
      </c>
      <c r="P40" s="164"/>
      <c r="Q40" s="24">
        <f t="shared" si="16"/>
        <v>651</v>
      </c>
      <c r="R40" s="127">
        <f t="shared" si="5"/>
        <v>597.24770642201827</v>
      </c>
      <c r="S40" s="5">
        <f t="shared" si="18"/>
        <v>53.752293577981732</v>
      </c>
      <c r="T40" s="94">
        <f t="shared" si="17"/>
        <v>0.8037037037037037</v>
      </c>
      <c r="U40" s="71"/>
      <c r="V40" s="61"/>
      <c r="W40" s="13"/>
    </row>
    <row r="41" spans="1:23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>
        <v>0</v>
      </c>
      <c r="I41" s="127"/>
      <c r="J41" s="127"/>
      <c r="K41" s="127"/>
      <c r="L41" s="127"/>
      <c r="M41" s="127"/>
      <c r="N41" s="127"/>
      <c r="O41" s="127"/>
      <c r="P41" s="164"/>
      <c r="Q41" s="24">
        <f t="shared" si="16"/>
        <v>0</v>
      </c>
      <c r="R41" s="127">
        <f t="shared" si="5"/>
        <v>0</v>
      </c>
      <c r="S41" s="5">
        <f t="shared" si="18"/>
        <v>0</v>
      </c>
      <c r="T41" s="94">
        <f t="shared" si="17"/>
        <v>0</v>
      </c>
      <c r="U41" s="71"/>
      <c r="V41" s="61">
        <v>405</v>
      </c>
      <c r="W41" s="13">
        <f t="shared" si="21"/>
        <v>0</v>
      </c>
    </row>
    <row r="42" spans="1:23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/>
      <c r="G42" s="221"/>
      <c r="H42" s="221">
        <v>0</v>
      </c>
      <c r="I42" s="221"/>
      <c r="J42" s="221"/>
      <c r="K42" s="221"/>
      <c r="L42" s="221"/>
      <c r="M42" s="221"/>
      <c r="N42" s="221"/>
      <c r="O42" s="221">
        <v>47.4</v>
      </c>
      <c r="P42" s="351"/>
      <c r="Q42" s="24">
        <f t="shared" si="16"/>
        <v>47.4</v>
      </c>
      <c r="R42" s="221">
        <f t="shared" si="5"/>
        <v>43.486238532110086</v>
      </c>
      <c r="S42" s="26">
        <f t="shared" si="18"/>
        <v>3.9137614678899126</v>
      </c>
      <c r="T42" s="244">
        <f t="shared" si="17"/>
        <v>0.29259259259259257</v>
      </c>
      <c r="U42" s="71"/>
      <c r="V42" s="61">
        <v>648</v>
      </c>
      <c r="W42" s="13">
        <f t="shared" si="21"/>
        <v>189.6</v>
      </c>
    </row>
    <row r="43" spans="1:23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158.82191780821924</v>
      </c>
      <c r="F43" s="124">
        <v>11940.520547945076</v>
      </c>
      <c r="G43" s="124">
        <v>1558.4931506849284</v>
      </c>
      <c r="H43" s="124">
        <f>61.150684931507+1417.51+270.6+169.01+114.66+73.04+67.1</f>
        <v>2173.070684931507</v>
      </c>
      <c r="I43" s="124"/>
      <c r="J43" s="124"/>
      <c r="K43" s="124"/>
      <c r="L43" s="124"/>
      <c r="M43" s="124">
        <v>28.027397260273968</v>
      </c>
      <c r="N43" s="124"/>
      <c r="O43" s="124">
        <v>27.178083496093748</v>
      </c>
      <c r="P43" s="352"/>
      <c r="Q43" s="24">
        <f t="shared" si="16"/>
        <v>15886.111782126098</v>
      </c>
      <c r="R43" s="124">
        <f t="shared" si="5"/>
        <v>14574.414479014767</v>
      </c>
      <c r="S43" s="6">
        <f t="shared" si="18"/>
        <v>1311.6973031113303</v>
      </c>
      <c r="T43" s="22">
        <f t="shared" si="17"/>
        <v>1588.6111782126097</v>
      </c>
      <c r="U43" s="71"/>
      <c r="V43" s="61"/>
      <c r="W43" s="13"/>
    </row>
    <row r="44" spans="1:23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272.83999999999997</v>
      </c>
      <c r="F44" s="82">
        <f>+SUM(F45:F53)</f>
        <v>13953.46</v>
      </c>
      <c r="G44" s="82">
        <f t="shared" ref="G44:T44" si="22">+SUM(G45:G53)</f>
        <v>1909.7699999999998</v>
      </c>
      <c r="H44" s="82">
        <f t="shared" si="22"/>
        <v>530.11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105.41</v>
      </c>
      <c r="N44" s="100">
        <f t="shared" si="22"/>
        <v>27.16</v>
      </c>
      <c r="O44" s="100">
        <f t="shared" si="22"/>
        <v>1369.2700000000002</v>
      </c>
      <c r="P44" s="100">
        <f t="shared" si="22"/>
        <v>0</v>
      </c>
      <c r="Q44" s="42">
        <f t="shared" si="22"/>
        <v>18168.02</v>
      </c>
      <c r="R44" s="82">
        <f t="shared" si="22"/>
        <v>16667.908256880735</v>
      </c>
      <c r="S44" s="77">
        <f t="shared" si="22"/>
        <v>1500.1117431192667</v>
      </c>
      <c r="T44" s="44">
        <f t="shared" si="22"/>
        <v>722.40000000000009</v>
      </c>
      <c r="U44" s="71"/>
      <c r="V44" s="61"/>
      <c r="W44" s="105">
        <f>+SUM(W45:W61)</f>
        <v>8890.380000000001</v>
      </c>
    </row>
    <row r="45" spans="1:23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64"/>
      <c r="Q45" s="24">
        <f t="shared" ref="Q45:Q53" si="23">+SUM(E45:P45)</f>
        <v>0</v>
      </c>
      <c r="R45" s="127">
        <f t="shared" si="5"/>
        <v>0</v>
      </c>
      <c r="S45" s="24">
        <f t="shared" ref="S45:S53" si="24">+Q45-R45</f>
        <v>0</v>
      </c>
      <c r="T45" s="94">
        <f t="shared" ref="T45:T53" si="25">+Q45/D45</f>
        <v>0</v>
      </c>
      <c r="U45" s="71"/>
      <c r="V45" s="61"/>
      <c r="W45" s="13"/>
    </row>
    <row r="46" spans="1:23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64"/>
      <c r="Q46" s="24">
        <f t="shared" si="23"/>
        <v>0</v>
      </c>
      <c r="R46" s="127">
        <f t="shared" si="5"/>
        <v>0</v>
      </c>
      <c r="S46" s="5">
        <f t="shared" si="24"/>
        <v>0</v>
      </c>
      <c r="T46" s="94">
        <f t="shared" si="25"/>
        <v>0</v>
      </c>
      <c r="U46" s="71"/>
      <c r="V46" s="61">
        <v>6</v>
      </c>
      <c r="W46" s="13">
        <f t="shared" ref="W46:W47" si="26">+T46*V46</f>
        <v>0</v>
      </c>
    </row>
    <row r="47" spans="1:23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64"/>
      <c r="Q47" s="24">
        <f t="shared" si="23"/>
        <v>0</v>
      </c>
      <c r="R47" s="127">
        <f t="shared" si="5"/>
        <v>0</v>
      </c>
      <c r="S47" s="5">
        <f t="shared" si="24"/>
        <v>0</v>
      </c>
      <c r="T47" s="94">
        <f t="shared" si="25"/>
        <v>0</v>
      </c>
      <c r="U47" s="71"/>
      <c r="V47" s="61">
        <v>9.6</v>
      </c>
      <c r="W47" s="13">
        <f t="shared" si="26"/>
        <v>0</v>
      </c>
    </row>
    <row r="48" spans="1:23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14</v>
      </c>
      <c r="F48" s="127">
        <v>525</v>
      </c>
      <c r="G48" s="127">
        <v>98</v>
      </c>
      <c r="H48" s="127">
        <v>28</v>
      </c>
      <c r="I48" s="127"/>
      <c r="J48" s="127"/>
      <c r="K48" s="127"/>
      <c r="L48" s="127"/>
      <c r="M48" s="127">
        <v>14</v>
      </c>
      <c r="N48" s="127"/>
      <c r="O48" s="127">
        <v>14</v>
      </c>
      <c r="P48" s="164"/>
      <c r="Q48" s="24">
        <f t="shared" si="23"/>
        <v>693</v>
      </c>
      <c r="R48" s="127">
        <f t="shared" si="5"/>
        <v>635.77981651376138</v>
      </c>
      <c r="S48" s="5">
        <f t="shared" si="24"/>
        <v>57.220183486238625</v>
      </c>
      <c r="T48" s="94">
        <f t="shared" si="25"/>
        <v>33</v>
      </c>
      <c r="U48" s="71"/>
      <c r="V48" s="61"/>
      <c r="W48" s="13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49</v>
      </c>
      <c r="G49" s="127">
        <v>0</v>
      </c>
      <c r="H49" s="127">
        <v>0</v>
      </c>
      <c r="I49" s="127"/>
      <c r="J49" s="127"/>
      <c r="K49" s="127"/>
      <c r="L49" s="127"/>
      <c r="M49" s="127">
        <v>3.5</v>
      </c>
      <c r="N49" s="127"/>
      <c r="O49" s="127"/>
      <c r="P49" s="164"/>
      <c r="Q49" s="24">
        <f t="shared" si="23"/>
        <v>52.5</v>
      </c>
      <c r="R49" s="127">
        <f t="shared" si="5"/>
        <v>48.165137614678898</v>
      </c>
      <c r="S49" s="5">
        <f t="shared" si="24"/>
        <v>4.3348623853211024</v>
      </c>
      <c r="T49" s="94">
        <f t="shared" si="25"/>
        <v>5</v>
      </c>
      <c r="U49" s="71"/>
      <c r="V49" s="61">
        <v>10.5</v>
      </c>
      <c r="W49" s="13">
        <f t="shared" ref="W49:W50" si="27">+T49*V49</f>
        <v>52.5</v>
      </c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11.2</v>
      </c>
      <c r="F50" s="127">
        <v>289.8</v>
      </c>
      <c r="G50" s="127">
        <v>33.6</v>
      </c>
      <c r="H50" s="127">
        <v>5.6000000000000005</v>
      </c>
      <c r="I50" s="127"/>
      <c r="J50" s="127"/>
      <c r="K50" s="127"/>
      <c r="L50" s="127"/>
      <c r="M50" s="127">
        <v>1.4</v>
      </c>
      <c r="N50" s="127">
        <v>4.2</v>
      </c>
      <c r="O50" s="127">
        <v>32.200000000000003</v>
      </c>
      <c r="P50" s="164"/>
      <c r="Q50" s="24">
        <f t="shared" si="23"/>
        <v>378</v>
      </c>
      <c r="R50" s="127">
        <f t="shared" si="5"/>
        <v>346.78899082568807</v>
      </c>
      <c r="S50" s="5">
        <f t="shared" si="24"/>
        <v>31.211009174311926</v>
      </c>
      <c r="T50" s="94">
        <f t="shared" si="25"/>
        <v>90</v>
      </c>
      <c r="U50" s="71"/>
      <c r="V50" s="61">
        <v>16.8</v>
      </c>
      <c r="W50" s="13">
        <f t="shared" si="27"/>
        <v>1512</v>
      </c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192.7</v>
      </c>
      <c r="F51" s="127">
        <v>11295.5</v>
      </c>
      <c r="G51" s="127">
        <v>1418.6</v>
      </c>
      <c r="H51" s="127">
        <v>430.5</v>
      </c>
      <c r="I51" s="127"/>
      <c r="J51" s="127"/>
      <c r="K51" s="127"/>
      <c r="L51" s="127"/>
      <c r="M51" s="127">
        <v>57.4</v>
      </c>
      <c r="N51" s="127">
        <v>12.3</v>
      </c>
      <c r="O51" s="127">
        <v>889.7</v>
      </c>
      <c r="P51" s="164"/>
      <c r="Q51" s="24">
        <f t="shared" si="23"/>
        <v>14296.7</v>
      </c>
      <c r="R51" s="127">
        <f t="shared" si="5"/>
        <v>13116.238532110092</v>
      </c>
      <c r="S51" s="5">
        <f t="shared" si="24"/>
        <v>1180.4614678899088</v>
      </c>
      <c r="T51" s="94">
        <f t="shared" si="25"/>
        <v>348.70000000000005</v>
      </c>
      <c r="U51" s="71"/>
      <c r="V51" s="61"/>
      <c r="W51" s="13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36.9</v>
      </c>
      <c r="F52" s="123">
        <v>848.7</v>
      </c>
      <c r="G52" s="123">
        <v>174.25</v>
      </c>
      <c r="H52" s="123">
        <v>43.05</v>
      </c>
      <c r="I52" s="123"/>
      <c r="J52" s="123"/>
      <c r="K52" s="123"/>
      <c r="L52" s="127"/>
      <c r="M52" s="127">
        <v>18.45</v>
      </c>
      <c r="N52" s="127">
        <v>0</v>
      </c>
      <c r="O52" s="123">
        <v>100.45</v>
      </c>
      <c r="P52" s="164"/>
      <c r="Q52" s="24">
        <f t="shared" si="23"/>
        <v>1221.8</v>
      </c>
      <c r="R52" s="127">
        <f t="shared" si="5"/>
        <v>1120.9174311926604</v>
      </c>
      <c r="S52" s="5">
        <f t="shared" si="24"/>
        <v>100.88256880733957</v>
      </c>
      <c r="T52" s="94">
        <f t="shared" si="25"/>
        <v>59.599999999999994</v>
      </c>
      <c r="U52" s="71"/>
      <c r="V52" s="61">
        <v>20.5</v>
      </c>
      <c r="W52" s="13">
        <f t="shared" ref="W52:W53" si="28">+T52*V52</f>
        <v>1221.8</v>
      </c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18.04</v>
      </c>
      <c r="F53" s="199">
        <v>945.46</v>
      </c>
      <c r="G53" s="199">
        <v>185.32</v>
      </c>
      <c r="H53" s="199">
        <v>22.96</v>
      </c>
      <c r="I53" s="199"/>
      <c r="J53" s="199"/>
      <c r="K53" s="199"/>
      <c r="L53" s="199"/>
      <c r="M53" s="148">
        <v>10.66</v>
      </c>
      <c r="N53" s="148">
        <v>10.66</v>
      </c>
      <c r="O53" s="199">
        <v>332.92</v>
      </c>
      <c r="P53" s="353"/>
      <c r="Q53" s="359">
        <f t="shared" si="23"/>
        <v>1526.0200000000002</v>
      </c>
      <c r="R53" s="140">
        <f t="shared" si="5"/>
        <v>1400.0183486238534</v>
      </c>
      <c r="S53" s="6">
        <f t="shared" si="24"/>
        <v>126.00165137614681</v>
      </c>
      <c r="T53" s="22">
        <f t="shared" si="25"/>
        <v>186.10000000000005</v>
      </c>
      <c r="U53" s="71"/>
      <c r="V53" s="61">
        <v>32.799999999999997</v>
      </c>
      <c r="W53" s="13">
        <f t="shared" si="28"/>
        <v>6104.0800000000008</v>
      </c>
    </row>
    <row r="54" spans="1:23" x14ac:dyDescent="0.25"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</row>
    <row r="66" spans="2:2" x14ac:dyDescent="0.25">
      <c r="B66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Z73"/>
  <sheetViews>
    <sheetView zoomScaleNormal="100" workbookViewId="0">
      <pane xSplit="4" ySplit="4" topLeftCell="L11" activePane="bottomRight" state="frozen"/>
      <selection pane="topRight" activeCell="E1" sqref="E1"/>
      <selection pane="bottomLeft" activeCell="A5" sqref="A5"/>
      <selection pane="bottomRight" activeCell="W3" sqref="W3:W4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3" style="1" customWidth="1"/>
    <col min="16" max="16" width="12.6640625" style="1" hidden="1" customWidth="1" outlineLevel="1"/>
    <col min="17" max="17" width="12.33203125" style="1" bestFit="1" customWidth="1" collapsed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55468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4" ht="21.6" customHeight="1" x14ac:dyDescent="0.3">
      <c r="A1" s="40" t="s">
        <v>427</v>
      </c>
      <c r="K1" s="2"/>
      <c r="L1" s="2"/>
      <c r="M1" s="2"/>
      <c r="N1" s="2"/>
      <c r="O1" s="2"/>
      <c r="P1" s="2"/>
    </row>
    <row r="2" spans="1:24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R2" s="3"/>
      <c r="T2" s="3"/>
    </row>
    <row r="3" spans="1:24" ht="28.2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4" ht="23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444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92441.210228310476</v>
      </c>
      <c r="F5" s="82">
        <f t="shared" si="0"/>
        <v>1982823.8595433892</v>
      </c>
      <c r="G5" s="82">
        <f t="shared" si="0"/>
        <v>278835.10625570785</v>
      </c>
      <c r="H5" s="82">
        <f t="shared" si="0"/>
        <v>45904.030867579902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T5" si="1">+M6+M18+M44</f>
        <v>29802.291826484015</v>
      </c>
      <c r="N5" s="192">
        <f>+N6+N18+N44</f>
        <v>10370.336666666666</v>
      </c>
      <c r="O5" s="187">
        <f t="shared" si="1"/>
        <v>241189.12016181948</v>
      </c>
      <c r="P5" s="77">
        <f t="shared" si="1"/>
        <v>0</v>
      </c>
      <c r="Q5" s="42">
        <f t="shared" ref="Q5:Q10" si="2">+SUM(E5:P5)</f>
        <v>2681365.9555499568</v>
      </c>
      <c r="R5" s="42">
        <f t="shared" si="1"/>
        <v>2459968.7665595938</v>
      </c>
      <c r="S5" s="42">
        <f t="shared" si="1"/>
        <v>221397.18899036362</v>
      </c>
      <c r="T5" s="42">
        <f t="shared" si="1"/>
        <v>48649.9913575182</v>
      </c>
      <c r="U5" s="71"/>
      <c r="V5" s="87"/>
      <c r="W5" s="135">
        <f>+W7+W18+W44</f>
        <v>2279514.2098505651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 t="shared" ref="M6:T6" si="4">+M7+M11</f>
        <v>0</v>
      </c>
      <c r="N6" s="192">
        <f>+N7+N11</f>
        <v>0</v>
      </c>
      <c r="O6" s="187">
        <f t="shared" si="4"/>
        <v>0</v>
      </c>
      <c r="P6" s="77">
        <f t="shared" si="4"/>
        <v>0</v>
      </c>
      <c r="Q6" s="42">
        <f t="shared" si="2"/>
        <v>0</v>
      </c>
      <c r="R6" s="42">
        <f t="shared" si="4"/>
        <v>0</v>
      </c>
      <c r="S6" s="42">
        <f t="shared" si="4"/>
        <v>0</v>
      </c>
      <c r="T6" s="44">
        <f t="shared" si="4"/>
        <v>0</v>
      </c>
      <c r="V6" s="61"/>
      <c r="W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:T7" si="6">+SUM(M8:M10)</f>
        <v>0</v>
      </c>
      <c r="N7" s="79">
        <f t="shared" si="6"/>
        <v>0</v>
      </c>
      <c r="O7" s="219">
        <f t="shared" si="6"/>
        <v>0</v>
      </c>
      <c r="P7" s="109">
        <f t="shared" si="6"/>
        <v>0</v>
      </c>
      <c r="Q7" s="43">
        <f t="shared" si="2"/>
        <v>0</v>
      </c>
      <c r="R7" s="79">
        <f t="shared" si="6"/>
        <v>0</v>
      </c>
      <c r="S7" s="79">
        <f t="shared" si="6"/>
        <v>0</v>
      </c>
      <c r="T7" s="226">
        <f t="shared" si="6"/>
        <v>0</v>
      </c>
      <c r="U7" s="71"/>
      <c r="V7" s="134"/>
      <c r="W7" s="105">
        <f>+SUM(W8:W17)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27"/>
      <c r="O8" s="17"/>
      <c r="P8" s="355"/>
      <c r="Q8" s="24">
        <f t="shared" si="2"/>
        <v>0</v>
      </c>
      <c r="R8" s="5">
        <f t="shared" ref="R8:R10" si="7">+Q8/1.09</f>
        <v>0</v>
      </c>
      <c r="S8" s="5">
        <f t="shared" ref="S8:S10" si="8">+Q8-R8</f>
        <v>0</v>
      </c>
      <c r="T8" s="21">
        <f>Q8/D8</f>
        <v>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9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27"/>
      <c r="O9" s="196"/>
      <c r="P9" s="350"/>
      <c r="Q9" s="24">
        <f t="shared" si="2"/>
        <v>0</v>
      </c>
      <c r="R9" s="26">
        <f t="shared" si="7"/>
        <v>0</v>
      </c>
      <c r="S9" s="26">
        <f t="shared" si="8"/>
        <v>0</v>
      </c>
      <c r="T9" s="39">
        <f>Q9/D9</f>
        <v>0</v>
      </c>
      <c r="U9" s="71"/>
      <c r="V9" s="61">
        <v>1.75</v>
      </c>
      <c r="W9" s="13">
        <f>+T9*V9</f>
        <v>0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8"/>
      <c r="P10" s="360"/>
      <c r="Q10" s="24">
        <f t="shared" si="2"/>
        <v>0</v>
      </c>
      <c r="R10" s="6">
        <f t="shared" si="7"/>
        <v>0</v>
      </c>
      <c r="S10" s="6">
        <f t="shared" si="8"/>
        <v>0</v>
      </c>
      <c r="T10" s="22">
        <f>Q10/D10</f>
        <v>0</v>
      </c>
      <c r="U10" s="71"/>
      <c r="V10" s="107">
        <v>2.8</v>
      </c>
      <c r="W10" s="13">
        <f>+T10*V10</f>
        <v>0</v>
      </c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0">+SUM(E12:E17)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74">
        <f t="shared" si="10"/>
        <v>0</v>
      </c>
      <c r="K11" s="101">
        <f t="shared" si="10"/>
        <v>0</v>
      </c>
      <c r="L11" s="101"/>
      <c r="M11" s="101">
        <f t="shared" ref="M11:T11" si="11">+SUM(M12:M17)</f>
        <v>0</v>
      </c>
      <c r="N11" s="101">
        <f t="shared" si="11"/>
        <v>0</v>
      </c>
      <c r="O11" s="16">
        <f t="shared" si="11"/>
        <v>0</v>
      </c>
      <c r="P11" s="74">
        <f t="shared" si="11"/>
        <v>0</v>
      </c>
      <c r="Q11" s="43">
        <f t="shared" si="11"/>
        <v>0</v>
      </c>
      <c r="R11" s="43">
        <f t="shared" si="11"/>
        <v>0</v>
      </c>
      <c r="S11" s="43">
        <f t="shared" si="11"/>
        <v>0</v>
      </c>
      <c r="T11" s="45">
        <f t="shared" si="11"/>
        <v>0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27"/>
      <c r="O12" s="13"/>
      <c r="P12" s="357"/>
      <c r="Q12" s="24">
        <f t="shared" ref="Q12:Q17" si="12">+SUM(E12:P12)</f>
        <v>0</v>
      </c>
      <c r="R12" s="5">
        <f t="shared" ref="R12:R17" si="13">+Q12/1.09</f>
        <v>0</v>
      </c>
      <c r="S12" s="5">
        <f t="shared" ref="S12:S17" si="14">+Q12-R12</f>
        <v>0</v>
      </c>
      <c r="T12" s="21">
        <f t="shared" ref="T12:T17" si="15">Q12/D12</f>
        <v>0</v>
      </c>
      <c r="U12" s="2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27"/>
      <c r="O13" s="13"/>
      <c r="P13" s="357"/>
      <c r="Q13" s="24">
        <f t="shared" si="12"/>
        <v>0</v>
      </c>
      <c r="R13" s="5">
        <f t="shared" si="13"/>
        <v>0</v>
      </c>
      <c r="S13" s="5">
        <f t="shared" si="14"/>
        <v>0</v>
      </c>
      <c r="T13" s="21">
        <f t="shared" si="15"/>
        <v>0</v>
      </c>
      <c r="U13" s="71"/>
      <c r="V13" s="107">
        <v>1.1000000000000001</v>
      </c>
      <c r="W13" s="13">
        <f t="shared" ref="W13:W14" si="16">+T13*V13</f>
        <v>0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27"/>
      <c r="O14" s="13"/>
      <c r="P14" s="357"/>
      <c r="Q14" s="24">
        <f t="shared" si="12"/>
        <v>0</v>
      </c>
      <c r="R14" s="5">
        <f t="shared" si="13"/>
        <v>0</v>
      </c>
      <c r="S14" s="5">
        <f t="shared" si="14"/>
        <v>0</v>
      </c>
      <c r="T14" s="21">
        <f t="shared" si="15"/>
        <v>0</v>
      </c>
      <c r="U14" s="71"/>
      <c r="V14" s="61">
        <v>1.76</v>
      </c>
      <c r="W14" s="13">
        <f t="shared" si="16"/>
        <v>0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27"/>
      <c r="O15" s="13"/>
      <c r="P15" s="357"/>
      <c r="Q15" s="24">
        <f t="shared" si="12"/>
        <v>0</v>
      </c>
      <c r="R15" s="5">
        <f t="shared" si="13"/>
        <v>0</v>
      </c>
      <c r="S15" s="5">
        <f t="shared" si="14"/>
        <v>0</v>
      </c>
      <c r="T15" s="21">
        <f t="shared" si="15"/>
        <v>0</v>
      </c>
      <c r="U15" s="71"/>
      <c r="V15" s="61"/>
      <c r="W15" s="13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27"/>
      <c r="O16" s="13"/>
      <c r="P16" s="357"/>
      <c r="Q16" s="24">
        <f t="shared" si="12"/>
        <v>0</v>
      </c>
      <c r="R16" s="5">
        <f t="shared" si="13"/>
        <v>0</v>
      </c>
      <c r="S16" s="5">
        <f t="shared" si="14"/>
        <v>0</v>
      </c>
      <c r="T16" s="21">
        <f t="shared" si="15"/>
        <v>0</v>
      </c>
      <c r="U16" s="71"/>
      <c r="V16" s="107">
        <v>1.6</v>
      </c>
      <c r="W16" s="13">
        <f t="shared" ref="W16:W17" si="17">+T16*V16</f>
        <v>0</v>
      </c>
    </row>
    <row r="17" spans="1:26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27"/>
      <c r="O17" s="14"/>
      <c r="P17" s="358"/>
      <c r="Q17" s="24">
        <f t="shared" si="12"/>
        <v>0</v>
      </c>
      <c r="R17" s="5">
        <f t="shared" si="13"/>
        <v>0</v>
      </c>
      <c r="S17" s="5">
        <f t="shared" si="14"/>
        <v>0</v>
      </c>
      <c r="T17" s="22">
        <f t="shared" si="15"/>
        <v>0</v>
      </c>
      <c r="U17" s="71"/>
      <c r="V17" s="61">
        <v>2.56</v>
      </c>
      <c r="W17" s="13">
        <f t="shared" si="17"/>
        <v>0</v>
      </c>
    </row>
    <row r="18" spans="1:26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91569.820228310477</v>
      </c>
      <c r="F18" s="118">
        <f t="shared" ref="F18:T18" si="18">+SUM(F19:F43)</f>
        <v>1969019.9295433892</v>
      </c>
      <c r="G18" s="118">
        <f t="shared" si="18"/>
        <v>277002.47625570785</v>
      </c>
      <c r="H18" s="118">
        <f t="shared" si="18"/>
        <v>45651.490867579902</v>
      </c>
      <c r="I18" s="118">
        <f t="shared" si="18"/>
        <v>0</v>
      </c>
      <c r="J18" s="118">
        <f t="shared" si="18"/>
        <v>0</v>
      </c>
      <c r="K18" s="118">
        <f t="shared" si="18"/>
        <v>0</v>
      </c>
      <c r="L18" s="118"/>
      <c r="M18" s="118">
        <f t="shared" si="18"/>
        <v>29633.371826484017</v>
      </c>
      <c r="N18" s="231">
        <f t="shared" ref="N18" si="19">+SUM(N19:N43)</f>
        <v>10015.666666666666</v>
      </c>
      <c r="O18" s="231">
        <f t="shared" si="18"/>
        <v>239502.83016181947</v>
      </c>
      <c r="P18" s="118">
        <f t="shared" si="18"/>
        <v>0</v>
      </c>
      <c r="Q18" s="42">
        <f>+SUM(Q19:Q43)</f>
        <v>2662395.5855499571</v>
      </c>
      <c r="R18" s="118">
        <f t="shared" si="18"/>
        <v>2442564.7573852818</v>
      </c>
      <c r="S18" s="118">
        <f t="shared" si="18"/>
        <v>219830.82816467553</v>
      </c>
      <c r="T18" s="117">
        <f t="shared" si="18"/>
        <v>47931.958024184867</v>
      </c>
      <c r="U18" s="71"/>
      <c r="V18" s="61"/>
      <c r="W18" s="105">
        <f>+SUM(W19:W42)</f>
        <v>2271731.879850565</v>
      </c>
    </row>
    <row r="19" spans="1:26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50289.999999999993</v>
      </c>
      <c r="F19" s="92">
        <v>1144916.6666666772</v>
      </c>
      <c r="G19" s="92">
        <v>158326.6666666668</v>
      </c>
      <c r="H19" s="92">
        <v>23593.333333333332</v>
      </c>
      <c r="I19" s="23"/>
      <c r="J19" s="34"/>
      <c r="K19" s="34"/>
      <c r="L19" s="34"/>
      <c r="M19" s="34">
        <v>16663.333333333336</v>
      </c>
      <c r="N19" s="127">
        <v>5946.6666666666661</v>
      </c>
      <c r="O19" s="23">
        <v>102099.99702453613</v>
      </c>
      <c r="P19" s="356"/>
      <c r="Q19" s="24">
        <f t="shared" ref="Q19:Q43" si="20">+SUM(E19:P19)</f>
        <v>1501836.6636912134</v>
      </c>
      <c r="R19" s="99">
        <f t="shared" ref="R19:R43" si="21">+Q19/1.09</f>
        <v>1377831.8015515718</v>
      </c>
      <c r="S19" s="153">
        <f>+Q19-R19</f>
        <v>124004.86213964154</v>
      </c>
      <c r="T19" s="94">
        <f t="shared" ref="T19:T42" si="22">Q19/D19</f>
        <v>15018.366636912133</v>
      </c>
      <c r="U19" s="41"/>
      <c r="V19" s="61"/>
      <c r="W19" s="106"/>
      <c r="X19"/>
      <c r="Y19" s="142"/>
      <c r="Z19"/>
    </row>
    <row r="20" spans="1:26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9826.6666666666661</v>
      </c>
      <c r="F20" s="48">
        <v>328969.99999999983</v>
      </c>
      <c r="G20" s="48">
        <v>44011.666666666657</v>
      </c>
      <c r="H20" s="48">
        <v>8383.3333333333339</v>
      </c>
      <c r="I20" s="13"/>
      <c r="J20" s="33"/>
      <c r="K20" s="33"/>
      <c r="L20" s="33"/>
      <c r="M20" s="33">
        <v>6388.3333333333339</v>
      </c>
      <c r="N20" s="127">
        <v>206.66666666666663</v>
      </c>
      <c r="O20" s="13">
        <v>6271.6665014648433</v>
      </c>
      <c r="P20" s="357"/>
      <c r="Q20" s="24">
        <f t="shared" si="20"/>
        <v>404058.3331681313</v>
      </c>
      <c r="R20" s="5">
        <f t="shared" si="21"/>
        <v>370695.71850287274</v>
      </c>
      <c r="S20" s="152">
        <f t="shared" ref="S20:S43" si="23">+Q20-R20</f>
        <v>33362.614665258559</v>
      </c>
      <c r="T20" s="21">
        <f t="shared" si="22"/>
        <v>8081.1666633626264</v>
      </c>
      <c r="U20" s="41"/>
      <c r="V20" s="61">
        <v>50</v>
      </c>
      <c r="W20" s="13">
        <f t="shared" ref="W20:W21" si="24">+T20*V20</f>
        <v>404058.3331681313</v>
      </c>
      <c r="Y20" s="142"/>
    </row>
    <row r="21" spans="1:26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18678</v>
      </c>
      <c r="F21" s="95">
        <v>294537.33</v>
      </c>
      <c r="G21" s="95">
        <v>44365.33</v>
      </c>
      <c r="H21" s="95">
        <v>4854</v>
      </c>
      <c r="I21" s="13"/>
      <c r="J21" s="33"/>
      <c r="K21" s="33"/>
      <c r="L21" s="33"/>
      <c r="M21" s="33">
        <v>3284.67</v>
      </c>
      <c r="N21" s="127">
        <v>2353.3333333333335</v>
      </c>
      <c r="O21" s="13">
        <v>38342</v>
      </c>
      <c r="P21" s="357"/>
      <c r="Q21" s="24">
        <f t="shared" si="20"/>
        <v>406414.66333333333</v>
      </c>
      <c r="R21" s="5">
        <f t="shared" si="21"/>
        <v>372857.48929663608</v>
      </c>
      <c r="S21" s="5">
        <f t="shared" si="23"/>
        <v>33557.174036697252</v>
      </c>
      <c r="T21" s="21">
        <f t="shared" si="22"/>
        <v>20320.733166666665</v>
      </c>
      <c r="U21" s="41"/>
      <c r="V21" s="61">
        <v>80</v>
      </c>
      <c r="W21" s="13">
        <f t="shared" si="24"/>
        <v>1625658.6533333333</v>
      </c>
      <c r="Y21" s="142"/>
    </row>
    <row r="22" spans="1:26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8889</v>
      </c>
      <c r="F22" s="48">
        <v>160347</v>
      </c>
      <c r="G22" s="95">
        <v>25818</v>
      </c>
      <c r="H22" s="95">
        <v>4911</v>
      </c>
      <c r="I22" s="13"/>
      <c r="J22" s="33"/>
      <c r="K22" s="33"/>
      <c r="L22" s="33"/>
      <c r="M22" s="33">
        <v>2574</v>
      </c>
      <c r="N22" s="127">
        <v>942</v>
      </c>
      <c r="O22" s="13">
        <v>48378</v>
      </c>
      <c r="P22" s="357"/>
      <c r="Q22" s="24">
        <f t="shared" si="20"/>
        <v>251859</v>
      </c>
      <c r="R22" s="5">
        <f t="shared" si="21"/>
        <v>231063.30275229356</v>
      </c>
      <c r="S22" s="5">
        <f t="shared" si="23"/>
        <v>20795.697247706441</v>
      </c>
      <c r="T22" s="21">
        <f t="shared" si="22"/>
        <v>2798.4333333333334</v>
      </c>
      <c r="U22" s="41"/>
      <c r="V22" s="61"/>
      <c r="W22" s="13"/>
      <c r="Y22" s="142"/>
    </row>
    <row r="23" spans="1:26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295.5</v>
      </c>
      <c r="F23" s="95">
        <v>9109.5</v>
      </c>
      <c r="G23" s="95">
        <v>1654.5</v>
      </c>
      <c r="H23" s="95">
        <v>309</v>
      </c>
      <c r="I23" s="13"/>
      <c r="J23" s="33"/>
      <c r="K23" s="33"/>
      <c r="L23" s="33"/>
      <c r="M23" s="33">
        <v>187.5</v>
      </c>
      <c r="N23" s="127"/>
      <c r="O23" s="13">
        <v>1732.5</v>
      </c>
      <c r="P23" s="357"/>
      <c r="Q23" s="24">
        <f t="shared" si="20"/>
        <v>13288.5</v>
      </c>
      <c r="R23" s="5">
        <f t="shared" si="21"/>
        <v>12191.284403669724</v>
      </c>
      <c r="S23" s="5">
        <f t="shared" si="23"/>
        <v>1097.2155963302757</v>
      </c>
      <c r="T23" s="21">
        <f t="shared" si="22"/>
        <v>295.3</v>
      </c>
      <c r="U23" s="35"/>
      <c r="V23" s="61">
        <v>45</v>
      </c>
      <c r="W23" s="13">
        <f t="shared" ref="W23:W24" si="25">+T23*V23</f>
        <v>13288.5</v>
      </c>
      <c r="Y23" s="142"/>
    </row>
    <row r="24" spans="1:26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570.6</v>
      </c>
      <c r="F24" s="95">
        <v>3703.2</v>
      </c>
      <c r="G24" s="95">
        <v>686.4</v>
      </c>
      <c r="H24" s="95">
        <v>248.39999999999998</v>
      </c>
      <c r="I24" s="13"/>
      <c r="J24" s="33"/>
      <c r="K24" s="33"/>
      <c r="L24" s="33"/>
      <c r="M24" s="33">
        <v>177</v>
      </c>
      <c r="N24" s="127">
        <v>74.399999999999977</v>
      </c>
      <c r="O24" s="13">
        <v>1911</v>
      </c>
      <c r="P24" s="357"/>
      <c r="Q24" s="24">
        <f t="shared" si="20"/>
        <v>7370.9999999999991</v>
      </c>
      <c r="R24" s="5">
        <f t="shared" si="21"/>
        <v>6762.3853211009164</v>
      </c>
      <c r="S24" s="5">
        <f t="shared" si="23"/>
        <v>608.61467889908272</v>
      </c>
      <c r="T24" s="21">
        <f t="shared" si="22"/>
        <v>409.49999999999994</v>
      </c>
      <c r="U24" s="35"/>
      <c r="V24" s="61">
        <v>72</v>
      </c>
      <c r="W24" s="13">
        <f t="shared" si="25"/>
        <v>29483.999999999996</v>
      </c>
      <c r="Y24" s="142"/>
    </row>
    <row r="25" spans="1:26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>
        <v>203.33333333333337</v>
      </c>
      <c r="F25" s="95">
        <v>3106.666666666667</v>
      </c>
      <c r="G25" s="95"/>
      <c r="H25" s="95">
        <v>0</v>
      </c>
      <c r="I25" s="13"/>
      <c r="J25" s="33"/>
      <c r="K25" s="33"/>
      <c r="L25" s="33"/>
      <c r="M25" s="33"/>
      <c r="N25" s="127"/>
      <c r="O25" s="13">
        <v>4976.6666387939449</v>
      </c>
      <c r="P25" s="357"/>
      <c r="Q25" s="24">
        <f t="shared" si="20"/>
        <v>8286.6666387939458</v>
      </c>
      <c r="R25" s="5">
        <f t="shared" si="21"/>
        <v>7602.4464576091241</v>
      </c>
      <c r="S25" s="5">
        <f t="shared" si="23"/>
        <v>684.22018118482174</v>
      </c>
      <c r="T25" s="21">
        <f t="shared" si="22"/>
        <v>27.622222129313151</v>
      </c>
      <c r="U25" s="35"/>
      <c r="V25" s="61"/>
      <c r="W25" s="13"/>
      <c r="Y25" s="142"/>
    </row>
    <row r="26" spans="1:26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>
        <v>148.33333333333334</v>
      </c>
      <c r="F26" s="95">
        <v>3000</v>
      </c>
      <c r="G26" s="95">
        <v>220</v>
      </c>
      <c r="H26" s="95">
        <v>510</v>
      </c>
      <c r="I26" s="13"/>
      <c r="J26" s="33"/>
      <c r="K26" s="33"/>
      <c r="L26" s="33"/>
      <c r="M26" s="33"/>
      <c r="N26" s="127"/>
      <c r="O26" s="13">
        <v>779.9999951171875</v>
      </c>
      <c r="P26" s="357"/>
      <c r="Q26" s="24">
        <f t="shared" si="20"/>
        <v>4658.3333284505206</v>
      </c>
      <c r="R26" s="5">
        <f t="shared" si="21"/>
        <v>4273.7003013307522</v>
      </c>
      <c r="S26" s="5">
        <f t="shared" si="23"/>
        <v>384.63302711976849</v>
      </c>
      <c r="T26" s="21">
        <f t="shared" si="22"/>
        <v>31.05555552300347</v>
      </c>
      <c r="U26" s="35"/>
      <c r="V26" s="61">
        <v>150</v>
      </c>
      <c r="W26" s="13">
        <f t="shared" ref="W26:W42" si="26">+T26*V26</f>
        <v>4658.3333284505206</v>
      </c>
      <c r="Y26" s="142"/>
    </row>
    <row r="27" spans="1:26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729.33333333333326</v>
      </c>
      <c r="F27" s="95">
        <v>9499.33</v>
      </c>
      <c r="G27" s="95">
        <v>754.67</v>
      </c>
      <c r="H27" s="95">
        <v>1062</v>
      </c>
      <c r="I27" s="13"/>
      <c r="J27" s="33"/>
      <c r="K27" s="33"/>
      <c r="L27" s="33"/>
      <c r="M27" s="33">
        <v>97.333333333333314</v>
      </c>
      <c r="N27" s="127">
        <v>281.99999999999966</v>
      </c>
      <c r="O27" s="13">
        <v>11682</v>
      </c>
      <c r="P27" s="357"/>
      <c r="Q27" s="24">
        <f t="shared" si="20"/>
        <v>24106.666666666668</v>
      </c>
      <c r="R27" s="5">
        <f t="shared" si="21"/>
        <v>22116.207951070337</v>
      </c>
      <c r="S27" s="5">
        <f t="shared" si="23"/>
        <v>1990.4587155963309</v>
      </c>
      <c r="T27" s="21">
        <f t="shared" si="22"/>
        <v>401.77777777777777</v>
      </c>
      <c r="U27" s="35"/>
      <c r="V27" s="61">
        <v>240</v>
      </c>
      <c r="W27" s="13">
        <f t="shared" si="26"/>
        <v>96426.666666666672</v>
      </c>
      <c r="Y27" s="142"/>
    </row>
    <row r="28" spans="1:26" ht="14.4" x14ac:dyDescent="0.3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1092</v>
      </c>
      <c r="G28" s="95"/>
      <c r="H28" s="95">
        <v>249</v>
      </c>
      <c r="I28" s="13"/>
      <c r="J28" s="33"/>
      <c r="K28" s="33"/>
      <c r="L28" s="33"/>
      <c r="M28" s="33"/>
      <c r="N28" s="127"/>
      <c r="O28" s="13">
        <v>8337</v>
      </c>
      <c r="P28" s="357"/>
      <c r="Q28" s="24">
        <f t="shared" si="20"/>
        <v>9678</v>
      </c>
      <c r="R28" s="5">
        <f t="shared" si="21"/>
        <v>8878.899082568807</v>
      </c>
      <c r="S28" s="5">
        <f t="shared" si="23"/>
        <v>799.10091743119301</v>
      </c>
      <c r="T28" s="21">
        <f t="shared" si="22"/>
        <v>35.844444444444441</v>
      </c>
      <c r="U28" s="35"/>
      <c r="V28" s="61"/>
      <c r="W28" s="13"/>
      <c r="Y28" s="142"/>
    </row>
    <row r="29" spans="1:26" ht="14.4" x14ac:dyDescent="0.3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5">
        <v>0</v>
      </c>
      <c r="G29" s="95"/>
      <c r="H29" s="95">
        <v>229.5</v>
      </c>
      <c r="I29" s="13"/>
      <c r="J29" s="33"/>
      <c r="K29" s="33"/>
      <c r="L29" s="33"/>
      <c r="M29" s="33"/>
      <c r="N29" s="127"/>
      <c r="O29" s="13"/>
      <c r="P29" s="357"/>
      <c r="Q29" s="24">
        <f t="shared" si="20"/>
        <v>229.5</v>
      </c>
      <c r="R29" s="5">
        <f t="shared" si="21"/>
        <v>210.55045871559631</v>
      </c>
      <c r="S29" s="5">
        <f t="shared" si="23"/>
        <v>18.949541284403693</v>
      </c>
      <c r="T29" s="21">
        <f t="shared" si="22"/>
        <v>1.7</v>
      </c>
      <c r="U29" s="35"/>
      <c r="V29" s="61">
        <v>135</v>
      </c>
      <c r="W29" s="13">
        <f t="shared" si="26"/>
        <v>229.5</v>
      </c>
      <c r="Y29" s="142"/>
    </row>
    <row r="30" spans="1:26" ht="14.4" x14ac:dyDescent="0.3">
      <c r="A30" s="46" t="s">
        <v>78</v>
      </c>
      <c r="B30" s="53" t="s">
        <v>126</v>
      </c>
      <c r="C30" s="59" t="s">
        <v>182</v>
      </c>
      <c r="D30" s="60">
        <v>54</v>
      </c>
      <c r="E30" s="120"/>
      <c r="F30" s="95">
        <v>256.8</v>
      </c>
      <c r="G30" s="95">
        <v>157.80000000000001</v>
      </c>
      <c r="H30" s="95">
        <v>48.6</v>
      </c>
      <c r="I30" s="13"/>
      <c r="J30" s="33"/>
      <c r="K30" s="33"/>
      <c r="L30" s="33"/>
      <c r="M30" s="33">
        <v>52.8</v>
      </c>
      <c r="N30" s="127">
        <v>51.60000000000008</v>
      </c>
      <c r="O30" s="13">
        <v>1122</v>
      </c>
      <c r="P30" s="357"/>
      <c r="Q30" s="24">
        <f t="shared" si="20"/>
        <v>1689.6000000000001</v>
      </c>
      <c r="R30" s="5">
        <f t="shared" si="21"/>
        <v>1550.0917431192661</v>
      </c>
      <c r="S30" s="5">
        <f t="shared" si="23"/>
        <v>139.50825688073405</v>
      </c>
      <c r="T30" s="21">
        <f t="shared" si="22"/>
        <v>31.288888888888891</v>
      </c>
      <c r="U30" s="35"/>
      <c r="V30" s="61">
        <v>216</v>
      </c>
      <c r="W30" s="13">
        <f t="shared" si="26"/>
        <v>6758.4000000000005</v>
      </c>
      <c r="Y30" s="142"/>
    </row>
    <row r="31" spans="1:26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>
        <v>590</v>
      </c>
      <c r="F31" s="95">
        <v>0</v>
      </c>
      <c r="G31" s="95"/>
      <c r="H31" s="95">
        <v>0</v>
      </c>
      <c r="I31" s="13"/>
      <c r="J31" s="33"/>
      <c r="K31" s="33"/>
      <c r="L31" s="33"/>
      <c r="M31" s="33"/>
      <c r="N31" s="127"/>
      <c r="O31" s="13">
        <v>523.33333007812496</v>
      </c>
      <c r="P31" s="357"/>
      <c r="Q31" s="24">
        <f t="shared" si="20"/>
        <v>1113.3333300781251</v>
      </c>
      <c r="R31" s="5">
        <f t="shared" si="21"/>
        <v>1021.4067248423165</v>
      </c>
      <c r="S31" s="5">
        <f t="shared" si="23"/>
        <v>91.926605235808552</v>
      </c>
      <c r="T31" s="21">
        <f t="shared" si="22"/>
        <v>1.8555555501302086</v>
      </c>
      <c r="U31" s="35"/>
      <c r="V31" s="61"/>
      <c r="W31" s="13"/>
      <c r="Y31" s="142"/>
    </row>
    <row r="32" spans="1:26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845</v>
      </c>
      <c r="G32" s="95"/>
      <c r="H32" s="95">
        <v>270</v>
      </c>
      <c r="I32" s="13"/>
      <c r="J32" s="33"/>
      <c r="K32" s="33"/>
      <c r="L32" s="33"/>
      <c r="M32" s="33"/>
      <c r="N32" s="127"/>
      <c r="O32" s="13">
        <v>295</v>
      </c>
      <c r="P32" s="357"/>
      <c r="Q32" s="24">
        <f t="shared" si="20"/>
        <v>1410</v>
      </c>
      <c r="R32" s="5">
        <f t="shared" si="21"/>
        <v>1293.5779816513761</v>
      </c>
      <c r="S32" s="5">
        <f t="shared" si="23"/>
        <v>116.42201834862385</v>
      </c>
      <c r="T32" s="21">
        <f t="shared" si="22"/>
        <v>4.7</v>
      </c>
      <c r="U32" s="35"/>
      <c r="V32" s="61">
        <v>300</v>
      </c>
      <c r="W32" s="13">
        <f t="shared" si="26"/>
        <v>1410</v>
      </c>
      <c r="Y32" s="142"/>
    </row>
    <row r="33" spans="1:26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238.67</v>
      </c>
      <c r="F33" s="95">
        <v>1906.67</v>
      </c>
      <c r="G33" s="95">
        <v>234</v>
      </c>
      <c r="H33" s="95">
        <v>108</v>
      </c>
      <c r="I33" s="13"/>
      <c r="J33" s="33"/>
      <c r="K33" s="33"/>
      <c r="L33" s="33"/>
      <c r="M33" s="33"/>
      <c r="N33" s="127"/>
      <c r="O33" s="13">
        <v>3416.6666718292236</v>
      </c>
      <c r="P33" s="357"/>
      <c r="Q33" s="24">
        <f t="shared" si="20"/>
        <v>5904.0066718292237</v>
      </c>
      <c r="R33" s="5">
        <f t="shared" si="21"/>
        <v>5416.5198824121317</v>
      </c>
      <c r="S33" s="5">
        <f t="shared" si="23"/>
        <v>487.48678941709204</v>
      </c>
      <c r="T33" s="21">
        <f t="shared" si="22"/>
        <v>49.200055598576867</v>
      </c>
      <c r="U33" s="35"/>
      <c r="V33" s="61">
        <v>480</v>
      </c>
      <c r="W33" s="13">
        <f t="shared" si="26"/>
        <v>23616.026687316895</v>
      </c>
      <c r="Y33" s="142"/>
    </row>
    <row r="34" spans="1:26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>
        <v>0</v>
      </c>
      <c r="I34" s="13"/>
      <c r="J34" s="33"/>
      <c r="K34" s="33"/>
      <c r="L34" s="33"/>
      <c r="M34" s="33"/>
      <c r="N34" s="127"/>
      <c r="O34" s="13"/>
      <c r="P34" s="357"/>
      <c r="Q34" s="24">
        <f t="shared" si="20"/>
        <v>0</v>
      </c>
      <c r="R34" s="5">
        <f t="shared" si="21"/>
        <v>0</v>
      </c>
      <c r="S34" s="5">
        <f t="shared" si="23"/>
        <v>0</v>
      </c>
      <c r="T34" s="21">
        <f t="shared" si="22"/>
        <v>0</v>
      </c>
      <c r="U34" s="35"/>
      <c r="V34" s="61"/>
      <c r="W34" s="13"/>
      <c r="Y34" s="142"/>
    </row>
    <row r="35" spans="1:26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>
        <v>0</v>
      </c>
      <c r="I35" s="13"/>
      <c r="J35" s="33"/>
      <c r="K35" s="33"/>
      <c r="L35" s="33"/>
      <c r="M35" s="33"/>
      <c r="N35" s="127"/>
      <c r="O35" s="13"/>
      <c r="P35" s="357"/>
      <c r="Q35" s="24">
        <f t="shared" si="20"/>
        <v>0</v>
      </c>
      <c r="R35" s="5">
        <f t="shared" si="21"/>
        <v>0</v>
      </c>
      <c r="S35" s="5">
        <f t="shared" si="23"/>
        <v>0</v>
      </c>
      <c r="T35" s="21">
        <f t="shared" si="22"/>
        <v>0</v>
      </c>
      <c r="U35" s="35"/>
      <c r="V35" s="61">
        <v>270</v>
      </c>
      <c r="W35" s="13">
        <f t="shared" si="26"/>
        <v>0</v>
      </c>
      <c r="Y35" s="142"/>
    </row>
    <row r="36" spans="1:26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5"/>
      <c r="G36" s="95"/>
      <c r="H36" s="95">
        <v>0</v>
      </c>
      <c r="I36" s="13"/>
      <c r="J36" s="33"/>
      <c r="K36" s="33"/>
      <c r="L36" s="33"/>
      <c r="M36" s="33"/>
      <c r="N36" s="127"/>
      <c r="O36" s="13">
        <v>106.2</v>
      </c>
      <c r="P36" s="357"/>
      <c r="Q36" s="24">
        <f t="shared" si="20"/>
        <v>106.2</v>
      </c>
      <c r="R36" s="5">
        <f t="shared" si="21"/>
        <v>97.431192660550451</v>
      </c>
      <c r="S36" s="5">
        <f t="shared" si="23"/>
        <v>8.7688073394495518</v>
      </c>
      <c r="T36" s="21">
        <f t="shared" si="22"/>
        <v>0.98333333333333339</v>
      </c>
      <c r="U36" s="35"/>
      <c r="V36" s="61">
        <v>432</v>
      </c>
      <c r="W36" s="13">
        <f t="shared" si="26"/>
        <v>424.8</v>
      </c>
      <c r="Y36" s="142"/>
    </row>
    <row r="37" spans="1:26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/>
      <c r="G37" s="95"/>
      <c r="H37" s="95">
        <v>0</v>
      </c>
      <c r="I37" s="13"/>
      <c r="J37" s="33"/>
      <c r="K37" s="33"/>
      <c r="L37" s="33"/>
      <c r="M37" s="33"/>
      <c r="N37" s="127"/>
      <c r="O37" s="13"/>
      <c r="P37" s="357"/>
      <c r="Q37" s="24">
        <f t="shared" si="20"/>
        <v>0</v>
      </c>
      <c r="R37" s="5">
        <f t="shared" si="21"/>
        <v>0</v>
      </c>
      <c r="S37" s="5">
        <f t="shared" si="23"/>
        <v>0</v>
      </c>
      <c r="T37" s="21">
        <f t="shared" si="22"/>
        <v>0</v>
      </c>
      <c r="U37" s="35"/>
      <c r="V37" s="61"/>
      <c r="W37" s="13"/>
      <c r="Y37" s="142"/>
    </row>
    <row r="38" spans="1:26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>
        <v>880</v>
      </c>
      <c r="G38" s="95"/>
      <c r="H38" s="95">
        <v>0</v>
      </c>
      <c r="I38" s="13"/>
      <c r="J38" s="33"/>
      <c r="K38" s="33"/>
      <c r="L38" s="33"/>
      <c r="M38" s="33"/>
      <c r="N38" s="127"/>
      <c r="O38" s="13"/>
      <c r="P38" s="357"/>
      <c r="Q38" s="24">
        <f t="shared" si="20"/>
        <v>880</v>
      </c>
      <c r="R38" s="5">
        <f t="shared" si="21"/>
        <v>807.33944954128435</v>
      </c>
      <c r="S38" s="5">
        <f t="shared" si="23"/>
        <v>72.660550458715647</v>
      </c>
      <c r="T38" s="21">
        <f t="shared" si="22"/>
        <v>1.9555555555555555</v>
      </c>
      <c r="U38" s="35"/>
      <c r="V38" s="61">
        <v>450</v>
      </c>
      <c r="W38" s="13">
        <f t="shared" si="26"/>
        <v>880</v>
      </c>
      <c r="Y38" s="142"/>
    </row>
    <row r="39" spans="1:26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>
        <v>1072</v>
      </c>
      <c r="F39" s="95">
        <v>4065.333333333333</v>
      </c>
      <c r="G39" s="95">
        <v>533.33333333333337</v>
      </c>
      <c r="H39" s="95">
        <v>352.66666666666663</v>
      </c>
      <c r="I39" s="13"/>
      <c r="J39" s="33"/>
      <c r="K39" s="33"/>
      <c r="L39" s="33"/>
      <c r="M39" s="33">
        <v>179.33333333333331</v>
      </c>
      <c r="N39" s="127"/>
      <c r="O39" s="13">
        <v>8588</v>
      </c>
      <c r="P39" s="357"/>
      <c r="Q39" s="24">
        <f t="shared" si="20"/>
        <v>14790.666666666666</v>
      </c>
      <c r="R39" s="5">
        <f t="shared" si="21"/>
        <v>13569.418960244646</v>
      </c>
      <c r="S39" s="5">
        <f t="shared" si="23"/>
        <v>1221.2477064220202</v>
      </c>
      <c r="T39" s="21">
        <f t="shared" si="22"/>
        <v>82.170370370370364</v>
      </c>
      <c r="U39" s="35"/>
      <c r="V39" s="61">
        <v>720</v>
      </c>
      <c r="W39" s="13">
        <f t="shared" si="26"/>
        <v>59162.666666666664</v>
      </c>
      <c r="Y39" s="142"/>
    </row>
    <row r="40" spans="1:26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>
        <v>0</v>
      </c>
      <c r="I40" s="13"/>
      <c r="J40" s="33"/>
      <c r="K40" s="33"/>
      <c r="L40" s="33"/>
      <c r="M40" s="33"/>
      <c r="N40" s="127"/>
      <c r="O40" s="13"/>
      <c r="P40" s="357"/>
      <c r="Q40" s="24">
        <f t="shared" si="20"/>
        <v>0</v>
      </c>
      <c r="R40" s="5">
        <f t="shared" si="21"/>
        <v>0</v>
      </c>
      <c r="S40" s="5">
        <f t="shared" si="23"/>
        <v>0</v>
      </c>
      <c r="T40" s="21">
        <f t="shared" si="22"/>
        <v>0</v>
      </c>
      <c r="U40" s="71"/>
      <c r="V40" s="61"/>
      <c r="W40" s="13"/>
      <c r="Y40" s="142"/>
    </row>
    <row r="41" spans="1:26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>
        <v>0</v>
      </c>
      <c r="I41" s="13"/>
      <c r="J41" s="33"/>
      <c r="K41" s="33"/>
      <c r="L41" s="33"/>
      <c r="M41" s="33"/>
      <c r="N41" s="127"/>
      <c r="O41" s="13"/>
      <c r="P41" s="357"/>
      <c r="Q41" s="24">
        <f t="shared" si="20"/>
        <v>0</v>
      </c>
      <c r="R41" s="5">
        <f t="shared" si="21"/>
        <v>0</v>
      </c>
      <c r="S41" s="5">
        <f t="shared" si="23"/>
        <v>0</v>
      </c>
      <c r="T41" s="21">
        <f t="shared" si="22"/>
        <v>0</v>
      </c>
      <c r="U41" s="71"/>
      <c r="V41" s="61">
        <v>405</v>
      </c>
      <c r="W41" s="13">
        <f t="shared" si="26"/>
        <v>0</v>
      </c>
      <c r="Y41" s="142"/>
    </row>
    <row r="42" spans="1:26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>
        <v>319.2</v>
      </c>
      <c r="G42" s="250"/>
      <c r="H42" s="250">
        <v>0</v>
      </c>
      <c r="I42" s="25"/>
      <c r="J42" s="239"/>
      <c r="K42" s="239"/>
      <c r="L42" s="239"/>
      <c r="M42" s="239"/>
      <c r="N42" s="221">
        <v>158.9999999999992</v>
      </c>
      <c r="O42" s="25">
        <v>940.8</v>
      </c>
      <c r="P42" s="358"/>
      <c r="Q42" s="24">
        <f t="shared" si="20"/>
        <v>1418.9999999999991</v>
      </c>
      <c r="R42" s="26">
        <f t="shared" si="21"/>
        <v>1301.8348623853201</v>
      </c>
      <c r="S42" s="26">
        <f t="shared" si="23"/>
        <v>117.165137614679</v>
      </c>
      <c r="T42" s="39">
        <f t="shared" si="22"/>
        <v>8.7592592592592542</v>
      </c>
      <c r="U42" s="71"/>
      <c r="V42" s="61">
        <v>648</v>
      </c>
      <c r="W42" s="13">
        <f t="shared" si="26"/>
        <v>5675.9999999999964</v>
      </c>
      <c r="Y42" s="14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38.383561643835613</v>
      </c>
      <c r="F43" s="124">
        <v>2465.232876712329</v>
      </c>
      <c r="G43" s="124">
        <v>240.10958904109589</v>
      </c>
      <c r="H43" s="124">
        <v>522.65753424657532</v>
      </c>
      <c r="I43" s="124"/>
      <c r="J43" s="124"/>
      <c r="K43" s="124"/>
      <c r="L43" s="124"/>
      <c r="M43" s="124">
        <v>29.06849315068493</v>
      </c>
      <c r="N43" s="124"/>
      <c r="O43" s="148"/>
      <c r="P43" s="352"/>
      <c r="Q43" s="24">
        <f t="shared" si="20"/>
        <v>3295.4520547945208</v>
      </c>
      <c r="R43" s="124">
        <f t="shared" si="21"/>
        <v>3023.3505089857986</v>
      </c>
      <c r="S43" s="6">
        <f t="shared" si="23"/>
        <v>272.10154580872222</v>
      </c>
      <c r="T43" s="22">
        <f>+Q43/D43</f>
        <v>329.54520547945208</v>
      </c>
      <c r="U43" s="71"/>
      <c r="V43" s="61"/>
      <c r="W43" s="13"/>
      <c r="X43" s="2"/>
      <c r="Y43" s="1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871.39</v>
      </c>
      <c r="F44" s="82">
        <f>+SUM(F45:F53)</f>
        <v>13803.930000000002</v>
      </c>
      <c r="G44" s="82">
        <f>+SUM(G45:G53)</f>
        <v>1832.63</v>
      </c>
      <c r="H44" s="82">
        <f>+SUM(H45:H53)</f>
        <v>252.54</v>
      </c>
      <c r="I44" s="82">
        <f t="shared" ref="I44:T44" si="27">+SUM(I45:I53)</f>
        <v>0</v>
      </c>
      <c r="J44" s="82">
        <f t="shared" si="27"/>
        <v>0</v>
      </c>
      <c r="K44" s="100">
        <f t="shared" si="27"/>
        <v>0</v>
      </c>
      <c r="L44" s="100"/>
      <c r="M44" s="100">
        <f t="shared" si="27"/>
        <v>168.92</v>
      </c>
      <c r="N44" s="100">
        <f t="shared" si="27"/>
        <v>354.66999999999996</v>
      </c>
      <c r="O44" s="187">
        <f t="shared" si="27"/>
        <v>1686.29</v>
      </c>
      <c r="P44" s="100">
        <f t="shared" si="27"/>
        <v>0</v>
      </c>
      <c r="Q44" s="42">
        <f>+SUM(Q45:Q53)</f>
        <v>18970.370000000003</v>
      </c>
      <c r="R44" s="82">
        <f t="shared" si="27"/>
        <v>17404.009174311926</v>
      </c>
      <c r="S44" s="82">
        <f t="shared" si="27"/>
        <v>1566.3608256880746</v>
      </c>
      <c r="T44" s="19">
        <f t="shared" si="27"/>
        <v>718.03333333333342</v>
      </c>
      <c r="U44" s="71"/>
      <c r="V44" s="61"/>
      <c r="W44" s="105">
        <f>+SUM(W45:W68)</f>
        <v>7782.33</v>
      </c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>
        <v>0</v>
      </c>
      <c r="I45" s="83"/>
      <c r="J45" s="75"/>
      <c r="K45" s="75"/>
      <c r="L45" s="75"/>
      <c r="M45" s="75"/>
      <c r="N45" s="127"/>
      <c r="O45" s="308"/>
      <c r="P45" s="356"/>
      <c r="Q45" s="24">
        <f t="shared" ref="Q45:Q53" si="28">+SUM(E45:P45)</f>
        <v>0</v>
      </c>
      <c r="R45" s="99">
        <f t="shared" ref="R45:R53" si="29">+Q45/1.09</f>
        <v>0</v>
      </c>
      <c r="S45" s="64">
        <f t="shared" ref="S45:S53" si="30">+Q45-R45</f>
        <v>0</v>
      </c>
      <c r="T45" s="85">
        <f t="shared" ref="T45:T53" si="31">Q45/D45</f>
        <v>0</v>
      </c>
      <c r="U45" s="71"/>
      <c r="V45" s="61"/>
      <c r="W45" s="13"/>
      <c r="X45"/>
      <c r="Y45" s="142"/>
      <c r="Z45"/>
    </row>
    <row r="46" spans="1:26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>
        <v>0</v>
      </c>
      <c r="I46" s="13"/>
      <c r="J46" s="33"/>
      <c r="K46" s="33"/>
      <c r="L46" s="33"/>
      <c r="M46" s="33"/>
      <c r="N46" s="127"/>
      <c r="O46" s="13"/>
      <c r="P46" s="357"/>
      <c r="Q46" s="24">
        <f t="shared" si="28"/>
        <v>0</v>
      </c>
      <c r="R46" s="5">
        <f t="shared" si="29"/>
        <v>0</v>
      </c>
      <c r="S46" s="5">
        <f t="shared" si="30"/>
        <v>0</v>
      </c>
      <c r="T46" s="31">
        <f t="shared" si="31"/>
        <v>0</v>
      </c>
      <c r="U46" s="71"/>
      <c r="V46" s="61">
        <v>6</v>
      </c>
      <c r="W46" s="13">
        <f t="shared" ref="W46:W47" si="32">+T46*V46</f>
        <v>0</v>
      </c>
      <c r="Y46" s="142"/>
    </row>
    <row r="47" spans="1:26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>
        <v>0</v>
      </c>
      <c r="I47" s="13"/>
      <c r="J47" s="33"/>
      <c r="K47" s="33"/>
      <c r="L47" s="33"/>
      <c r="M47" s="33"/>
      <c r="N47" s="127"/>
      <c r="O47" s="13"/>
      <c r="P47" s="357"/>
      <c r="Q47" s="24">
        <f t="shared" si="28"/>
        <v>0</v>
      </c>
      <c r="R47" s="5">
        <f t="shared" si="29"/>
        <v>0</v>
      </c>
      <c r="S47" s="5">
        <f t="shared" si="30"/>
        <v>0</v>
      </c>
      <c r="T47" s="31">
        <f t="shared" si="31"/>
        <v>0</v>
      </c>
      <c r="U47" s="71"/>
      <c r="V47" s="61">
        <v>9.6</v>
      </c>
      <c r="W47" s="13">
        <f t="shared" si="32"/>
        <v>0</v>
      </c>
      <c r="Y47" s="142"/>
    </row>
    <row r="48" spans="1:26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91</v>
      </c>
      <c r="F48" s="13">
        <v>651</v>
      </c>
      <c r="G48" s="13">
        <v>63</v>
      </c>
      <c r="H48" s="13">
        <v>0</v>
      </c>
      <c r="I48" s="13"/>
      <c r="J48" s="33"/>
      <c r="K48" s="33"/>
      <c r="L48" s="33"/>
      <c r="M48" s="33"/>
      <c r="N48" s="127">
        <v>14</v>
      </c>
      <c r="O48" s="13">
        <v>126</v>
      </c>
      <c r="P48" s="357"/>
      <c r="Q48" s="24">
        <f t="shared" si="28"/>
        <v>945</v>
      </c>
      <c r="R48" s="5">
        <f t="shared" si="29"/>
        <v>866.97247706422013</v>
      </c>
      <c r="S48" s="5">
        <f t="shared" si="30"/>
        <v>78.027522935779871</v>
      </c>
      <c r="T48" s="31">
        <f t="shared" si="31"/>
        <v>45</v>
      </c>
      <c r="U48" s="71"/>
      <c r="V48" s="61"/>
      <c r="W48" s="13"/>
      <c r="Y48" s="142"/>
    </row>
    <row r="49" spans="1:25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35</v>
      </c>
      <c r="G49" s="13">
        <v>3.5</v>
      </c>
      <c r="H49" s="13">
        <v>3.5</v>
      </c>
      <c r="I49" s="13"/>
      <c r="J49" s="33"/>
      <c r="K49" s="33"/>
      <c r="L49" s="33"/>
      <c r="M49" s="33"/>
      <c r="N49" s="127"/>
      <c r="O49" s="13">
        <v>21</v>
      </c>
      <c r="P49" s="357"/>
      <c r="Q49" s="24">
        <f t="shared" si="28"/>
        <v>63</v>
      </c>
      <c r="R49" s="5">
        <f t="shared" si="29"/>
        <v>57.798165137614674</v>
      </c>
      <c r="S49" s="5">
        <f t="shared" si="30"/>
        <v>5.2018348623853257</v>
      </c>
      <c r="T49" s="21">
        <f t="shared" si="31"/>
        <v>6</v>
      </c>
      <c r="U49" s="71"/>
      <c r="V49" s="61">
        <v>10.5</v>
      </c>
      <c r="W49" s="13">
        <f t="shared" ref="W49:W50" si="33">+T49*V49</f>
        <v>63</v>
      </c>
      <c r="Y49" s="142"/>
    </row>
    <row r="50" spans="1:25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18.2</v>
      </c>
      <c r="F50" s="13">
        <v>263.2</v>
      </c>
      <c r="G50" s="13">
        <v>22.4</v>
      </c>
      <c r="H50" s="13">
        <v>1.4000000000000001</v>
      </c>
      <c r="I50" s="13"/>
      <c r="J50" s="33"/>
      <c r="K50" s="33"/>
      <c r="L50" s="33"/>
      <c r="M50" s="33"/>
      <c r="N50" s="127">
        <v>9.8000000000000007</v>
      </c>
      <c r="O50" s="13">
        <v>35</v>
      </c>
      <c r="P50" s="357"/>
      <c r="Q50" s="24">
        <f t="shared" si="28"/>
        <v>349.99999999999994</v>
      </c>
      <c r="R50" s="5">
        <f t="shared" si="29"/>
        <v>321.10091743119261</v>
      </c>
      <c r="S50" s="5">
        <f t="shared" si="30"/>
        <v>28.89908256880733</v>
      </c>
      <c r="T50" s="21">
        <f t="shared" si="31"/>
        <v>83.333333333333314</v>
      </c>
      <c r="U50" s="71"/>
      <c r="V50" s="61">
        <v>16.8</v>
      </c>
      <c r="W50" s="13">
        <f t="shared" si="33"/>
        <v>1399.9999999999998</v>
      </c>
      <c r="Y50" s="142"/>
    </row>
    <row r="51" spans="1:25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692.9</v>
      </c>
      <c r="F51" s="13">
        <v>11078.2</v>
      </c>
      <c r="G51" s="13">
        <v>1517</v>
      </c>
      <c r="H51" s="13">
        <v>213.2</v>
      </c>
      <c r="I51" s="13"/>
      <c r="J51" s="33"/>
      <c r="K51" s="33"/>
      <c r="L51" s="33"/>
      <c r="M51" s="33">
        <v>164</v>
      </c>
      <c r="N51" s="127">
        <v>291.09999999999997</v>
      </c>
      <c r="O51" s="13">
        <v>1299.7</v>
      </c>
      <c r="P51" s="357"/>
      <c r="Q51" s="24">
        <f t="shared" si="28"/>
        <v>15256.100000000002</v>
      </c>
      <c r="R51" s="5">
        <f t="shared" si="29"/>
        <v>13996.422018348625</v>
      </c>
      <c r="S51" s="5">
        <f t="shared" si="30"/>
        <v>1259.6779816513772</v>
      </c>
      <c r="T51" s="21">
        <f t="shared" si="31"/>
        <v>372.10000000000008</v>
      </c>
      <c r="U51" s="71"/>
      <c r="V51" s="61"/>
      <c r="W51" s="13"/>
      <c r="Y51" s="142"/>
    </row>
    <row r="52" spans="1:25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22.55</v>
      </c>
      <c r="F52" s="13">
        <v>834.35</v>
      </c>
      <c r="G52" s="13">
        <v>112.75</v>
      </c>
      <c r="H52" s="13">
        <v>8.1999999999999993</v>
      </c>
      <c r="I52" s="13"/>
      <c r="J52" s="33"/>
      <c r="K52" s="33"/>
      <c r="L52" s="33"/>
      <c r="M52" s="33">
        <v>0</v>
      </c>
      <c r="N52" s="127">
        <v>18.450000000000003</v>
      </c>
      <c r="O52" s="13">
        <v>38.950000000000003</v>
      </c>
      <c r="P52" s="357"/>
      <c r="Q52" s="24">
        <f t="shared" si="28"/>
        <v>1035.25</v>
      </c>
      <c r="R52" s="5">
        <f t="shared" si="29"/>
        <v>949.77064220183479</v>
      </c>
      <c r="S52" s="5">
        <f t="shared" si="30"/>
        <v>85.479357798165211</v>
      </c>
      <c r="T52" s="21">
        <f t="shared" si="31"/>
        <v>50.5</v>
      </c>
      <c r="U52" s="71"/>
      <c r="V52" s="61">
        <v>20.5</v>
      </c>
      <c r="W52" s="13">
        <f t="shared" ref="W52:W53" si="34">+T52*V52</f>
        <v>1035.25</v>
      </c>
      <c r="Y52" s="142"/>
    </row>
    <row r="53" spans="1:25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46.74</v>
      </c>
      <c r="F53" s="14">
        <v>942.18</v>
      </c>
      <c r="G53" s="14">
        <v>113.98</v>
      </c>
      <c r="H53" s="14">
        <v>26.24</v>
      </c>
      <c r="I53" s="14"/>
      <c r="J53" s="76"/>
      <c r="K53" s="76"/>
      <c r="L53" s="76"/>
      <c r="M53" s="76">
        <v>4.92</v>
      </c>
      <c r="N53" s="148">
        <v>21.32</v>
      </c>
      <c r="O53" s="14">
        <v>165.64</v>
      </c>
      <c r="P53" s="224"/>
      <c r="Q53" s="359">
        <f t="shared" si="28"/>
        <v>1321.02</v>
      </c>
      <c r="R53" s="6">
        <f t="shared" si="29"/>
        <v>1211.9449541284403</v>
      </c>
      <c r="S53" s="6">
        <f t="shared" si="30"/>
        <v>109.07504587155972</v>
      </c>
      <c r="T53" s="22">
        <f t="shared" si="31"/>
        <v>161.10000000000002</v>
      </c>
      <c r="U53" s="35"/>
      <c r="V53" s="61">
        <v>32.799999999999997</v>
      </c>
      <c r="W53" s="13">
        <f t="shared" si="34"/>
        <v>5284.08</v>
      </c>
      <c r="Y53" s="14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W73"/>
  <sheetViews>
    <sheetView topLeftCell="J1" zoomScaleNormal="100" workbookViewId="0">
      <selection activeCell="M5" sqref="M5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1.88671875" style="1" customWidth="1"/>
    <col min="16" max="16" width="11.88671875" style="1" hidden="1" customWidth="1" outlineLevel="1"/>
    <col min="17" max="17" width="12.33203125" style="1" bestFit="1" customWidth="1" collapsed="1"/>
    <col min="18" max="18" width="12.33203125" style="1" customWidth="1"/>
    <col min="19" max="19" width="13.109375" style="1" bestFit="1" customWidth="1"/>
    <col min="20" max="20" width="12.33203125" style="1" bestFit="1" customWidth="1"/>
    <col min="21" max="21" width="7.5546875" style="1" customWidth="1"/>
    <col min="22" max="22" width="6.44140625" style="1" customWidth="1" outlineLevel="1"/>
    <col min="23" max="23" width="13.33203125" style="2" customWidth="1" outlineLevel="1"/>
    <col min="24" max="16384" width="8.88671875" style="1"/>
  </cols>
  <sheetData>
    <row r="1" spans="1:23" ht="16.95" customHeight="1" x14ac:dyDescent="0.3">
      <c r="A1" s="40" t="s">
        <v>427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3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270"/>
      <c r="W3" s="584" t="s">
        <v>449</v>
      </c>
    </row>
    <row r="4" spans="1:23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444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T5" si="0">+E6+E18+E44</f>
        <v>173662.07525114159</v>
      </c>
      <c r="F5" s="82">
        <f t="shared" si="0"/>
        <v>5467038.8143378869</v>
      </c>
      <c r="G5" s="82">
        <f t="shared" si="0"/>
        <v>801291.37689497741</v>
      </c>
      <c r="H5" s="82">
        <f t="shared" si="0"/>
        <v>116231.2098173516</v>
      </c>
      <c r="I5" s="187">
        <f t="shared" si="0"/>
        <v>579086.19999999995</v>
      </c>
      <c r="J5" s="187">
        <f t="shared" si="0"/>
        <v>1094563.3999999999</v>
      </c>
      <c r="K5" s="192">
        <f t="shared" si="0"/>
        <v>893800.78000000014</v>
      </c>
      <c r="L5" s="192">
        <f t="shared" si="0"/>
        <v>93655.060000000056</v>
      </c>
      <c r="M5" s="187">
        <f t="shared" si="0"/>
        <v>65686.408904109587</v>
      </c>
      <c r="N5" s="187">
        <f t="shared" si="0"/>
        <v>62192.96333333334</v>
      </c>
      <c r="O5" s="187">
        <f t="shared" si="0"/>
        <v>501325.31516731257</v>
      </c>
      <c r="P5" s="187">
        <f t="shared" si="0"/>
        <v>0</v>
      </c>
      <c r="Q5" s="42">
        <f t="shared" ref="Q5:Q10" si="1">+SUM(E5:P5)</f>
        <v>9848533.6037061121</v>
      </c>
      <c r="R5" s="42">
        <f t="shared" si="0"/>
        <v>9035351.9300056081</v>
      </c>
      <c r="S5" s="42">
        <f t="shared" si="0"/>
        <v>813181.67370050517</v>
      </c>
      <c r="T5" s="44">
        <f t="shared" si="0"/>
        <v>2318765.3732526964</v>
      </c>
      <c r="U5" s="71"/>
      <c r="V5" s="87"/>
      <c r="W5" s="135">
        <f>+W6+W18+W44</f>
        <v>4586960.9103588359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T6" si="2">+E7+E11</f>
        <v>49786.32</v>
      </c>
      <c r="F6" s="82">
        <f t="shared" si="2"/>
        <v>1542276.9999999998</v>
      </c>
      <c r="G6" s="82">
        <f t="shared" si="2"/>
        <v>220533.02</v>
      </c>
      <c r="H6" s="82">
        <f t="shared" si="2"/>
        <v>30287.22</v>
      </c>
      <c r="I6" s="187">
        <f t="shared" si="2"/>
        <v>579086.19999999995</v>
      </c>
      <c r="J6" s="187">
        <f t="shared" si="2"/>
        <v>1094563.3999999999</v>
      </c>
      <c r="K6" s="192">
        <f t="shared" si="2"/>
        <v>893800.78000000014</v>
      </c>
      <c r="L6" s="192">
        <f t="shared" si="2"/>
        <v>93655.060000000056</v>
      </c>
      <c r="M6" s="187">
        <f t="shared" si="2"/>
        <v>19545.46</v>
      </c>
      <c r="N6" s="187">
        <f t="shared" si="2"/>
        <v>45341.340000000004</v>
      </c>
      <c r="O6" s="187">
        <f t="shared" si="2"/>
        <v>122784.92</v>
      </c>
      <c r="P6" s="187">
        <f t="shared" si="2"/>
        <v>0</v>
      </c>
      <c r="Q6" s="42">
        <f t="shared" si="1"/>
        <v>4691660.72</v>
      </c>
      <c r="R6" s="42">
        <f t="shared" si="2"/>
        <v>4304275.8899082569</v>
      </c>
      <c r="S6" s="42">
        <f t="shared" si="2"/>
        <v>387384.83009174326</v>
      </c>
      <c r="T6" s="44">
        <f t="shared" si="2"/>
        <v>2198076</v>
      </c>
      <c r="V6" s="61"/>
      <c r="W6" s="105">
        <f>+SUM(W8:W17)</f>
        <v>999807.78000000014</v>
      </c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T7" si="3">+SUM(E8:E10)</f>
        <v>0</v>
      </c>
      <c r="F7" s="269">
        <f t="shared" si="3"/>
        <v>0</v>
      </c>
      <c r="G7" s="126">
        <f t="shared" si="3"/>
        <v>0</v>
      </c>
      <c r="H7" s="126">
        <f t="shared" si="3"/>
        <v>0</v>
      </c>
      <c r="I7" s="126">
        <f t="shared" si="3"/>
        <v>579086.19999999995</v>
      </c>
      <c r="J7" s="126">
        <f t="shared" si="3"/>
        <v>1094563.3999999999</v>
      </c>
      <c r="K7" s="126">
        <f t="shared" si="3"/>
        <v>0</v>
      </c>
      <c r="L7" s="126">
        <f t="shared" si="3"/>
        <v>0</v>
      </c>
      <c r="M7" s="269">
        <f t="shared" si="3"/>
        <v>0</v>
      </c>
      <c r="N7" s="269">
        <f t="shared" si="3"/>
        <v>0</v>
      </c>
      <c r="O7" s="126">
        <f t="shared" si="3"/>
        <v>0</v>
      </c>
      <c r="P7" s="126">
        <f t="shared" si="3"/>
        <v>0</v>
      </c>
      <c r="Q7" s="43">
        <f t="shared" si="1"/>
        <v>1673649.5999999999</v>
      </c>
      <c r="R7" s="43">
        <f t="shared" si="3"/>
        <v>1535458.3486238532</v>
      </c>
      <c r="S7" s="43">
        <f t="shared" si="3"/>
        <v>138191.25137614686</v>
      </c>
      <c r="T7" s="45">
        <f t="shared" si="3"/>
        <v>606451</v>
      </c>
      <c r="U7" s="71"/>
      <c r="V7" s="134"/>
      <c r="W7" s="105"/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+'R_2014_08_atkelta(viso)'!E8+R_2014_08_priskirta!E9</f>
        <v>0</v>
      </c>
      <c r="F8" s="127">
        <f>+'R_2014_08_atkelta(viso)'!F8+R_2014_08_priskirta!F9</f>
        <v>0</v>
      </c>
      <c r="G8" s="127">
        <f>+'R_2014_08_atkelta(viso)'!G8+R_2014_08_priskirta!G9</f>
        <v>0</v>
      </c>
      <c r="H8" s="127">
        <f>+'R_2014_08_atkelta(viso)'!H8+R_2014_08_priskirta!H9</f>
        <v>0</v>
      </c>
      <c r="I8" s="127">
        <f>+'R_2014_08_atkelta(viso)'!I8+R_2014_08_priskirta!I9</f>
        <v>426062</v>
      </c>
      <c r="J8" s="127">
        <f>+'R_2014_08_atkelta(viso)'!J8+R_2014_08_priskirta!J9</f>
        <v>811580</v>
      </c>
      <c r="K8" s="127">
        <f>+'R_2014_08_atkelta(viso)'!K8+R_2014_08_priskirta!K9</f>
        <v>0</v>
      </c>
      <c r="L8" s="127">
        <f>+'R_2014_08_atkelta(viso)'!L8+R_2014_08_priskirta!L9</f>
        <v>0</v>
      </c>
      <c r="M8" s="127">
        <f>+'R_2014_08_atkelta(viso)'!M8+R_2014_08_priskirta!M9</f>
        <v>0</v>
      </c>
      <c r="N8" s="127">
        <f>+'R_2014_08_atkelta(viso)'!N8+R_2014_08_priskirta!N9</f>
        <v>0</v>
      </c>
      <c r="O8" s="127">
        <f>+'R_2014_08_atkelta(viso)'!O8+R_2014_08_priskirta!O9</f>
        <v>0</v>
      </c>
      <c r="P8" s="127">
        <f>+'R_2014_08_atkelta(viso)'!P8+R_2014_08_priskirta!P9</f>
        <v>0</v>
      </c>
      <c r="Q8" s="24">
        <f t="shared" si="1"/>
        <v>1237642</v>
      </c>
      <c r="R8" s="229">
        <f>+Q8/1.09</f>
        <v>1135451.3761467889</v>
      </c>
      <c r="S8" s="73">
        <f t="shared" ref="S8:S10" si="4">+Q8-R8</f>
        <v>102190.62385321106</v>
      </c>
      <c r="T8" s="39">
        <f>Q8/D8</f>
        <v>353612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+'R_2014_08_atkelta(viso)'!E9+R_2014_08_priskirta!E10</f>
        <v>0</v>
      </c>
      <c r="F9" s="127">
        <f>+'R_2014_08_atkelta(viso)'!F9+R_2014_08_priskirta!F10</f>
        <v>0</v>
      </c>
      <c r="G9" s="127">
        <f>+'R_2014_08_atkelta(viso)'!G9+R_2014_08_priskirta!G10</f>
        <v>0</v>
      </c>
      <c r="H9" s="127">
        <f>+'R_2014_08_atkelta(viso)'!H9+R_2014_08_priskirta!H10</f>
        <v>0</v>
      </c>
      <c r="I9" s="127">
        <f>+'R_2014_08_atkelta(viso)'!I9+R_2014_08_priskirta!I10</f>
        <v>150899</v>
      </c>
      <c r="J9" s="127">
        <f>+'R_2014_08_atkelta(viso)'!J9+R_2014_08_priskirta!J10</f>
        <v>280801.5</v>
      </c>
      <c r="K9" s="127">
        <f>+'R_2014_08_atkelta(viso)'!K9+R_2014_08_priskirta!K10</f>
        <v>0</v>
      </c>
      <c r="L9" s="127">
        <f>+'R_2014_08_atkelta(viso)'!L9+R_2014_08_priskirta!L10</f>
        <v>0</v>
      </c>
      <c r="M9" s="127">
        <f>+'R_2014_08_atkelta(viso)'!M9+R_2014_08_priskirta!M10</f>
        <v>0</v>
      </c>
      <c r="N9" s="127">
        <f>+'R_2014_08_atkelta(viso)'!N9+R_2014_08_priskirta!N10</f>
        <v>0</v>
      </c>
      <c r="O9" s="127">
        <f>+'R_2014_08_atkelta(viso)'!O9+R_2014_08_priskirta!O10</f>
        <v>0</v>
      </c>
      <c r="P9" s="127">
        <f>+'R_2014_08_atkelta(viso)'!P9+R_2014_08_priskirta!P10</f>
        <v>0</v>
      </c>
      <c r="Q9" s="24">
        <f t="shared" si="1"/>
        <v>431700.5</v>
      </c>
      <c r="R9" s="229">
        <f t="shared" ref="R9:R53" si="6">+Q9/1.09</f>
        <v>396055.50458715594</v>
      </c>
      <c r="S9" s="207">
        <f t="shared" si="4"/>
        <v>35644.995412844059</v>
      </c>
      <c r="T9" s="39">
        <f>Q9/D9</f>
        <v>246686</v>
      </c>
      <c r="U9" s="71"/>
      <c r="V9" s="61">
        <v>1.75</v>
      </c>
      <c r="W9" s="13">
        <f>+T9*V9</f>
        <v>431700.5</v>
      </c>
    </row>
    <row r="10" spans="1:23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+'R_2014_08_atkelta(viso)'!E10+R_2014_08_priskirta!E11</f>
        <v>0</v>
      </c>
      <c r="F10" s="127">
        <f>+'R_2014_08_atkelta(viso)'!F10+R_2014_08_priskirta!F11</f>
        <v>0</v>
      </c>
      <c r="G10" s="127">
        <f>+'R_2014_08_atkelta(viso)'!G10+R_2014_08_priskirta!G11</f>
        <v>0</v>
      </c>
      <c r="H10" s="127">
        <f>+'R_2014_08_atkelta(viso)'!H10+R_2014_08_priskirta!H11</f>
        <v>0</v>
      </c>
      <c r="I10" s="127">
        <f>+'R_2014_08_atkelta(viso)'!I10+R_2014_08_priskirta!I11</f>
        <v>2125.1999999999998</v>
      </c>
      <c r="J10" s="127">
        <f>+'R_2014_08_atkelta(viso)'!J10+R_2014_08_priskirta!J11</f>
        <v>2181.9</v>
      </c>
      <c r="K10" s="127">
        <f>+'R_2014_08_atkelta(viso)'!K10+R_2014_08_priskirta!K11</f>
        <v>0</v>
      </c>
      <c r="L10" s="127">
        <f>+'R_2014_08_atkelta(viso)'!L10+R_2014_08_priskirta!L11</f>
        <v>0</v>
      </c>
      <c r="M10" s="127">
        <f>+'R_2014_08_atkelta(viso)'!M10+R_2014_08_priskirta!M11</f>
        <v>0</v>
      </c>
      <c r="N10" s="127">
        <f>+'R_2014_08_atkelta(viso)'!N10+R_2014_08_priskirta!N11</f>
        <v>0</v>
      </c>
      <c r="O10" s="127">
        <f>+'R_2014_08_atkelta(viso)'!O10+R_2014_08_priskirta!O11</f>
        <v>0</v>
      </c>
      <c r="P10" s="127">
        <f>+'R_2014_08_atkelta(viso)'!P10+R_2014_08_priskirta!P11</f>
        <v>0</v>
      </c>
      <c r="Q10" s="24">
        <f t="shared" si="1"/>
        <v>4307.1000000000004</v>
      </c>
      <c r="R10" s="229">
        <f t="shared" si="6"/>
        <v>3951.4678899082569</v>
      </c>
      <c r="S10" s="207">
        <f t="shared" si="4"/>
        <v>355.63211009174347</v>
      </c>
      <c r="T10" s="39">
        <f>Q10/D10</f>
        <v>6153.0000000000009</v>
      </c>
      <c r="U10" s="71"/>
      <c r="V10" s="107">
        <v>2.8</v>
      </c>
      <c r="W10" s="13">
        <f>+T10*V10</f>
        <v>17228.400000000001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49786.32</v>
      </c>
      <c r="F11" s="84">
        <f t="shared" si="7"/>
        <v>1542276.9999999998</v>
      </c>
      <c r="G11" s="84">
        <f t="shared" si="7"/>
        <v>220533.02</v>
      </c>
      <c r="H11" s="84">
        <f t="shared" si="7"/>
        <v>30287.22</v>
      </c>
      <c r="I11" s="84">
        <f t="shared" si="7"/>
        <v>0</v>
      </c>
      <c r="J11" s="74">
        <f t="shared" si="7"/>
        <v>0</v>
      </c>
      <c r="K11" s="101">
        <f t="shared" si="7"/>
        <v>893800.78000000014</v>
      </c>
      <c r="L11" s="101">
        <f t="shared" si="7"/>
        <v>93655.060000000056</v>
      </c>
      <c r="M11" s="101">
        <f t="shared" ref="M11:T11" si="8">+SUM(M12:M17)</f>
        <v>19545.46</v>
      </c>
      <c r="N11" s="101">
        <f t="shared" ref="N11" si="9">+SUM(N12:N17)</f>
        <v>45341.340000000004</v>
      </c>
      <c r="O11" s="101">
        <f t="shared" si="8"/>
        <v>122784.92</v>
      </c>
      <c r="P11" s="101">
        <f t="shared" ref="P11:Q11" si="10">+SUM(P12:P17)</f>
        <v>0</v>
      </c>
      <c r="Q11" s="43">
        <f t="shared" si="10"/>
        <v>3018011.1200000006</v>
      </c>
      <c r="R11" s="43">
        <f t="shared" si="8"/>
        <v>2768817.5412844038</v>
      </c>
      <c r="S11" s="72">
        <f t="shared" si="8"/>
        <v>249193.57871559638</v>
      </c>
      <c r="T11" s="45">
        <f t="shared" si="8"/>
        <v>1591625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+'R_2014_08_atkelta(viso)'!E12+R_2014_08_priskirta!E13</f>
        <v>40508.6</v>
      </c>
      <c r="F12" s="127">
        <f>+'R_2014_08_atkelta(viso)'!F12+R_2014_08_priskirta!F13</f>
        <v>1177906.3999999999</v>
      </c>
      <c r="G12" s="127">
        <f>+'R_2014_08_atkelta(viso)'!G12+R_2014_08_priskirta!G13</f>
        <v>163209.20000000001</v>
      </c>
      <c r="H12" s="127">
        <f>+'R_2014_08_atkelta(viso)'!H12+R_2014_08_priskirta!H13</f>
        <v>23047.200000000001</v>
      </c>
      <c r="I12" s="127">
        <f>+'R_2014_08_atkelta(viso)'!I12+R_2014_08_priskirta!I13</f>
        <v>0</v>
      </c>
      <c r="J12" s="127">
        <f>+'R_2014_08_atkelta(viso)'!J12+R_2014_08_priskirta!J13</f>
        <v>0</v>
      </c>
      <c r="K12" s="127">
        <f>+'R_2014_08_atkelta(viso)'!K12+R_2014_08_priskirta!K13</f>
        <v>685066.8</v>
      </c>
      <c r="L12" s="127">
        <f>+'R_2014_08_atkelta(viso)'!L12+R_2014_08_priskirta!L13</f>
        <v>72461.400000000023</v>
      </c>
      <c r="M12" s="127">
        <f>+'R_2014_08_atkelta(viso)'!M12+R_2014_08_priskirta!M13</f>
        <v>13303.4</v>
      </c>
      <c r="N12" s="127">
        <f>+'R_2014_08_atkelta(viso)'!N12+R_2014_08_priskirta!N13</f>
        <v>38478</v>
      </c>
      <c r="O12" s="127">
        <f>+'R_2014_08_atkelta(viso)'!O12+R_2014_08_priskirta!O13</f>
        <v>108482</v>
      </c>
      <c r="P12" s="127">
        <f>+'R_2014_08_atkelta(viso)'!P12+R_2014_08_priskirta!P13</f>
        <v>0</v>
      </c>
      <c r="Q12" s="127">
        <f>+'R_2014_08_atkelta(viso)'!Q12+R_2014_08_priskirta!Q13</f>
        <v>2322463</v>
      </c>
      <c r="R12" s="229">
        <f t="shared" si="6"/>
        <v>2130700</v>
      </c>
      <c r="S12" s="73">
        <f t="shared" ref="S12:S17" si="11">+Q12-R12</f>
        <v>191763</v>
      </c>
      <c r="T12" s="21">
        <f t="shared" ref="T12:T17" si="12">Q12/D12</f>
        <v>1055665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+'R_2014_08_atkelta(viso)'!E13+R_2014_08_priskirta!E14</f>
        <v>8426</v>
      </c>
      <c r="F13" s="127">
        <f>+'R_2014_08_atkelta(viso)'!F13+R_2014_08_priskirta!F14</f>
        <v>338243.4</v>
      </c>
      <c r="G13" s="127">
        <f>+'R_2014_08_atkelta(viso)'!G13+R_2014_08_priskirta!G14</f>
        <v>52660.3</v>
      </c>
      <c r="H13" s="127">
        <f>+'R_2014_08_atkelta(viso)'!H13+R_2014_08_priskirta!H14</f>
        <v>6871.7000000000007</v>
      </c>
      <c r="I13" s="127">
        <f>+'R_2014_08_atkelta(viso)'!I13+R_2014_08_priskirta!I14</f>
        <v>0</v>
      </c>
      <c r="J13" s="127">
        <f>+'R_2014_08_atkelta(viso)'!J13+R_2014_08_priskirta!J14</f>
        <v>0</v>
      </c>
      <c r="K13" s="127">
        <f>+'R_2014_08_atkelta(viso)'!K13+R_2014_08_priskirta!K14</f>
        <v>72218.3</v>
      </c>
      <c r="L13" s="127">
        <f>+'R_2014_08_atkelta(viso)'!L13+R_2014_08_priskirta!L14</f>
        <v>6519.7000000000262</v>
      </c>
      <c r="M13" s="127">
        <f>+'R_2014_08_atkelta(viso)'!M13+R_2014_08_priskirta!M14</f>
        <v>5910.3</v>
      </c>
      <c r="N13" s="127">
        <f>+'R_2014_08_atkelta(viso)'!N13+R_2014_08_priskirta!N14</f>
        <v>1538.9000000000003</v>
      </c>
      <c r="O13" s="127">
        <f>+'R_2014_08_atkelta(viso)'!O13+R_2014_08_priskirta!O14</f>
        <v>7046.6</v>
      </c>
      <c r="P13" s="127">
        <f>+'R_2014_08_atkelta(viso)'!P13+R_2014_08_priskirta!P14</f>
        <v>0</v>
      </c>
      <c r="Q13" s="127">
        <f>+'R_2014_08_atkelta(viso)'!Q13+R_2014_08_priskirta!Q14</f>
        <v>499435.2</v>
      </c>
      <c r="R13" s="229">
        <f t="shared" si="6"/>
        <v>458197.43119266053</v>
      </c>
      <c r="S13" s="73">
        <f t="shared" si="11"/>
        <v>41237.768807339482</v>
      </c>
      <c r="T13" s="21">
        <f t="shared" si="12"/>
        <v>454032</v>
      </c>
      <c r="U13" s="71"/>
      <c r="V13" s="107">
        <v>1.1000000000000001</v>
      </c>
      <c r="W13" s="13">
        <f t="shared" ref="W13:W14" si="13">+T13*V13</f>
        <v>499435.2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+'R_2014_08_atkelta(viso)'!E14+R_2014_08_priskirta!E15</f>
        <v>112.2</v>
      </c>
      <c r="F14" s="127">
        <f>+'R_2014_08_atkelta(viso)'!F14+R_2014_08_priskirta!F15</f>
        <v>3908.96</v>
      </c>
      <c r="G14" s="127">
        <f>+'R_2014_08_atkelta(viso)'!G14+R_2014_08_priskirta!G15</f>
        <v>522.72</v>
      </c>
      <c r="H14" s="127">
        <f>+'R_2014_08_atkelta(viso)'!H14+R_2014_08_priskirta!H15</f>
        <v>56.319999999999993</v>
      </c>
      <c r="I14" s="127">
        <f>+'R_2014_08_atkelta(viso)'!I14+R_2014_08_priskirta!I15</f>
        <v>0</v>
      </c>
      <c r="J14" s="127">
        <f>+'R_2014_08_atkelta(viso)'!J14+R_2014_08_priskirta!J15</f>
        <v>0</v>
      </c>
      <c r="K14" s="127">
        <f>+'R_2014_08_atkelta(viso)'!K14+R_2014_08_priskirta!K15</f>
        <v>1233.76</v>
      </c>
      <c r="L14" s="127">
        <f>+'R_2014_08_atkelta(viso)'!L14+R_2014_08_priskirta!L15</f>
        <v>124.51999999999998</v>
      </c>
      <c r="M14" s="127">
        <f>+'R_2014_08_atkelta(viso)'!M14+R_2014_08_priskirta!M15</f>
        <v>67.760000000000005</v>
      </c>
      <c r="N14" s="127">
        <f>+'R_2014_08_atkelta(viso)'!N14+R_2014_08_priskirta!N15</f>
        <v>343.63999999999993</v>
      </c>
      <c r="O14" s="127">
        <f>+'R_2014_08_atkelta(viso)'!O14+R_2014_08_priskirta!O15</f>
        <v>59.84</v>
      </c>
      <c r="P14" s="127">
        <f>+'R_2014_08_atkelta(viso)'!P14+R_2014_08_priskirta!P15</f>
        <v>0</v>
      </c>
      <c r="Q14" s="127">
        <f>+'R_2014_08_atkelta(viso)'!Q14+R_2014_08_priskirta!Q15</f>
        <v>6429.72</v>
      </c>
      <c r="R14" s="229">
        <f t="shared" si="6"/>
        <v>5898.8256880733943</v>
      </c>
      <c r="S14" s="73">
        <f t="shared" si="11"/>
        <v>530.89431192660595</v>
      </c>
      <c r="T14" s="21">
        <f t="shared" si="12"/>
        <v>14613</v>
      </c>
      <c r="U14" s="71"/>
      <c r="V14" s="61">
        <v>1.76</v>
      </c>
      <c r="W14" s="13">
        <f t="shared" si="13"/>
        <v>25718.880000000001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+'R_2014_08_atkelta(viso)'!E15+R_2014_08_priskirta!E16</f>
        <v>572.79999999999995</v>
      </c>
      <c r="F15" s="127">
        <f>+'R_2014_08_atkelta(viso)'!F15+R_2014_08_priskirta!F16</f>
        <v>17920</v>
      </c>
      <c r="G15" s="127">
        <f>+'R_2014_08_atkelta(viso)'!G15+R_2014_08_priskirta!G16</f>
        <v>3318.4</v>
      </c>
      <c r="H15" s="127">
        <f>+'R_2014_08_atkelta(viso)'!H15+R_2014_08_priskirta!H16</f>
        <v>198.4</v>
      </c>
      <c r="I15" s="127">
        <f>+'R_2014_08_atkelta(viso)'!I15+R_2014_08_priskirta!I16</f>
        <v>0</v>
      </c>
      <c r="J15" s="127">
        <f>+'R_2014_08_atkelta(viso)'!J15+R_2014_08_priskirta!J16</f>
        <v>0</v>
      </c>
      <c r="K15" s="127">
        <f>+'R_2014_08_atkelta(viso)'!K15+R_2014_08_priskirta!K16</f>
        <v>118985.60000000001</v>
      </c>
      <c r="L15" s="127">
        <f>+'R_2014_08_atkelta(viso)'!L15+R_2014_08_priskirta!L16</f>
        <v>12883.200000000012</v>
      </c>
      <c r="M15" s="127">
        <f>+'R_2014_08_atkelta(viso)'!M15+R_2014_08_priskirta!M16</f>
        <v>198.4</v>
      </c>
      <c r="N15" s="127">
        <f>+'R_2014_08_atkelta(viso)'!N15+R_2014_08_priskirta!N16</f>
        <v>4576</v>
      </c>
      <c r="O15" s="127">
        <f>+'R_2014_08_atkelta(viso)'!O15+R_2014_08_priskirta!O16</f>
        <v>6678.4</v>
      </c>
      <c r="P15" s="127">
        <f>+'R_2014_08_atkelta(viso)'!P15+R_2014_08_priskirta!P16</f>
        <v>0</v>
      </c>
      <c r="Q15" s="127">
        <f>+'R_2014_08_atkelta(viso)'!Q15+R_2014_08_priskirta!Q16</f>
        <v>165331.20000000001</v>
      </c>
      <c r="R15" s="229">
        <f t="shared" si="6"/>
        <v>151680</v>
      </c>
      <c r="S15" s="73">
        <f t="shared" si="11"/>
        <v>13651.200000000012</v>
      </c>
      <c r="T15" s="21">
        <f t="shared" si="12"/>
        <v>51666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+'R_2014_08_atkelta(viso)'!E16+R_2014_08_priskirta!E17</f>
        <v>158.4</v>
      </c>
      <c r="F16" s="127">
        <f>+'R_2014_08_atkelta(viso)'!F16+R_2014_08_priskirta!F17</f>
        <v>4230.3999999999996</v>
      </c>
      <c r="G16" s="127">
        <f>+'R_2014_08_atkelta(viso)'!G16+R_2014_08_priskirta!G17</f>
        <v>822.4</v>
      </c>
      <c r="H16" s="127">
        <f>+'R_2014_08_atkelta(viso)'!H16+R_2014_08_priskirta!H17</f>
        <v>113.60000000000001</v>
      </c>
      <c r="I16" s="127">
        <f>+'R_2014_08_atkelta(viso)'!I16+R_2014_08_priskirta!I17</f>
        <v>0</v>
      </c>
      <c r="J16" s="127">
        <f>+'R_2014_08_atkelta(viso)'!J16+R_2014_08_priskirta!J17</f>
        <v>0</v>
      </c>
      <c r="K16" s="127">
        <f>+'R_2014_08_atkelta(viso)'!K16+R_2014_08_priskirta!K17</f>
        <v>16028.8</v>
      </c>
      <c r="L16" s="127">
        <f>+'R_2014_08_atkelta(viso)'!L16+R_2014_08_priskirta!L17</f>
        <v>1643.2000000000007</v>
      </c>
      <c r="M16" s="127">
        <f>+'R_2014_08_atkelta(viso)'!M16+R_2014_08_priskirta!M17</f>
        <v>52.8</v>
      </c>
      <c r="N16" s="127">
        <f>+'R_2014_08_atkelta(viso)'!N16+R_2014_08_priskirta!N17</f>
        <v>328.00000000000006</v>
      </c>
      <c r="O16" s="127">
        <f>+'R_2014_08_atkelta(viso)'!O16+R_2014_08_priskirta!O17</f>
        <v>516.79999999999995</v>
      </c>
      <c r="P16" s="127">
        <f>+'R_2014_08_atkelta(viso)'!P16+R_2014_08_priskirta!P17</f>
        <v>0</v>
      </c>
      <c r="Q16" s="127">
        <f>+'R_2014_08_atkelta(viso)'!Q16+R_2014_08_priskirta!Q17</f>
        <v>23894.399999999998</v>
      </c>
      <c r="R16" s="229">
        <f t="shared" si="6"/>
        <v>21921.467889908254</v>
      </c>
      <c r="S16" s="73">
        <f t="shared" si="11"/>
        <v>1972.9321100917441</v>
      </c>
      <c r="T16" s="21">
        <f t="shared" si="12"/>
        <v>14933.999999999998</v>
      </c>
      <c r="U16" s="71"/>
      <c r="V16" s="13">
        <v>1.6</v>
      </c>
      <c r="W16" s="13">
        <f t="shared" ref="W16:W17" si="14">+T16*V16</f>
        <v>23894.399999999998</v>
      </c>
    </row>
    <row r="17" spans="1:23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+'R_2014_08_atkelta(viso)'!E17+R_2014_08_priskirta!E18</f>
        <v>8.32</v>
      </c>
      <c r="F17" s="127">
        <f>+'R_2014_08_atkelta(viso)'!F17+R_2014_08_priskirta!F18</f>
        <v>67.84</v>
      </c>
      <c r="G17" s="127">
        <f>+'R_2014_08_atkelta(viso)'!G17+R_2014_08_priskirta!G18</f>
        <v>0</v>
      </c>
      <c r="H17" s="127">
        <f>+'R_2014_08_atkelta(viso)'!H17+R_2014_08_priskirta!H18</f>
        <v>0</v>
      </c>
      <c r="I17" s="127">
        <f>+'R_2014_08_atkelta(viso)'!I17+R_2014_08_priskirta!I18</f>
        <v>0</v>
      </c>
      <c r="J17" s="127">
        <f>+'R_2014_08_atkelta(viso)'!J17+R_2014_08_priskirta!J18</f>
        <v>0</v>
      </c>
      <c r="K17" s="127">
        <f>+'R_2014_08_atkelta(viso)'!K17+R_2014_08_priskirta!K18</f>
        <v>267.52</v>
      </c>
      <c r="L17" s="127">
        <f>+'R_2014_08_atkelta(viso)'!L17+R_2014_08_priskirta!L18</f>
        <v>23.039999999999992</v>
      </c>
      <c r="M17" s="127">
        <f>+'R_2014_08_atkelta(viso)'!M17+R_2014_08_priskirta!M18</f>
        <v>12.8</v>
      </c>
      <c r="N17" s="127">
        <f>+'R_2014_08_atkelta(viso)'!N17+R_2014_08_priskirta!N18</f>
        <v>76.800000000000026</v>
      </c>
      <c r="O17" s="127">
        <f>+'R_2014_08_atkelta(viso)'!O17+R_2014_08_priskirta!O18</f>
        <v>1.28</v>
      </c>
      <c r="P17" s="127">
        <f>+'R_2014_08_atkelta(viso)'!P17+R_2014_08_priskirta!P18</f>
        <v>0</v>
      </c>
      <c r="Q17" s="127">
        <f>+'R_2014_08_atkelta(viso)'!Q17+R_2014_08_priskirta!Q18</f>
        <v>457.59999999999991</v>
      </c>
      <c r="R17" s="229">
        <f t="shared" si="6"/>
        <v>419.81651376146777</v>
      </c>
      <c r="S17" s="207">
        <f t="shared" si="11"/>
        <v>37.783486238532134</v>
      </c>
      <c r="T17" s="22">
        <f t="shared" si="12"/>
        <v>714.99999999999989</v>
      </c>
      <c r="U17" s="71"/>
      <c r="V17" s="61">
        <v>2.56</v>
      </c>
      <c r="W17" s="13">
        <f t="shared" si="14"/>
        <v>1830.3999999999996</v>
      </c>
    </row>
    <row r="18" spans="1:23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117588.2052511416</v>
      </c>
      <c r="F18" s="118">
        <f t="shared" ref="F18:T18" si="15">+SUM(F19:F43)</f>
        <v>3738277.1843378874</v>
      </c>
      <c r="G18" s="118">
        <f t="shared" si="15"/>
        <v>552391.21689497738</v>
      </c>
      <c r="H18" s="118">
        <f t="shared" si="15"/>
        <v>81751.819817351599</v>
      </c>
      <c r="I18" s="118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ref="L18" si="16">+SUM(L19:L43)</f>
        <v>0</v>
      </c>
      <c r="M18" s="118">
        <f t="shared" si="15"/>
        <v>44094.958904109582</v>
      </c>
      <c r="N18" s="118">
        <f t="shared" ref="N18" si="17">+SUM(N19:N43)</f>
        <v>14171.333333333338</v>
      </c>
      <c r="O18" s="118">
        <f t="shared" si="15"/>
        <v>363326.31516731257</v>
      </c>
      <c r="P18" s="118">
        <f t="shared" ref="P18" si="18">+SUM(P19:P43)</f>
        <v>0</v>
      </c>
      <c r="Q18" s="42">
        <f>+SUM(Q19:Q43)</f>
        <v>4911601.0337061156</v>
      </c>
      <c r="R18" s="118">
        <f t="shared" si="15"/>
        <v>4506055.9942257917</v>
      </c>
      <c r="S18" s="118">
        <f t="shared" si="15"/>
        <v>405545.03948032157</v>
      </c>
      <c r="T18" s="253">
        <f t="shared" si="15"/>
        <v>82630.006586029675</v>
      </c>
      <c r="U18" s="71"/>
      <c r="V18" s="61"/>
      <c r="W18" s="105">
        <f>+SUM(W19:W43)</f>
        <v>3219888.2803588365</v>
      </c>
    </row>
    <row r="19" spans="1:23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+'R_2014_08_atkelta(viso)'!E19+R_2014_08_priskirta!E20</f>
        <v>76303.333333333343</v>
      </c>
      <c r="F19" s="127">
        <f>+'R_2014_08_atkelta(viso)'!F19+R_2014_08_priskirta!F20</f>
        <v>2298153.3333333223</v>
      </c>
      <c r="G19" s="127">
        <f>+'R_2014_08_atkelta(viso)'!G19+R_2014_08_priskirta!G20</f>
        <v>328366.66666666663</v>
      </c>
      <c r="H19" s="127">
        <f>+'R_2014_08_atkelta(viso)'!H19+R_2014_08_priskirta!H20</f>
        <v>44996.666666666672</v>
      </c>
      <c r="I19" s="127">
        <f>+'R_2014_08_atkelta(viso)'!I19+R_2014_08_priskirta!I20</f>
        <v>0</v>
      </c>
      <c r="J19" s="127">
        <f>+'R_2014_08_atkelta(viso)'!J19+R_2014_08_priskirta!J20</f>
        <v>0</v>
      </c>
      <c r="K19" s="127">
        <f>+'R_2014_08_atkelta(viso)'!K19+R_2014_08_priskirta!K20</f>
        <v>0</v>
      </c>
      <c r="L19" s="127">
        <f>+'R_2014_08_atkelta(viso)'!L19+R_2014_08_priskirta!L20</f>
        <v>0</v>
      </c>
      <c r="M19" s="127">
        <f>+'R_2014_08_atkelta(viso)'!M19+R_2014_08_priskirta!M20</f>
        <v>26776.666666666664</v>
      </c>
      <c r="N19" s="127">
        <f>+'R_2014_08_atkelta(viso)'!N19+R_2014_08_priskirta!N20</f>
        <v>9113.3333333333358</v>
      </c>
      <c r="O19" s="127">
        <f>+'R_2014_08_atkelta(viso)'!O19+R_2014_08_priskirta!O20</f>
        <v>204786.67306945799</v>
      </c>
      <c r="P19" s="127">
        <f>+'R_2014_06_atkelta(viso)'!Q19+R_2014_06_priskirta!Q20</f>
        <v>0</v>
      </c>
      <c r="Q19" s="24">
        <f t="shared" ref="Q19:Q43" si="19">+SUM(E19:P19)</f>
        <v>2988496.6730694468</v>
      </c>
      <c r="R19" s="229">
        <f t="shared" si="6"/>
        <v>2741740.0670361896</v>
      </c>
      <c r="S19" s="93">
        <f>+Q19-R19</f>
        <v>246756.60603325721</v>
      </c>
      <c r="T19" s="94">
        <f t="shared" ref="T19:T43" si="20">Q19/D19</f>
        <v>29884.966730694468</v>
      </c>
      <c r="U19" s="71"/>
      <c r="V19" s="61"/>
      <c r="W19" s="106"/>
    </row>
    <row r="20" spans="1:23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f>+'R_2014_08_atkelta(viso)'!E20+R_2014_08_priskirta!E21</f>
        <v>14476.666666666666</v>
      </c>
      <c r="F20" s="127">
        <f>+'R_2014_08_atkelta(viso)'!F20+R_2014_08_priskirta!F21</f>
        <v>685433.33333333372</v>
      </c>
      <c r="G20" s="127">
        <f>+'R_2014_08_atkelta(viso)'!G20+R_2014_08_priskirta!G21</f>
        <v>99176.666666666686</v>
      </c>
      <c r="H20" s="127">
        <f>+'R_2014_08_atkelta(viso)'!H20+R_2014_08_priskirta!H21</f>
        <v>16443.333333333332</v>
      </c>
      <c r="I20" s="127">
        <f>+'R_2014_08_atkelta(viso)'!I20+R_2014_08_priskirta!I21</f>
        <v>0</v>
      </c>
      <c r="J20" s="127">
        <f>+'R_2014_08_atkelta(viso)'!J20+R_2014_08_priskirta!J21</f>
        <v>0</v>
      </c>
      <c r="K20" s="127">
        <f>+'R_2014_08_atkelta(viso)'!K20+R_2014_08_priskirta!K21</f>
        <v>0</v>
      </c>
      <c r="L20" s="127">
        <f>+'R_2014_08_atkelta(viso)'!L20+R_2014_08_priskirta!L21</f>
        <v>0</v>
      </c>
      <c r="M20" s="127">
        <f>+'R_2014_08_atkelta(viso)'!M20+R_2014_08_priskirta!M21</f>
        <v>10020</v>
      </c>
      <c r="N20" s="127">
        <f>+'R_2014_08_atkelta(viso)'!N20+R_2014_08_priskirta!N21</f>
        <v>283.33333333333331</v>
      </c>
      <c r="O20" s="127">
        <f>+'R_2014_08_atkelta(viso)'!O20+R_2014_08_priskirta!O21</f>
        <v>10956.66700012207</v>
      </c>
      <c r="P20" s="127">
        <f>+'R_2014_06_atkelta(viso)'!Q20+R_2014_06_priskirta!Q21</f>
        <v>0</v>
      </c>
      <c r="Q20" s="24">
        <f t="shared" si="19"/>
        <v>836790.00033345574</v>
      </c>
      <c r="R20" s="229">
        <f t="shared" si="6"/>
        <v>767697.2480123447</v>
      </c>
      <c r="S20" s="73">
        <f t="shared" ref="S20:S43" si="21">+Q20-R20</f>
        <v>69092.752321111038</v>
      </c>
      <c r="T20" s="21">
        <f t="shared" si="20"/>
        <v>16735.800006669117</v>
      </c>
      <c r="U20" s="71"/>
      <c r="V20" s="61">
        <v>50</v>
      </c>
      <c r="W20" s="13">
        <f t="shared" ref="W20:W21" si="22">+T20*V20</f>
        <v>836790.00033345586</v>
      </c>
    </row>
    <row r="21" spans="1:23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+'R_2014_08_atkelta(viso)'!E21+R_2014_08_priskirta!E22</f>
        <v>13448</v>
      </c>
      <c r="F21" s="127">
        <f>+'R_2014_08_atkelta(viso)'!F21+R_2014_08_priskirta!F22</f>
        <v>424535.34</v>
      </c>
      <c r="G21" s="127">
        <f>+'R_2014_08_atkelta(viso)'!G21+R_2014_08_priskirta!G22</f>
        <v>70279.34</v>
      </c>
      <c r="H21" s="127">
        <f>+'R_2014_08_atkelta(viso)'!H21+R_2014_08_priskirta!H22</f>
        <v>6300</v>
      </c>
      <c r="I21" s="127">
        <f>+'R_2014_08_atkelta(viso)'!I21+R_2014_08_priskirta!I22</f>
        <v>0</v>
      </c>
      <c r="J21" s="127">
        <f>+'R_2014_08_atkelta(viso)'!J21+R_2014_08_priskirta!J22</f>
        <v>0</v>
      </c>
      <c r="K21" s="127">
        <f>+'R_2014_08_atkelta(viso)'!K21+R_2014_08_priskirta!K22</f>
        <v>0</v>
      </c>
      <c r="L21" s="127">
        <f>+'R_2014_08_atkelta(viso)'!L21+R_2014_08_priskirta!L22</f>
        <v>0</v>
      </c>
      <c r="M21" s="127">
        <f>+'R_2014_08_atkelta(viso)'!M21+R_2014_08_priskirta!M22</f>
        <v>3840</v>
      </c>
      <c r="N21" s="127">
        <f>+'R_2014_08_atkelta(viso)'!N21+R_2014_08_priskirta!N22</f>
        <v>2999.3333333333335</v>
      </c>
      <c r="O21" s="127">
        <f>+'R_2014_08_atkelta(viso)'!O21+R_2014_08_priskirta!O22</f>
        <v>50146</v>
      </c>
      <c r="P21" s="127">
        <f>+'R_2014_06_atkelta(viso)'!Q21+R_2014_06_priskirta!Q22</f>
        <v>0</v>
      </c>
      <c r="Q21" s="24">
        <f t="shared" si="19"/>
        <v>571548.01333333342</v>
      </c>
      <c r="R21" s="229">
        <f t="shared" si="6"/>
        <v>524355.9755351682</v>
      </c>
      <c r="S21" s="73">
        <f t="shared" si="21"/>
        <v>47192.037798165227</v>
      </c>
      <c r="T21" s="21">
        <f t="shared" si="20"/>
        <v>28577.400666666672</v>
      </c>
      <c r="U21" s="71"/>
      <c r="V21" s="61">
        <v>80</v>
      </c>
      <c r="W21" s="13">
        <f t="shared" si="22"/>
        <v>2286192.0533333337</v>
      </c>
    </row>
    <row r="22" spans="1:23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f>+'R_2014_08_atkelta(viso)'!E22+R_2014_08_priskirta!E23</f>
        <v>11739</v>
      </c>
      <c r="F22" s="127">
        <f>+'R_2014_08_atkelta(viso)'!F22+R_2014_08_priskirta!F23</f>
        <v>284193</v>
      </c>
      <c r="G22" s="127">
        <f>+'R_2014_08_atkelta(viso)'!G22+R_2014_08_priskirta!G23</f>
        <v>48546</v>
      </c>
      <c r="H22" s="127">
        <f>+'R_2014_08_atkelta(viso)'!H22+R_2014_08_priskirta!H23</f>
        <v>9060</v>
      </c>
      <c r="I22" s="127">
        <f>+'R_2014_08_atkelta(viso)'!I22+R_2014_08_priskirta!I23</f>
        <v>0</v>
      </c>
      <c r="J22" s="127">
        <f>+'R_2014_08_atkelta(viso)'!J22+R_2014_08_priskirta!J23</f>
        <v>0</v>
      </c>
      <c r="K22" s="127">
        <f>+'R_2014_08_atkelta(viso)'!K22+R_2014_08_priskirta!K23</f>
        <v>0</v>
      </c>
      <c r="L22" s="127">
        <f>+'R_2014_08_atkelta(viso)'!L22+R_2014_08_priskirta!L23</f>
        <v>0</v>
      </c>
      <c r="M22" s="127">
        <f>+'R_2014_08_atkelta(viso)'!M22+R_2014_08_priskirta!M23</f>
        <v>3042</v>
      </c>
      <c r="N22" s="127">
        <f>+'R_2014_08_atkelta(viso)'!N22+R_2014_08_priskirta!N23</f>
        <v>1641</v>
      </c>
      <c r="O22" s="127">
        <f>+'R_2014_08_atkelta(viso)'!O22+R_2014_08_priskirta!O23</f>
        <v>70899</v>
      </c>
      <c r="P22" s="127">
        <f>+'R_2014_06_atkelta(viso)'!Q22+R_2014_06_priskirta!Q23</f>
        <v>0</v>
      </c>
      <c r="Q22" s="24">
        <f t="shared" si="19"/>
        <v>429120</v>
      </c>
      <c r="R22" s="229">
        <f t="shared" si="6"/>
        <v>393688.07339449541</v>
      </c>
      <c r="S22" s="73">
        <f t="shared" si="21"/>
        <v>35431.926605504588</v>
      </c>
      <c r="T22" s="21">
        <f t="shared" si="20"/>
        <v>4768</v>
      </c>
      <c r="U22" s="71"/>
      <c r="V22" s="61"/>
      <c r="W22" s="13"/>
    </row>
    <row r="23" spans="1:23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f>+'R_2014_08_atkelta(viso)'!E23+R_2014_08_priskirta!E24</f>
        <v>391.5</v>
      </c>
      <c r="F23" s="127">
        <f>+'R_2014_08_atkelta(viso)'!F23+R_2014_08_priskirta!F24</f>
        <v>17029.5</v>
      </c>
      <c r="G23" s="127">
        <f>+'R_2014_08_atkelta(viso)'!G23+R_2014_08_priskirta!G24</f>
        <v>3019.5</v>
      </c>
      <c r="H23" s="127">
        <f>+'R_2014_08_atkelta(viso)'!H23+R_2014_08_priskirta!H24</f>
        <v>675</v>
      </c>
      <c r="I23" s="127">
        <f>+'R_2014_08_atkelta(viso)'!I23+R_2014_08_priskirta!I24</f>
        <v>0</v>
      </c>
      <c r="J23" s="127">
        <f>+'R_2014_08_atkelta(viso)'!J23+R_2014_08_priskirta!J24</f>
        <v>0</v>
      </c>
      <c r="K23" s="127">
        <f>+'R_2014_08_atkelta(viso)'!K23+R_2014_08_priskirta!K24</f>
        <v>0</v>
      </c>
      <c r="L23" s="127">
        <f>+'R_2014_08_atkelta(viso)'!L23+R_2014_08_priskirta!L24</f>
        <v>0</v>
      </c>
      <c r="M23" s="127">
        <f>+'R_2014_08_atkelta(viso)'!M23+R_2014_08_priskirta!M24</f>
        <v>150</v>
      </c>
      <c r="N23" s="127">
        <f>+'R_2014_08_atkelta(viso)'!N23+R_2014_08_priskirta!N24</f>
        <v>0</v>
      </c>
      <c r="O23" s="127">
        <f>+'R_2014_08_atkelta(viso)'!O23+R_2014_08_priskirta!O24</f>
        <v>2769</v>
      </c>
      <c r="P23" s="127">
        <f>+'R_2014_06_atkelta(viso)'!Q23+R_2014_06_priskirta!Q24</f>
        <v>0</v>
      </c>
      <c r="Q23" s="24">
        <f t="shared" si="19"/>
        <v>24034.5</v>
      </c>
      <c r="R23" s="229">
        <f t="shared" si="6"/>
        <v>22050</v>
      </c>
      <c r="S23" s="73">
        <f t="shared" si="21"/>
        <v>1984.5</v>
      </c>
      <c r="T23" s="21">
        <f t="shared" si="20"/>
        <v>534.1</v>
      </c>
      <c r="U23" s="71"/>
      <c r="V23" s="61">
        <v>45</v>
      </c>
      <c r="W23" s="13">
        <f t="shared" ref="W23:W24" si="23">+T23*V23</f>
        <v>24034.5</v>
      </c>
    </row>
    <row r="24" spans="1:23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+'R_2014_08_atkelta(viso)'!E24+R_2014_08_priskirta!E25</f>
        <v>204.60000000000002</v>
      </c>
      <c r="F24" s="127">
        <f>+'R_2014_08_atkelta(viso)'!F24+R_2014_08_priskirta!F25</f>
        <v>2018.4</v>
      </c>
      <c r="G24" s="127">
        <f>+'R_2014_08_atkelta(viso)'!G24+R_2014_08_priskirta!G25</f>
        <v>436.8</v>
      </c>
      <c r="H24" s="127">
        <f>+'R_2014_08_atkelta(viso)'!H24+R_2014_08_priskirta!H25</f>
        <v>255.00000000000003</v>
      </c>
      <c r="I24" s="127">
        <f>+'R_2014_08_atkelta(viso)'!I24+R_2014_08_priskirta!I25</f>
        <v>0</v>
      </c>
      <c r="J24" s="127">
        <f>+'R_2014_08_atkelta(viso)'!J24+R_2014_08_priskirta!J25</f>
        <v>0</v>
      </c>
      <c r="K24" s="127">
        <f>+'R_2014_08_atkelta(viso)'!K24+R_2014_08_priskirta!K25</f>
        <v>0</v>
      </c>
      <c r="L24" s="127">
        <f>+'R_2014_08_atkelta(viso)'!L24+R_2014_08_priskirta!L25</f>
        <v>0</v>
      </c>
      <c r="M24" s="127">
        <f>+'R_2014_08_atkelta(viso)'!M24+R_2014_08_priskirta!M25</f>
        <v>70.2</v>
      </c>
      <c r="N24" s="127">
        <f>+'R_2014_08_atkelta(viso)'!N24+R_2014_08_priskirta!N25</f>
        <v>69.599999999999994</v>
      </c>
      <c r="O24" s="127">
        <f>+'R_2014_08_atkelta(viso)'!O24+R_2014_08_priskirta!O25</f>
        <v>1020.6</v>
      </c>
      <c r="P24" s="127">
        <f>+'R_2014_06_atkelta(viso)'!Q24+R_2014_06_priskirta!Q25</f>
        <v>0</v>
      </c>
      <c r="Q24" s="24">
        <f t="shared" si="19"/>
        <v>4075.2</v>
      </c>
      <c r="R24" s="229">
        <f t="shared" si="6"/>
        <v>3738.7155963302748</v>
      </c>
      <c r="S24" s="73">
        <f t="shared" si="21"/>
        <v>336.484403669725</v>
      </c>
      <c r="T24" s="21">
        <f t="shared" si="20"/>
        <v>226.39999999999998</v>
      </c>
      <c r="U24" s="71"/>
      <c r="V24" s="61">
        <v>72</v>
      </c>
      <c r="W24" s="13">
        <f t="shared" si="23"/>
        <v>16300.8</v>
      </c>
    </row>
    <row r="25" spans="1:23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+'R_2014_08_atkelta(viso)'!E25+R_2014_08_priskirta!E26</f>
        <v>199.99999999999997</v>
      </c>
      <c r="F25" s="127">
        <f>+'R_2014_08_atkelta(viso)'!F25+R_2014_08_priskirta!F26</f>
        <v>3316.6666666666661</v>
      </c>
      <c r="G25" s="127">
        <f>+'R_2014_08_atkelta(viso)'!G25+R_2014_08_priskirta!G26</f>
        <v>103.33333333333331</v>
      </c>
      <c r="H25" s="127">
        <f>+'R_2014_08_atkelta(viso)'!H25+R_2014_08_priskirta!H26</f>
        <v>203.33</v>
      </c>
      <c r="I25" s="127">
        <f>+'R_2014_08_atkelta(viso)'!I25+R_2014_08_priskirta!I26</f>
        <v>0</v>
      </c>
      <c r="J25" s="127">
        <f>+'R_2014_08_atkelta(viso)'!J25+R_2014_08_priskirta!J26</f>
        <v>0</v>
      </c>
      <c r="K25" s="127">
        <f>+'R_2014_08_atkelta(viso)'!K25+R_2014_08_priskirta!K26</f>
        <v>0</v>
      </c>
      <c r="L25" s="127">
        <f>+'R_2014_08_atkelta(viso)'!L25+R_2014_08_priskirta!L26</f>
        <v>0</v>
      </c>
      <c r="M25" s="127">
        <f>+'R_2014_08_atkelta(viso)'!M25+R_2014_08_priskirta!M26</f>
        <v>103.33333333333331</v>
      </c>
      <c r="N25" s="127">
        <f>+'R_2014_08_atkelta(viso)'!N25+R_2014_08_priskirta!N26</f>
        <v>0</v>
      </c>
      <c r="O25" s="127">
        <f>+'R_2014_08_atkelta(viso)'!O25+R_2014_08_priskirta!O26</f>
        <v>5370.0002969360357</v>
      </c>
      <c r="P25" s="127">
        <f>+'R_2014_06_atkelta(viso)'!Q25+R_2014_06_priskirta!Q26</f>
        <v>0</v>
      </c>
      <c r="Q25" s="24">
        <f t="shared" si="19"/>
        <v>9296.6636302693696</v>
      </c>
      <c r="R25" s="229">
        <f t="shared" si="6"/>
        <v>8529.0492020819893</v>
      </c>
      <c r="S25" s="73">
        <f t="shared" si="21"/>
        <v>767.61442818738033</v>
      </c>
      <c r="T25" s="21">
        <f t="shared" si="20"/>
        <v>30.988878767564564</v>
      </c>
      <c r="U25" s="71"/>
      <c r="V25" s="61"/>
      <c r="W25" s="13"/>
    </row>
    <row r="26" spans="1:23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+'R_2014_08_atkelta(viso)'!E26+R_2014_08_priskirta!E27</f>
        <v>1.6666666666666665</v>
      </c>
      <c r="F26" s="127">
        <f>+'R_2014_08_atkelta(viso)'!F26+R_2014_08_priskirta!F27</f>
        <v>4206.6666666666652</v>
      </c>
      <c r="G26" s="127">
        <f>+'R_2014_08_atkelta(viso)'!G26+R_2014_08_priskirta!G27</f>
        <v>200</v>
      </c>
      <c r="H26" s="127">
        <f>+'R_2014_08_atkelta(viso)'!H26+R_2014_08_priskirta!H27</f>
        <v>400</v>
      </c>
      <c r="I26" s="127">
        <f>+'R_2014_08_atkelta(viso)'!I26+R_2014_08_priskirta!I27</f>
        <v>0</v>
      </c>
      <c r="J26" s="127">
        <f>+'R_2014_08_atkelta(viso)'!J26+R_2014_08_priskirta!J27</f>
        <v>0</v>
      </c>
      <c r="K26" s="127">
        <f>+'R_2014_08_atkelta(viso)'!K26+R_2014_08_priskirta!K27</f>
        <v>0</v>
      </c>
      <c r="L26" s="127">
        <f>+'R_2014_08_atkelta(viso)'!L26+R_2014_08_priskirta!L27</f>
        <v>0</v>
      </c>
      <c r="M26" s="127">
        <f>+'R_2014_08_atkelta(viso)'!M26+R_2014_08_priskirta!M27</f>
        <v>0</v>
      </c>
      <c r="N26" s="127">
        <f>+'R_2014_08_atkelta(viso)'!N26+R_2014_08_priskirta!N27</f>
        <v>0</v>
      </c>
      <c r="O26" s="127">
        <f>+'R_2014_08_atkelta(viso)'!O26+R_2014_08_priskirta!O27</f>
        <v>743.33337448120119</v>
      </c>
      <c r="P26" s="127">
        <f>+'R_2014_06_atkelta(viso)'!Q26+R_2014_06_priskirta!Q27</f>
        <v>0</v>
      </c>
      <c r="Q26" s="24">
        <f t="shared" si="19"/>
        <v>5551.6667078145329</v>
      </c>
      <c r="R26" s="229">
        <f t="shared" si="6"/>
        <v>5093.272209004158</v>
      </c>
      <c r="S26" s="73">
        <f t="shared" si="21"/>
        <v>458.3944988103749</v>
      </c>
      <c r="T26" s="21">
        <f t="shared" si="20"/>
        <v>37.011111385430219</v>
      </c>
      <c r="U26" s="71"/>
      <c r="V26" s="61">
        <v>150</v>
      </c>
      <c r="W26" s="13">
        <f t="shared" ref="W26:W42" si="24">+T26*V26</f>
        <v>5551.6667078145329</v>
      </c>
    </row>
    <row r="27" spans="1:23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+'R_2014_08_atkelta(viso)'!E27+R_2014_08_priskirta!E28</f>
        <v>133.33666666666667</v>
      </c>
      <c r="F27" s="127">
        <f>+'R_2014_08_atkelta(viso)'!F27+R_2014_08_priskirta!F28</f>
        <v>4598</v>
      </c>
      <c r="G27" s="127">
        <f>+'R_2014_08_atkelta(viso)'!G27+R_2014_08_priskirta!G28</f>
        <v>459.99666666666678</v>
      </c>
      <c r="H27" s="127">
        <f>+'R_2014_08_atkelta(viso)'!H27+R_2014_08_priskirta!H28</f>
        <v>166.66666666666669</v>
      </c>
      <c r="I27" s="127">
        <f>+'R_2014_08_atkelta(viso)'!I27+R_2014_08_priskirta!I28</f>
        <v>0</v>
      </c>
      <c r="J27" s="127">
        <f>+'R_2014_08_atkelta(viso)'!J27+R_2014_08_priskirta!J28</f>
        <v>0</v>
      </c>
      <c r="K27" s="127">
        <f>+'R_2014_08_atkelta(viso)'!K27+R_2014_08_priskirta!K28</f>
        <v>0</v>
      </c>
      <c r="L27" s="127">
        <f>+'R_2014_08_atkelta(viso)'!L27+R_2014_08_priskirta!L28</f>
        <v>0</v>
      </c>
      <c r="M27" s="127">
        <f>+'R_2014_08_atkelta(viso)'!M27+R_2014_08_priskirta!M28</f>
        <v>41.266666666666673</v>
      </c>
      <c r="N27" s="127">
        <f>+'R_2014_08_atkelta(viso)'!N27+R_2014_08_priskirta!N28</f>
        <v>59.333333333333343</v>
      </c>
      <c r="O27" s="127">
        <f>+'R_2014_08_atkelta(viso)'!O27+R_2014_08_priskirta!O28</f>
        <v>4354.67</v>
      </c>
      <c r="P27" s="127">
        <f>+'R_2014_06_atkelta(viso)'!Q27+R_2014_06_priskirta!Q28</f>
        <v>0</v>
      </c>
      <c r="Q27" s="24">
        <f t="shared" si="19"/>
        <v>9813.27</v>
      </c>
      <c r="R27" s="229">
        <f t="shared" si="6"/>
        <v>9003</v>
      </c>
      <c r="S27" s="73">
        <f t="shared" si="21"/>
        <v>810.27000000000044</v>
      </c>
      <c r="T27" s="21">
        <f t="shared" si="20"/>
        <v>163.55450000000002</v>
      </c>
      <c r="U27" s="71"/>
      <c r="V27" s="61">
        <v>240</v>
      </c>
      <c r="W27" s="13">
        <f t="shared" si="24"/>
        <v>39253.08</v>
      </c>
    </row>
    <row r="28" spans="1:23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+'R_2014_08_atkelta(viso)'!E28+R_2014_08_priskirta!E29</f>
        <v>0</v>
      </c>
      <c r="F28" s="127">
        <f>+'R_2014_08_atkelta(viso)'!F28+R_2014_08_priskirta!F29</f>
        <v>855</v>
      </c>
      <c r="G28" s="127">
        <f>+'R_2014_08_atkelta(viso)'!G28+R_2014_08_priskirta!G29</f>
        <v>0</v>
      </c>
      <c r="H28" s="127">
        <f>+'R_2014_08_atkelta(viso)'!H28+R_2014_08_priskirta!H29</f>
        <v>240</v>
      </c>
      <c r="I28" s="127">
        <f>+'R_2014_08_atkelta(viso)'!I28+R_2014_08_priskirta!I29</f>
        <v>0</v>
      </c>
      <c r="J28" s="127">
        <f>+'R_2014_08_atkelta(viso)'!J28+R_2014_08_priskirta!J29</f>
        <v>0</v>
      </c>
      <c r="K28" s="127">
        <f>+'R_2014_08_atkelta(viso)'!K28+R_2014_08_priskirta!K29</f>
        <v>0</v>
      </c>
      <c r="L28" s="127">
        <f>+'R_2014_08_atkelta(viso)'!L28+R_2014_08_priskirta!L29</f>
        <v>0</v>
      </c>
      <c r="M28" s="127">
        <f>+'R_2014_08_atkelta(viso)'!M28+R_2014_08_priskirta!M29</f>
        <v>0</v>
      </c>
      <c r="N28" s="127">
        <f>+'R_2014_08_atkelta(viso)'!N28+R_2014_08_priskirta!N29</f>
        <v>0</v>
      </c>
      <c r="O28" s="127">
        <f>+'R_2014_08_atkelta(viso)'!O28+R_2014_08_priskirta!O29</f>
        <v>9237</v>
      </c>
      <c r="P28" s="127">
        <f>+'R_2014_06_atkelta(viso)'!Q28+R_2014_06_priskirta!Q29</f>
        <v>0</v>
      </c>
      <c r="Q28" s="24">
        <f t="shared" si="19"/>
        <v>10332</v>
      </c>
      <c r="R28" s="229">
        <f t="shared" si="6"/>
        <v>9478.899082568807</v>
      </c>
      <c r="S28" s="73">
        <f t="shared" si="21"/>
        <v>853.10091743119301</v>
      </c>
      <c r="T28" s="21">
        <f t="shared" si="20"/>
        <v>38.266666666666666</v>
      </c>
      <c r="U28" s="71"/>
      <c r="V28" s="61"/>
      <c r="W28" s="13"/>
    </row>
    <row r="29" spans="1:23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+'R_2014_08_atkelta(viso)'!E29+R_2014_08_priskirta!E30</f>
        <v>0</v>
      </c>
      <c r="F29" s="127">
        <f>+'R_2014_08_atkelta(viso)'!F29+R_2014_08_priskirta!F30</f>
        <v>93</v>
      </c>
      <c r="G29" s="127">
        <f>+'R_2014_08_atkelta(viso)'!G29+R_2014_08_priskirta!G30</f>
        <v>0</v>
      </c>
      <c r="H29" s="127">
        <f>+'R_2014_08_atkelta(viso)'!H29+R_2014_08_priskirta!H30</f>
        <v>75</v>
      </c>
      <c r="I29" s="127">
        <f>+'R_2014_08_atkelta(viso)'!I29+R_2014_08_priskirta!I30</f>
        <v>0</v>
      </c>
      <c r="J29" s="127">
        <f>+'R_2014_08_atkelta(viso)'!J29+R_2014_08_priskirta!J30</f>
        <v>0</v>
      </c>
      <c r="K29" s="127">
        <f>+'R_2014_08_atkelta(viso)'!K29+R_2014_08_priskirta!K30</f>
        <v>0</v>
      </c>
      <c r="L29" s="127">
        <f>+'R_2014_08_atkelta(viso)'!L29+R_2014_08_priskirta!L30</f>
        <v>0</v>
      </c>
      <c r="M29" s="127">
        <f>+'R_2014_08_atkelta(viso)'!M29+R_2014_08_priskirta!M30</f>
        <v>0</v>
      </c>
      <c r="N29" s="127">
        <f>+'R_2014_08_atkelta(viso)'!N29+R_2014_08_priskirta!N30</f>
        <v>0</v>
      </c>
      <c r="O29" s="127">
        <f>+'R_2014_08_atkelta(viso)'!O29+R_2014_08_priskirta!O30</f>
        <v>0</v>
      </c>
      <c r="P29" s="127">
        <f>+'R_2014_06_atkelta(viso)'!Q29+R_2014_06_priskirta!Q30</f>
        <v>0</v>
      </c>
      <c r="Q29" s="24">
        <f t="shared" si="19"/>
        <v>168</v>
      </c>
      <c r="R29" s="229">
        <f t="shared" si="6"/>
        <v>154.12844036697246</v>
      </c>
      <c r="S29" s="73">
        <f t="shared" si="21"/>
        <v>13.871559633027545</v>
      </c>
      <c r="T29" s="21">
        <f t="shared" si="20"/>
        <v>1.2444444444444445</v>
      </c>
      <c r="U29" s="71"/>
      <c r="V29" s="61">
        <v>135</v>
      </c>
      <c r="W29" s="13">
        <f t="shared" si="24"/>
        <v>168</v>
      </c>
    </row>
    <row r="30" spans="1:23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+'R_2014_08_atkelta(viso)'!E30+R_2014_08_priskirta!E31</f>
        <v>0</v>
      </c>
      <c r="F30" s="127">
        <f>+'R_2014_08_atkelta(viso)'!F30+R_2014_08_priskirta!F31</f>
        <v>13.2</v>
      </c>
      <c r="G30" s="127">
        <f>+'R_2014_08_atkelta(viso)'!G30+R_2014_08_priskirta!G31</f>
        <v>4.2</v>
      </c>
      <c r="H30" s="127">
        <f>+'R_2014_08_atkelta(viso)'!H30+R_2014_08_priskirta!H31</f>
        <v>5.3999999999999986</v>
      </c>
      <c r="I30" s="127">
        <f>+'R_2014_08_atkelta(viso)'!I30+R_2014_08_priskirta!I31</f>
        <v>0</v>
      </c>
      <c r="J30" s="127">
        <f>+'R_2014_08_atkelta(viso)'!J30+R_2014_08_priskirta!J31</f>
        <v>0</v>
      </c>
      <c r="K30" s="127">
        <f>+'R_2014_08_atkelta(viso)'!K30+R_2014_08_priskirta!K31</f>
        <v>0</v>
      </c>
      <c r="L30" s="127">
        <f>+'R_2014_08_atkelta(viso)'!L30+R_2014_08_priskirta!L31</f>
        <v>0</v>
      </c>
      <c r="M30" s="127">
        <f>+'R_2014_08_atkelta(viso)'!M30+R_2014_08_priskirta!M31</f>
        <v>1.2</v>
      </c>
      <c r="N30" s="127">
        <f>+'R_2014_08_atkelta(viso)'!N30+R_2014_08_priskirta!N31</f>
        <v>2.4000000000000004</v>
      </c>
      <c r="O30" s="127">
        <f>+'R_2014_08_atkelta(viso)'!O30+R_2014_08_priskirta!O31</f>
        <v>136.19999999999999</v>
      </c>
      <c r="P30" s="127">
        <f>+'R_2014_06_atkelta(viso)'!Q30+R_2014_06_priskirta!Q31</f>
        <v>0</v>
      </c>
      <c r="Q30" s="24">
        <f t="shared" si="19"/>
        <v>162.6</v>
      </c>
      <c r="R30" s="229">
        <f t="shared" si="6"/>
        <v>149.1743119266055</v>
      </c>
      <c r="S30" s="73">
        <f t="shared" si="21"/>
        <v>13.425688073394497</v>
      </c>
      <c r="T30" s="21">
        <f t="shared" si="20"/>
        <v>3.0111111111111111</v>
      </c>
      <c r="U30" s="71"/>
      <c r="V30" s="61">
        <v>216</v>
      </c>
      <c r="W30" s="13">
        <f t="shared" si="24"/>
        <v>650.4</v>
      </c>
    </row>
    <row r="31" spans="1:23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+'R_2014_08_atkelta(viso)'!E31+R_2014_08_priskirta!E32</f>
        <v>96.666666666666657</v>
      </c>
      <c r="F31" s="127">
        <f>+'R_2014_08_atkelta(viso)'!F31+R_2014_08_priskirta!F32</f>
        <v>306.66666666666663</v>
      </c>
      <c r="G31" s="127">
        <f>+'R_2014_08_atkelta(viso)'!G31+R_2014_08_priskirta!G32</f>
        <v>0</v>
      </c>
      <c r="H31" s="127">
        <f>+'R_2014_08_atkelta(viso)'!H31+R_2014_08_priskirta!H32</f>
        <v>103.33</v>
      </c>
      <c r="I31" s="127">
        <f>+'R_2014_08_atkelta(viso)'!I31+R_2014_08_priskirta!I32</f>
        <v>0</v>
      </c>
      <c r="J31" s="127">
        <f>+'R_2014_08_atkelta(viso)'!J31+R_2014_08_priskirta!J32</f>
        <v>0</v>
      </c>
      <c r="K31" s="127">
        <f>+'R_2014_08_atkelta(viso)'!K31+R_2014_08_priskirta!K32</f>
        <v>0</v>
      </c>
      <c r="L31" s="127">
        <f>+'R_2014_08_atkelta(viso)'!L31+R_2014_08_priskirta!L32</f>
        <v>0</v>
      </c>
      <c r="M31" s="127">
        <f>+'R_2014_08_atkelta(viso)'!M31+R_2014_08_priskirta!M32</f>
        <v>0</v>
      </c>
      <c r="N31" s="127">
        <f>+'R_2014_08_atkelta(viso)'!N31+R_2014_08_priskirta!N32</f>
        <v>0</v>
      </c>
      <c r="O31" s="127">
        <f>+'R_2014_08_atkelta(viso)'!O31+R_2014_08_priskirta!O32</f>
        <v>76.666669921874998</v>
      </c>
      <c r="P31" s="127">
        <f>+'R_2014_06_atkelta(viso)'!Q31+R_2014_06_priskirta!Q32</f>
        <v>0</v>
      </c>
      <c r="Q31" s="24">
        <f t="shared" si="19"/>
        <v>583.33000325520823</v>
      </c>
      <c r="R31" s="229">
        <f t="shared" si="6"/>
        <v>535.16514060110842</v>
      </c>
      <c r="S31" s="73">
        <f t="shared" si="21"/>
        <v>48.164862654099807</v>
      </c>
      <c r="T31" s="21">
        <f t="shared" si="20"/>
        <v>0.97221667209201368</v>
      </c>
      <c r="U31" s="71"/>
      <c r="V31" s="61"/>
      <c r="W31" s="13"/>
    </row>
    <row r="32" spans="1:23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+'R_2014_08_atkelta(viso)'!E32+R_2014_08_priskirta!E33</f>
        <v>0</v>
      </c>
      <c r="F32" s="127">
        <f>+'R_2014_08_atkelta(viso)'!F32+R_2014_08_priskirta!F33</f>
        <v>516.66666666666652</v>
      </c>
      <c r="G32" s="127">
        <f>+'R_2014_08_atkelta(viso)'!G32+R_2014_08_priskirta!G33</f>
        <v>154.99999999999997</v>
      </c>
      <c r="H32" s="127">
        <f>+'R_2014_08_atkelta(viso)'!H32+R_2014_08_priskirta!H33</f>
        <v>318.34000000000003</v>
      </c>
      <c r="I32" s="127">
        <f>+'R_2014_08_atkelta(viso)'!I32+R_2014_08_priskirta!I33</f>
        <v>0</v>
      </c>
      <c r="J32" s="127">
        <f>+'R_2014_08_atkelta(viso)'!J32+R_2014_08_priskirta!J33</f>
        <v>0</v>
      </c>
      <c r="K32" s="127">
        <f>+'R_2014_08_atkelta(viso)'!K32+R_2014_08_priskirta!K33</f>
        <v>0</v>
      </c>
      <c r="L32" s="127">
        <f>+'R_2014_08_atkelta(viso)'!L32+R_2014_08_priskirta!L33</f>
        <v>0</v>
      </c>
      <c r="M32" s="127">
        <f>+'R_2014_08_atkelta(viso)'!M32+R_2014_08_priskirta!M33</f>
        <v>0</v>
      </c>
      <c r="N32" s="127">
        <f>+'R_2014_08_atkelta(viso)'!N32+R_2014_08_priskirta!N33</f>
        <v>0</v>
      </c>
      <c r="O32" s="127">
        <f>+'R_2014_08_atkelta(viso)'!O32+R_2014_08_priskirta!O33</f>
        <v>130.0000048828125</v>
      </c>
      <c r="P32" s="127">
        <f>+'R_2014_06_atkelta(viso)'!Q32+R_2014_06_priskirta!Q33</f>
        <v>0</v>
      </c>
      <c r="Q32" s="24">
        <f t="shared" si="19"/>
        <v>1120.0066715494791</v>
      </c>
      <c r="R32" s="229">
        <f t="shared" si="6"/>
        <v>1027.5290564674119</v>
      </c>
      <c r="S32" s="73">
        <f t="shared" si="21"/>
        <v>92.477615082067132</v>
      </c>
      <c r="T32" s="21">
        <f t="shared" si="20"/>
        <v>3.7333555718315967</v>
      </c>
      <c r="U32" s="71"/>
      <c r="V32" s="61">
        <v>300</v>
      </c>
      <c r="W32" s="13">
        <f t="shared" si="24"/>
        <v>1120.0066715494791</v>
      </c>
    </row>
    <row r="33" spans="1:23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+'R_2014_08_atkelta(viso)'!E33+R_2014_08_priskirta!E34</f>
        <v>42.66</v>
      </c>
      <c r="F33" s="127">
        <f>+'R_2014_08_atkelta(viso)'!F33+R_2014_08_priskirta!F34</f>
        <v>620.66</v>
      </c>
      <c r="G33" s="127">
        <f>+'R_2014_08_atkelta(viso)'!G33+R_2014_08_priskirta!G34</f>
        <v>27.333333333333336</v>
      </c>
      <c r="H33" s="127">
        <f>+'R_2014_08_atkelta(viso)'!H33+R_2014_08_priskirta!H34</f>
        <v>12</v>
      </c>
      <c r="I33" s="127">
        <f>+'R_2014_08_atkelta(viso)'!I33+R_2014_08_priskirta!I34</f>
        <v>0</v>
      </c>
      <c r="J33" s="127">
        <f>+'R_2014_08_atkelta(viso)'!J33+R_2014_08_priskirta!J34</f>
        <v>0</v>
      </c>
      <c r="K33" s="127">
        <f>+'R_2014_08_atkelta(viso)'!K33+R_2014_08_priskirta!K34</f>
        <v>0</v>
      </c>
      <c r="L33" s="127">
        <f>+'R_2014_08_atkelta(viso)'!L33+R_2014_08_priskirta!L34</f>
        <v>0</v>
      </c>
      <c r="M33" s="127">
        <f>+'R_2014_08_atkelta(viso)'!M33+R_2014_08_priskirta!M34</f>
        <v>20.666666666666671</v>
      </c>
      <c r="N33" s="127">
        <f>+'R_2014_08_atkelta(viso)'!N33+R_2014_08_priskirta!N34</f>
        <v>0</v>
      </c>
      <c r="O33" s="127">
        <f>+'R_2014_08_atkelta(viso)'!O33+R_2014_08_priskirta!O34</f>
        <v>686.66332817077637</v>
      </c>
      <c r="P33" s="127">
        <f>+'R_2014_06_atkelta(viso)'!Q33+R_2014_06_priskirta!Q34</f>
        <v>0</v>
      </c>
      <c r="Q33" s="24">
        <f t="shared" si="19"/>
        <v>1409.9833281707763</v>
      </c>
      <c r="R33" s="229">
        <f t="shared" si="6"/>
        <v>1293.5626863952075</v>
      </c>
      <c r="S33" s="73">
        <f t="shared" si="21"/>
        <v>116.42064177556881</v>
      </c>
      <c r="T33" s="21">
        <f t="shared" si="20"/>
        <v>11.749861068089803</v>
      </c>
      <c r="U33" s="71"/>
      <c r="V33" s="61">
        <v>480</v>
      </c>
      <c r="W33" s="13">
        <f t="shared" si="24"/>
        <v>5639.9333126831052</v>
      </c>
    </row>
    <row r="34" spans="1:23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+'R_2014_08_atkelta(viso)'!E34+R_2014_08_priskirta!E35</f>
        <v>0</v>
      </c>
      <c r="F34" s="127">
        <f>+'R_2014_08_atkelta(viso)'!F34+R_2014_08_priskirta!F35</f>
        <v>0</v>
      </c>
      <c r="G34" s="127">
        <f>+'R_2014_08_atkelta(viso)'!G34+R_2014_08_priskirta!G35</f>
        <v>0</v>
      </c>
      <c r="H34" s="127">
        <f>+'R_2014_08_atkelta(viso)'!H34+R_2014_08_priskirta!H35</f>
        <v>0</v>
      </c>
      <c r="I34" s="127">
        <f>+'R_2014_08_atkelta(viso)'!I34+R_2014_08_priskirta!I35</f>
        <v>0</v>
      </c>
      <c r="J34" s="127">
        <f>+'R_2014_08_atkelta(viso)'!J34+R_2014_08_priskirta!J35</f>
        <v>0</v>
      </c>
      <c r="K34" s="127">
        <f>+'R_2014_08_atkelta(viso)'!K34+R_2014_08_priskirta!K35</f>
        <v>0</v>
      </c>
      <c r="L34" s="127">
        <f>+'R_2014_08_atkelta(viso)'!L34+R_2014_08_priskirta!L35</f>
        <v>0</v>
      </c>
      <c r="M34" s="127">
        <f>+'R_2014_08_atkelta(viso)'!M34+R_2014_08_priskirta!M35</f>
        <v>0</v>
      </c>
      <c r="N34" s="127">
        <f>+'R_2014_08_atkelta(viso)'!N34+R_2014_08_priskirta!N35</f>
        <v>0</v>
      </c>
      <c r="O34" s="127">
        <f>+'R_2014_08_atkelta(viso)'!O34+R_2014_08_priskirta!O35</f>
        <v>648</v>
      </c>
      <c r="P34" s="127">
        <f>+'R_2014_06_atkelta(viso)'!Q34+R_2014_06_priskirta!Q35</f>
        <v>0</v>
      </c>
      <c r="Q34" s="24">
        <f t="shared" si="19"/>
        <v>648</v>
      </c>
      <c r="R34" s="229">
        <f t="shared" si="6"/>
        <v>594.49541284403665</v>
      </c>
      <c r="S34" s="73">
        <f t="shared" si="21"/>
        <v>53.50458715596335</v>
      </c>
      <c r="T34" s="21">
        <f t="shared" si="20"/>
        <v>1.2</v>
      </c>
      <c r="U34" s="71"/>
      <c r="V34" s="61"/>
      <c r="W34" s="13"/>
    </row>
    <row r="35" spans="1:23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+'R_2014_08_atkelta(viso)'!E35+R_2014_08_priskirta!E36</f>
        <v>0</v>
      </c>
      <c r="F35" s="127">
        <f>+'R_2014_08_atkelta(viso)'!F35+R_2014_08_priskirta!F36</f>
        <v>0</v>
      </c>
      <c r="G35" s="127">
        <f>+'R_2014_08_atkelta(viso)'!G35+R_2014_08_priskirta!G36</f>
        <v>0</v>
      </c>
      <c r="H35" s="127">
        <f>+'R_2014_08_atkelta(viso)'!H35+R_2014_08_priskirta!H36</f>
        <v>0</v>
      </c>
      <c r="I35" s="127">
        <f>+'R_2014_08_atkelta(viso)'!I35+R_2014_08_priskirta!I36</f>
        <v>0</v>
      </c>
      <c r="J35" s="127">
        <f>+'R_2014_08_atkelta(viso)'!J35+R_2014_08_priskirta!J36</f>
        <v>0</v>
      </c>
      <c r="K35" s="127">
        <f>+'R_2014_08_atkelta(viso)'!K35+R_2014_08_priskirta!K36</f>
        <v>0</v>
      </c>
      <c r="L35" s="127">
        <f>+'R_2014_08_atkelta(viso)'!L35+R_2014_08_priskirta!L36</f>
        <v>0</v>
      </c>
      <c r="M35" s="127">
        <f>+'R_2014_08_atkelta(viso)'!M35+R_2014_08_priskirta!M36</f>
        <v>0</v>
      </c>
      <c r="N35" s="127">
        <f>+'R_2014_08_atkelta(viso)'!N35+R_2014_08_priskirta!N36</f>
        <v>0</v>
      </c>
      <c r="O35" s="127">
        <f>+'R_2014_08_atkelta(viso)'!O35+R_2014_08_priskirta!O36</f>
        <v>0</v>
      </c>
      <c r="P35" s="127">
        <f>+'R_2014_06_atkelta(viso)'!Q35+R_2014_06_priskirta!Q36</f>
        <v>0</v>
      </c>
      <c r="Q35" s="24">
        <f t="shared" si="19"/>
        <v>0</v>
      </c>
      <c r="R35" s="229">
        <f t="shared" si="6"/>
        <v>0</v>
      </c>
      <c r="S35" s="73">
        <f t="shared" si="21"/>
        <v>0</v>
      </c>
      <c r="T35" s="21">
        <f t="shared" si="20"/>
        <v>0</v>
      </c>
      <c r="U35" s="71"/>
      <c r="V35" s="61">
        <v>270</v>
      </c>
      <c r="W35" s="13">
        <f t="shared" si="24"/>
        <v>0</v>
      </c>
    </row>
    <row r="36" spans="1:23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+'R_2014_08_atkelta(viso)'!E36+R_2014_08_priskirta!E37</f>
        <v>0</v>
      </c>
      <c r="F36" s="127">
        <f>+'R_2014_08_atkelta(viso)'!F36+R_2014_08_priskirta!F37</f>
        <v>0</v>
      </c>
      <c r="G36" s="127">
        <f>+'R_2014_08_atkelta(viso)'!G36+R_2014_08_priskirta!G37</f>
        <v>0</v>
      </c>
      <c r="H36" s="127">
        <f>+'R_2014_08_atkelta(viso)'!H36+R_2014_08_priskirta!H37</f>
        <v>0</v>
      </c>
      <c r="I36" s="127">
        <f>+'R_2014_08_atkelta(viso)'!I36+R_2014_08_priskirta!I37</f>
        <v>0</v>
      </c>
      <c r="J36" s="127">
        <f>+'R_2014_08_atkelta(viso)'!J36+R_2014_08_priskirta!J37</f>
        <v>0</v>
      </c>
      <c r="K36" s="127">
        <f>+'R_2014_08_atkelta(viso)'!K36+R_2014_08_priskirta!K37</f>
        <v>0</v>
      </c>
      <c r="L36" s="127">
        <f>+'R_2014_08_atkelta(viso)'!L36+R_2014_08_priskirta!L37</f>
        <v>0</v>
      </c>
      <c r="M36" s="127">
        <f>+'R_2014_08_atkelta(viso)'!M36+R_2014_08_priskirta!M37</f>
        <v>0</v>
      </c>
      <c r="N36" s="127">
        <f>+'R_2014_08_atkelta(viso)'!N36+R_2014_08_priskirta!N37</f>
        <v>0</v>
      </c>
      <c r="O36" s="127">
        <f>+'R_2014_08_atkelta(viso)'!O36+R_2014_08_priskirta!O37</f>
        <v>20.400000000000002</v>
      </c>
      <c r="P36" s="127">
        <f>+'R_2014_06_atkelta(viso)'!Q36+R_2014_06_priskirta!Q37</f>
        <v>0</v>
      </c>
      <c r="Q36" s="24">
        <f t="shared" si="19"/>
        <v>20.400000000000002</v>
      </c>
      <c r="R36" s="229">
        <f t="shared" si="6"/>
        <v>18.715596330275229</v>
      </c>
      <c r="S36" s="73">
        <f t="shared" si="21"/>
        <v>1.6844036697247731</v>
      </c>
      <c r="T36" s="21">
        <f t="shared" si="20"/>
        <v>0.18888888888888891</v>
      </c>
      <c r="U36" s="71"/>
      <c r="V36" s="61">
        <v>432</v>
      </c>
      <c r="W36" s="13">
        <f t="shared" si="24"/>
        <v>81.600000000000009</v>
      </c>
    </row>
    <row r="37" spans="1:23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+'R_2014_08_atkelta(viso)'!E37+R_2014_08_priskirta!E38</f>
        <v>309.99999999999994</v>
      </c>
      <c r="F37" s="127">
        <f>+'R_2014_08_atkelta(viso)'!F37+R_2014_08_priskirta!F38</f>
        <v>0</v>
      </c>
      <c r="G37" s="127">
        <f>+'R_2014_08_atkelta(viso)'!G37+R_2014_08_priskirta!G38</f>
        <v>0</v>
      </c>
      <c r="H37" s="127">
        <f>+'R_2014_08_atkelta(viso)'!H37+R_2014_08_priskirta!H38</f>
        <v>206.67</v>
      </c>
      <c r="I37" s="127">
        <f>+'R_2014_08_atkelta(viso)'!I37+R_2014_08_priskirta!I38</f>
        <v>0</v>
      </c>
      <c r="J37" s="127">
        <f>+'R_2014_08_atkelta(viso)'!J37+R_2014_08_priskirta!J38</f>
        <v>0</v>
      </c>
      <c r="K37" s="127">
        <f>+'R_2014_08_atkelta(viso)'!K37+R_2014_08_priskirta!K38</f>
        <v>0</v>
      </c>
      <c r="L37" s="127">
        <f>+'R_2014_08_atkelta(viso)'!L37+R_2014_08_priskirta!L38</f>
        <v>0</v>
      </c>
      <c r="M37" s="127">
        <f>+'R_2014_08_atkelta(viso)'!M37+R_2014_08_priskirta!M38</f>
        <v>0</v>
      </c>
      <c r="N37" s="127">
        <f>+'R_2014_08_atkelta(viso)'!N37+R_2014_08_priskirta!N38</f>
        <v>0</v>
      </c>
      <c r="O37" s="127">
        <f>+'R_2014_08_atkelta(viso)'!O37+R_2014_08_priskirta!O38</f>
        <v>103.33333984375</v>
      </c>
      <c r="P37" s="127">
        <f>+'R_2014_06_atkelta(viso)'!Q37+R_2014_06_priskirta!Q38</f>
        <v>0</v>
      </c>
      <c r="Q37" s="24">
        <f t="shared" si="19"/>
        <v>620.00333984374993</v>
      </c>
      <c r="R37" s="229">
        <f t="shared" si="6"/>
        <v>568.81040352637604</v>
      </c>
      <c r="S37" s="73">
        <f t="shared" si="21"/>
        <v>51.192936317373892</v>
      </c>
      <c r="T37" s="21">
        <f t="shared" si="20"/>
        <v>0.68889259982638884</v>
      </c>
      <c r="U37" s="71"/>
      <c r="V37" s="61"/>
      <c r="W37" s="13"/>
    </row>
    <row r="38" spans="1:23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+'R_2014_08_atkelta(viso)'!E38+R_2014_08_priskirta!E39</f>
        <v>51.666666666666657</v>
      </c>
      <c r="F38" s="127">
        <f>+'R_2014_08_atkelta(viso)'!F38+R_2014_08_priskirta!F39</f>
        <v>71.666666666666657</v>
      </c>
      <c r="G38" s="127">
        <f>+'R_2014_08_atkelta(viso)'!G38+R_2014_08_priskirta!G39</f>
        <v>0</v>
      </c>
      <c r="H38" s="127">
        <f>+'R_2014_08_atkelta(viso)'!H38+R_2014_08_priskirta!H39</f>
        <v>0</v>
      </c>
      <c r="I38" s="127">
        <f>+'R_2014_08_atkelta(viso)'!I38+R_2014_08_priskirta!I39</f>
        <v>0</v>
      </c>
      <c r="J38" s="127">
        <f>+'R_2014_08_atkelta(viso)'!J38+R_2014_08_priskirta!J39</f>
        <v>0</v>
      </c>
      <c r="K38" s="127">
        <f>+'R_2014_08_atkelta(viso)'!K38+R_2014_08_priskirta!K39</f>
        <v>0</v>
      </c>
      <c r="L38" s="127">
        <f>+'R_2014_08_atkelta(viso)'!L38+R_2014_08_priskirta!L39</f>
        <v>0</v>
      </c>
      <c r="M38" s="127">
        <f>+'R_2014_08_atkelta(viso)'!M38+R_2014_08_priskirta!M39</f>
        <v>0</v>
      </c>
      <c r="N38" s="127">
        <f>+'R_2014_08_atkelta(viso)'!N38+R_2014_08_priskirta!N39</f>
        <v>0</v>
      </c>
      <c r="O38" s="127">
        <f>+'R_2014_08_atkelta(viso)'!O38+R_2014_08_priskirta!O39</f>
        <v>0</v>
      </c>
      <c r="P38" s="127">
        <f>+'R_2014_06_atkelta(viso)'!Q38+R_2014_06_priskirta!Q39</f>
        <v>0</v>
      </c>
      <c r="Q38" s="24">
        <f t="shared" si="19"/>
        <v>123.33333333333331</v>
      </c>
      <c r="R38" s="229">
        <f t="shared" si="6"/>
        <v>113.1498470948012</v>
      </c>
      <c r="S38" s="73">
        <f t="shared" si="21"/>
        <v>10.183486238532112</v>
      </c>
      <c r="T38" s="21">
        <f t="shared" si="20"/>
        <v>0.27407407407407403</v>
      </c>
      <c r="U38" s="71"/>
      <c r="V38" s="61">
        <v>450</v>
      </c>
      <c r="W38" s="13">
        <f t="shared" si="24"/>
        <v>123.33333333333331</v>
      </c>
    </row>
    <row r="39" spans="1:23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+'R_2014_08_atkelta(viso)'!E39+R_2014_08_priskirta!E40</f>
        <v>28.666666666666671</v>
      </c>
      <c r="F39" s="127">
        <f>+'R_2014_08_atkelta(viso)'!F39+R_2014_08_priskirta!F40</f>
        <v>255.99666666666667</v>
      </c>
      <c r="G39" s="127">
        <f>+'R_2014_08_atkelta(viso)'!G39+R_2014_08_priskirta!G40</f>
        <v>47.99666666666667</v>
      </c>
      <c r="H39" s="127">
        <f>+'R_2014_08_atkelta(viso)'!H39+R_2014_08_priskirta!H40</f>
        <v>90.670000000000073</v>
      </c>
      <c r="I39" s="127">
        <f>+'R_2014_08_atkelta(viso)'!I39+R_2014_08_priskirta!I40</f>
        <v>0</v>
      </c>
      <c r="J39" s="127">
        <f>+'R_2014_08_atkelta(viso)'!J39+R_2014_08_priskirta!J40</f>
        <v>0</v>
      </c>
      <c r="K39" s="127">
        <f>+'R_2014_08_atkelta(viso)'!K39+R_2014_08_priskirta!K40</f>
        <v>0</v>
      </c>
      <c r="L39" s="127">
        <f>+'R_2014_08_atkelta(viso)'!L39+R_2014_08_priskirta!L40</f>
        <v>0</v>
      </c>
      <c r="M39" s="127">
        <f>+'R_2014_08_atkelta(viso)'!M39+R_2014_08_priskirta!M40</f>
        <v>0.66666666666666674</v>
      </c>
      <c r="N39" s="127">
        <f>+'R_2014_08_atkelta(viso)'!N39+R_2014_08_priskirta!N40</f>
        <v>0</v>
      </c>
      <c r="O39" s="127">
        <f>+'R_2014_08_atkelta(viso)'!O39+R_2014_08_priskirta!O40</f>
        <v>485.33000000000004</v>
      </c>
      <c r="P39" s="127">
        <f>+'R_2014_06_atkelta(viso)'!Q39+R_2014_06_priskirta!Q40</f>
        <v>0</v>
      </c>
      <c r="Q39" s="24">
        <f t="shared" si="19"/>
        <v>909.32666666666682</v>
      </c>
      <c r="R39" s="229">
        <f t="shared" si="6"/>
        <v>834.24464831804289</v>
      </c>
      <c r="S39" s="73">
        <f t="shared" si="21"/>
        <v>75.082018348623933</v>
      </c>
      <c r="T39" s="21">
        <f t="shared" si="20"/>
        <v>5.0518148148148159</v>
      </c>
      <c r="U39" s="71"/>
      <c r="V39" s="61">
        <v>720</v>
      </c>
      <c r="W39" s="13">
        <f t="shared" si="24"/>
        <v>3637.3066666666673</v>
      </c>
    </row>
    <row r="40" spans="1:23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+'R_2014_08_atkelta(viso)'!E40+R_2014_08_priskirta!E41</f>
        <v>0</v>
      </c>
      <c r="F40" s="127">
        <f>+'R_2014_08_atkelta(viso)'!F40+R_2014_08_priskirta!F41</f>
        <v>0</v>
      </c>
      <c r="G40" s="127">
        <f>+'R_2014_08_atkelta(viso)'!G40+R_2014_08_priskirta!G41</f>
        <v>0</v>
      </c>
      <c r="H40" s="127">
        <f>+'R_2014_08_atkelta(viso)'!H40+R_2014_08_priskirta!H41</f>
        <v>0</v>
      </c>
      <c r="I40" s="127">
        <f>+'R_2014_08_atkelta(viso)'!I40+R_2014_08_priskirta!I41</f>
        <v>0</v>
      </c>
      <c r="J40" s="127">
        <f>+'R_2014_08_atkelta(viso)'!J40+R_2014_08_priskirta!J41</f>
        <v>0</v>
      </c>
      <c r="K40" s="127">
        <f>+'R_2014_08_atkelta(viso)'!K40+R_2014_08_priskirta!K41</f>
        <v>0</v>
      </c>
      <c r="L40" s="127">
        <f>+'R_2014_08_atkelta(viso)'!L40+R_2014_08_priskirta!L41</f>
        <v>0</v>
      </c>
      <c r="M40" s="127">
        <f>+'R_2014_08_atkelta(viso)'!M40+R_2014_08_priskirta!M41</f>
        <v>0</v>
      </c>
      <c r="N40" s="127">
        <f>+'R_2014_08_atkelta(viso)'!N40+R_2014_08_priskirta!N41</f>
        <v>0</v>
      </c>
      <c r="O40" s="127">
        <f>+'R_2014_08_atkelta(viso)'!O40+R_2014_08_priskirta!O41</f>
        <v>651</v>
      </c>
      <c r="P40" s="127">
        <f>+'R_2014_06_atkelta(viso)'!Q40+R_2014_06_priskirta!Q41</f>
        <v>0</v>
      </c>
      <c r="Q40" s="24">
        <f t="shared" si="19"/>
        <v>651</v>
      </c>
      <c r="R40" s="229">
        <f t="shared" si="6"/>
        <v>597.24770642201827</v>
      </c>
      <c r="S40" s="73">
        <f t="shared" si="21"/>
        <v>53.752293577981732</v>
      </c>
      <c r="T40" s="21">
        <f t="shared" si="20"/>
        <v>0.8037037037037037</v>
      </c>
      <c r="U40" s="71"/>
      <c r="V40" s="61"/>
      <c r="W40" s="13"/>
    </row>
    <row r="41" spans="1:23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+'R_2014_08_atkelta(viso)'!E41+R_2014_08_priskirta!E42</f>
        <v>0</v>
      </c>
      <c r="F41" s="127">
        <f>+'R_2014_08_atkelta(viso)'!F41+R_2014_08_priskirta!F42</f>
        <v>0</v>
      </c>
      <c r="G41" s="127">
        <f>+'R_2014_08_atkelta(viso)'!G41+R_2014_08_priskirta!G42</f>
        <v>0</v>
      </c>
      <c r="H41" s="127">
        <f>+'R_2014_08_atkelta(viso)'!H41+R_2014_08_priskirta!H42</f>
        <v>0</v>
      </c>
      <c r="I41" s="127">
        <f>+'R_2014_08_atkelta(viso)'!I41+R_2014_08_priskirta!I42</f>
        <v>0</v>
      </c>
      <c r="J41" s="127">
        <f>+'R_2014_08_atkelta(viso)'!J41+R_2014_08_priskirta!J42</f>
        <v>0</v>
      </c>
      <c r="K41" s="127">
        <f>+'R_2014_08_atkelta(viso)'!K41+R_2014_08_priskirta!K42</f>
        <v>0</v>
      </c>
      <c r="L41" s="127">
        <f>+'R_2014_08_atkelta(viso)'!L41+R_2014_08_priskirta!L42</f>
        <v>0</v>
      </c>
      <c r="M41" s="127">
        <f>+'R_2014_08_atkelta(viso)'!M41+R_2014_08_priskirta!M42</f>
        <v>0</v>
      </c>
      <c r="N41" s="127">
        <f>+'R_2014_08_atkelta(viso)'!N41+R_2014_08_priskirta!N42</f>
        <v>0</v>
      </c>
      <c r="O41" s="127">
        <f>+'R_2014_08_atkelta(viso)'!O41+R_2014_08_priskirta!O42</f>
        <v>0</v>
      </c>
      <c r="P41" s="127">
        <f>+'R_2014_06_atkelta(viso)'!Q41+R_2014_06_priskirta!Q42</f>
        <v>0</v>
      </c>
      <c r="Q41" s="24">
        <f t="shared" si="19"/>
        <v>0</v>
      </c>
      <c r="R41" s="229">
        <f t="shared" si="6"/>
        <v>0</v>
      </c>
      <c r="S41" s="73">
        <f t="shared" si="21"/>
        <v>0</v>
      </c>
      <c r="T41" s="21">
        <f t="shared" si="20"/>
        <v>0</v>
      </c>
      <c r="U41" s="71"/>
      <c r="V41" s="61">
        <v>405</v>
      </c>
      <c r="W41" s="13">
        <f t="shared" si="24"/>
        <v>0</v>
      </c>
    </row>
    <row r="42" spans="1:23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+'R_2014_08_atkelta(viso)'!E42+R_2014_08_priskirta!E43</f>
        <v>0</v>
      </c>
      <c r="F42" s="127">
        <f>+'R_2014_08_atkelta(viso)'!F42+R_2014_08_priskirta!F43</f>
        <v>4.8</v>
      </c>
      <c r="G42" s="127">
        <f>+'R_2014_08_atkelta(viso)'!G42+R_2014_08_priskirta!G43</f>
        <v>0</v>
      </c>
      <c r="H42" s="127">
        <f>+'R_2014_08_atkelta(viso)'!H42+R_2014_08_priskirta!H43</f>
        <v>0</v>
      </c>
      <c r="I42" s="127">
        <f>+'R_2014_08_atkelta(viso)'!I42+R_2014_08_priskirta!I43</f>
        <v>0</v>
      </c>
      <c r="J42" s="127">
        <f>+'R_2014_08_atkelta(viso)'!J42+R_2014_08_priskirta!J43</f>
        <v>0</v>
      </c>
      <c r="K42" s="127">
        <f>+'R_2014_08_atkelta(viso)'!K42+R_2014_08_priskirta!K43</f>
        <v>0</v>
      </c>
      <c r="L42" s="127">
        <f>+'R_2014_08_atkelta(viso)'!L42+R_2014_08_priskirta!L43</f>
        <v>0</v>
      </c>
      <c r="M42" s="127">
        <f>+'R_2014_08_atkelta(viso)'!M42+R_2014_08_priskirta!M43</f>
        <v>0</v>
      </c>
      <c r="N42" s="127">
        <f>+'R_2014_08_atkelta(viso)'!N42+R_2014_08_priskirta!N43</f>
        <v>3</v>
      </c>
      <c r="O42" s="127">
        <f>+'R_2014_08_atkelta(viso)'!O42+R_2014_08_priskirta!O43</f>
        <v>78.599999999999994</v>
      </c>
      <c r="P42" s="127">
        <f>+'R_2014_06_atkelta(viso)'!Q42+R_2014_06_priskirta!Q43</f>
        <v>0</v>
      </c>
      <c r="Q42" s="24">
        <f t="shared" si="19"/>
        <v>86.399999999999991</v>
      </c>
      <c r="R42" s="229">
        <f t="shared" si="6"/>
        <v>79.266055045871539</v>
      </c>
      <c r="S42" s="207">
        <f t="shared" si="21"/>
        <v>7.1339449541284523</v>
      </c>
      <c r="T42" s="39">
        <f t="shared" si="20"/>
        <v>0.53333333333333333</v>
      </c>
      <c r="U42" s="71"/>
      <c r="V42" s="61">
        <v>648</v>
      </c>
      <c r="W42" s="13">
        <f t="shared" si="24"/>
        <v>345.6</v>
      </c>
    </row>
    <row r="43" spans="1:23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+'R_2014_08_atkelta(viso)'!E43+R_2014_08_priskirta!E44</f>
        <v>160.44191780821924</v>
      </c>
      <c r="F43" s="127">
        <f>+'R_2014_08_atkelta(viso)'!F43+R_2014_08_priskirta!F44</f>
        <v>12055.287671232747</v>
      </c>
      <c r="G43" s="127">
        <f>+'R_2014_08_atkelta(viso)'!G43+R_2014_08_priskirta!G44</f>
        <v>1568.3835616438325</v>
      </c>
      <c r="H43" s="127">
        <f>+'R_2014_08_atkelta(viso)'!H43+R_2014_08_priskirta!H44</f>
        <v>2200.4131506849317</v>
      </c>
      <c r="I43" s="127">
        <f>+'R_2014_08_atkelta(viso)'!I43+R_2014_08_priskirta!I44</f>
        <v>0</v>
      </c>
      <c r="J43" s="127">
        <f>+'R_2014_08_atkelta(viso)'!J43+R_2014_08_priskirta!J44</f>
        <v>0</v>
      </c>
      <c r="K43" s="127">
        <f>+'R_2014_08_atkelta(viso)'!K43+R_2014_08_priskirta!K44</f>
        <v>0</v>
      </c>
      <c r="L43" s="127">
        <f>+'R_2014_08_atkelta(viso)'!L43+R_2014_08_priskirta!L44</f>
        <v>0</v>
      </c>
      <c r="M43" s="127">
        <f>+'R_2014_08_atkelta(viso)'!M43+R_2014_08_priskirta!M44</f>
        <v>28.958904109589035</v>
      </c>
      <c r="N43" s="127">
        <f>+'R_2014_08_atkelta(viso)'!N43+R_2014_08_priskirta!N44</f>
        <v>0</v>
      </c>
      <c r="O43" s="127">
        <f>+'R_2014_08_atkelta(viso)'!O43+R_2014_08_priskirta!O44</f>
        <v>27.178083496093748</v>
      </c>
      <c r="P43" s="127">
        <f>+'R_2014_06_atkelta(viso)'!Q43+R_2014_06_priskirta!Q44</f>
        <v>0</v>
      </c>
      <c r="Q43" s="24">
        <f t="shared" si="19"/>
        <v>16040.663288975413</v>
      </c>
      <c r="R43" s="229">
        <f t="shared" si="6"/>
        <v>14716.204852271019</v>
      </c>
      <c r="S43" s="147">
        <f t="shared" si="21"/>
        <v>1324.4584367043935</v>
      </c>
      <c r="T43" s="22">
        <f t="shared" si="20"/>
        <v>1604.0663288975413</v>
      </c>
      <c r="U43" s="71"/>
      <c r="V43" s="61"/>
      <c r="W43" s="13"/>
    </row>
    <row r="44" spans="1:23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6287.55</v>
      </c>
      <c r="F44" s="82">
        <f>+SUM(F45:F53)</f>
        <v>186484.63</v>
      </c>
      <c r="G44" s="82">
        <f t="shared" ref="G44:T44" si="25">+SUM(G45:G53)</f>
        <v>28367.14</v>
      </c>
      <c r="H44" s="82">
        <f>+SUM(H45:H53)</f>
        <v>4192.17</v>
      </c>
      <c r="I44" s="82">
        <f t="shared" si="25"/>
        <v>0</v>
      </c>
      <c r="J44" s="82">
        <f t="shared" si="25"/>
        <v>0</v>
      </c>
      <c r="K44" s="100">
        <f t="shared" si="25"/>
        <v>0</v>
      </c>
      <c r="L44" s="100">
        <f t="shared" si="25"/>
        <v>0</v>
      </c>
      <c r="M44" s="100">
        <f t="shared" si="25"/>
        <v>2045.99</v>
      </c>
      <c r="N44" s="100">
        <f t="shared" si="25"/>
        <v>2680.2900000000004</v>
      </c>
      <c r="O44" s="100">
        <f t="shared" si="25"/>
        <v>15214.08</v>
      </c>
      <c r="P44" s="100">
        <f t="shared" si="25"/>
        <v>0</v>
      </c>
      <c r="Q44" s="42">
        <f>+SUM(Q45:Q53)</f>
        <v>245271.85</v>
      </c>
      <c r="R44" s="82">
        <f t="shared" si="25"/>
        <v>225020.04587155962</v>
      </c>
      <c r="S44" s="82">
        <f t="shared" si="25"/>
        <v>20251.804128440381</v>
      </c>
      <c r="T44" s="19">
        <f t="shared" si="25"/>
        <v>38059.366666666669</v>
      </c>
      <c r="U44" s="71"/>
      <c r="V44" s="61"/>
      <c r="W44" s="105">
        <f>+SUM(W45:W53)</f>
        <v>367264.85</v>
      </c>
    </row>
    <row r="45" spans="1:23" ht="12" customHeight="1" x14ac:dyDescent="0.25">
      <c r="A45" s="65" t="s">
        <v>17</v>
      </c>
      <c r="B45" s="86" t="s">
        <v>35</v>
      </c>
      <c r="C45" s="375" t="s">
        <v>2</v>
      </c>
      <c r="D45" s="376">
        <v>12</v>
      </c>
      <c r="E45" s="361">
        <f>+'R_2014_08_atkelta(viso)'!E45+R_2014_08_priskirta!E46</f>
        <v>876</v>
      </c>
      <c r="F45" s="361">
        <f>+'R_2014_08_atkelta(viso)'!F45+R_2014_08_priskirta!F46</f>
        <v>21180</v>
      </c>
      <c r="G45" s="361">
        <f>+'R_2014_08_atkelta(viso)'!G45+R_2014_08_priskirta!G46</f>
        <v>2988</v>
      </c>
      <c r="H45" s="361">
        <f>+'R_2014_08_atkelta(viso)'!H45+R_2014_08_priskirta!H46</f>
        <v>288</v>
      </c>
      <c r="I45" s="361">
        <f>+'R_2014_08_atkelta(viso)'!I45+R_2014_08_priskirta!I46</f>
        <v>0</v>
      </c>
      <c r="J45" s="361">
        <f>+'R_2014_08_atkelta(viso)'!J45+R_2014_08_priskirta!J46</f>
        <v>0</v>
      </c>
      <c r="K45" s="361">
        <f>+'R_2014_08_atkelta(viso)'!K45+R_2014_08_priskirta!K46</f>
        <v>0</v>
      </c>
      <c r="L45" s="361">
        <f>+'R_2014_08_atkelta(viso)'!L45+R_2014_08_priskirta!L46</f>
        <v>0</v>
      </c>
      <c r="M45" s="361">
        <f>+'R_2014_08_atkelta(viso)'!M45+R_2014_08_priskirta!M46</f>
        <v>240</v>
      </c>
      <c r="N45" s="361">
        <f>+'R_2014_08_atkelta(viso)'!N45+R_2014_08_priskirta!N46</f>
        <v>324</v>
      </c>
      <c r="O45" s="361">
        <f>+'R_2014_08_atkelta(viso)'!O45+R_2014_08_priskirta!O46</f>
        <v>1536</v>
      </c>
      <c r="P45" s="290">
        <f>+'R_2014_06_atkelta(viso)'!Q45+R_2014_06_priskirta!Q46</f>
        <v>0</v>
      </c>
      <c r="Q45" s="24">
        <f t="shared" ref="Q45:Q53" si="26">+SUM(E45:P45)</f>
        <v>27432</v>
      </c>
      <c r="R45" s="229">
        <f t="shared" si="6"/>
        <v>25166.972477064217</v>
      </c>
      <c r="S45" s="99">
        <f t="shared" ref="S45:S53" si="27">+Q45-R45</f>
        <v>2265.0275229357831</v>
      </c>
      <c r="T45" s="116">
        <f t="shared" ref="T45:T53" si="28">Q45/D45</f>
        <v>2286</v>
      </c>
      <c r="U45" s="71"/>
      <c r="V45" s="61"/>
      <c r="W45" s="13"/>
    </row>
    <row r="46" spans="1:23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96">
        <f>+'R_2014_08_atkelta(viso)'!E46+R_2014_08_priskirta!E47</f>
        <v>240</v>
      </c>
      <c r="F46" s="96">
        <f>+'R_2014_08_atkelta(viso)'!F46+R_2014_08_priskirta!F47</f>
        <v>2124</v>
      </c>
      <c r="G46" s="96">
        <f>+'R_2014_08_atkelta(viso)'!G46+R_2014_08_priskirta!G47</f>
        <v>258</v>
      </c>
      <c r="H46" s="96">
        <f>+'R_2014_08_atkelta(viso)'!H46+R_2014_08_priskirta!H47</f>
        <v>30</v>
      </c>
      <c r="I46" s="96">
        <f>+'R_2014_08_atkelta(viso)'!I46+R_2014_08_priskirta!I47</f>
        <v>0</v>
      </c>
      <c r="J46" s="96">
        <f>+'R_2014_08_atkelta(viso)'!J46+R_2014_08_priskirta!J47</f>
        <v>0</v>
      </c>
      <c r="K46" s="96">
        <f>+'R_2014_08_atkelta(viso)'!K46+R_2014_08_priskirta!K47</f>
        <v>0</v>
      </c>
      <c r="L46" s="96">
        <f>+'R_2014_08_atkelta(viso)'!L46+R_2014_08_priskirta!L47</f>
        <v>0</v>
      </c>
      <c r="M46" s="96">
        <f>+'R_2014_08_atkelta(viso)'!M46+R_2014_08_priskirta!M47</f>
        <v>36</v>
      </c>
      <c r="N46" s="96">
        <f>+'R_2014_08_atkelta(viso)'!N46+R_2014_08_priskirta!N47</f>
        <v>54</v>
      </c>
      <c r="O46" s="96">
        <f>+'R_2014_08_atkelta(viso)'!O46+R_2014_08_priskirta!O47</f>
        <v>180</v>
      </c>
      <c r="P46" s="291">
        <f>+'R_2014_06_atkelta(viso)'!Q46+R_2014_06_priskirta!Q47</f>
        <v>0</v>
      </c>
      <c r="Q46" s="24">
        <f t="shared" si="26"/>
        <v>2922</v>
      </c>
      <c r="R46" s="229">
        <f t="shared" si="6"/>
        <v>2680.7339449541282</v>
      </c>
      <c r="S46" s="5">
        <f t="shared" si="27"/>
        <v>241.26605504587178</v>
      </c>
      <c r="T46" s="31">
        <f t="shared" si="28"/>
        <v>487</v>
      </c>
      <c r="U46" s="71"/>
      <c r="V46" s="61">
        <v>6</v>
      </c>
      <c r="W46" s="13">
        <f t="shared" ref="W46:W47" si="29">+T46*V46</f>
        <v>2922</v>
      </c>
    </row>
    <row r="47" spans="1:23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96">
        <f>+'R_2014_08_atkelta(viso)'!E47+R_2014_08_priskirta!E48</f>
        <v>1591.2</v>
      </c>
      <c r="F47" s="96">
        <f>+'R_2014_08_atkelta(viso)'!F47+R_2014_08_priskirta!F48</f>
        <v>49048.800000000003</v>
      </c>
      <c r="G47" s="96">
        <f>+'R_2014_08_atkelta(viso)'!G47+R_2014_08_priskirta!G48</f>
        <v>9134.4</v>
      </c>
      <c r="H47" s="96">
        <f>+'R_2014_08_atkelta(viso)'!H47+R_2014_08_priskirta!H48</f>
        <v>448.79999999999995</v>
      </c>
      <c r="I47" s="96">
        <f>+'R_2014_08_atkelta(viso)'!I47+R_2014_08_priskirta!I48</f>
        <v>0</v>
      </c>
      <c r="J47" s="96">
        <f>+'R_2014_08_atkelta(viso)'!J47+R_2014_08_priskirta!J48</f>
        <v>0</v>
      </c>
      <c r="K47" s="96">
        <f>+'R_2014_08_atkelta(viso)'!K47+R_2014_08_priskirta!K48</f>
        <v>0</v>
      </c>
      <c r="L47" s="96">
        <f>+'R_2014_08_atkelta(viso)'!L47+R_2014_08_priskirta!L48</f>
        <v>0</v>
      </c>
      <c r="M47" s="96">
        <f>+'R_2014_08_atkelta(viso)'!M47+R_2014_08_priskirta!M48</f>
        <v>453.6</v>
      </c>
      <c r="N47" s="96">
        <f>+'R_2014_08_atkelta(viso)'!N47+R_2014_08_priskirta!N48</f>
        <v>566.4</v>
      </c>
      <c r="O47" s="96">
        <f>+'R_2014_08_atkelta(viso)'!O47+R_2014_08_priskirta!O48</f>
        <v>2652</v>
      </c>
      <c r="P47" s="291">
        <f>+'R_2014_06_atkelta(viso)'!Q47+R_2014_06_priskirta!Q48</f>
        <v>0</v>
      </c>
      <c r="Q47" s="24">
        <f t="shared" si="26"/>
        <v>63895.200000000004</v>
      </c>
      <c r="R47" s="229">
        <f t="shared" si="6"/>
        <v>58619.449541284404</v>
      </c>
      <c r="S47" s="5">
        <f t="shared" si="27"/>
        <v>5275.7504587156</v>
      </c>
      <c r="T47" s="31">
        <f t="shared" si="28"/>
        <v>26623.000000000004</v>
      </c>
      <c r="U47" s="71"/>
      <c r="V47" s="61">
        <v>9.6</v>
      </c>
      <c r="W47" s="13">
        <f t="shared" si="29"/>
        <v>255580.80000000002</v>
      </c>
    </row>
    <row r="48" spans="1:23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96">
        <f>+'R_2014_08_atkelta(viso)'!E48+R_2014_08_priskirta!E49</f>
        <v>532</v>
      </c>
      <c r="F48" s="96">
        <f>+'R_2014_08_atkelta(viso)'!F48+R_2014_08_priskirta!F49</f>
        <v>21546</v>
      </c>
      <c r="G48" s="96">
        <f>+'R_2014_08_atkelta(viso)'!G48+R_2014_08_priskirta!G49</f>
        <v>3017</v>
      </c>
      <c r="H48" s="96">
        <f>+'R_2014_08_atkelta(viso)'!H48+R_2014_08_priskirta!H49</f>
        <v>616</v>
      </c>
      <c r="I48" s="96">
        <f>+'R_2014_08_atkelta(viso)'!I48+R_2014_08_priskirta!I49</f>
        <v>0</v>
      </c>
      <c r="J48" s="96">
        <f>+'R_2014_08_atkelta(viso)'!J48+R_2014_08_priskirta!J49</f>
        <v>0</v>
      </c>
      <c r="K48" s="96">
        <f>+'R_2014_08_atkelta(viso)'!K48+R_2014_08_priskirta!K49</f>
        <v>0</v>
      </c>
      <c r="L48" s="96">
        <f>+'R_2014_08_atkelta(viso)'!L48+R_2014_08_priskirta!L49</f>
        <v>0</v>
      </c>
      <c r="M48" s="96">
        <f>+'R_2014_08_atkelta(viso)'!M48+R_2014_08_priskirta!M49</f>
        <v>161</v>
      </c>
      <c r="N48" s="96">
        <f>+'R_2014_08_atkelta(viso)'!N48+R_2014_08_priskirta!N49</f>
        <v>301</v>
      </c>
      <c r="O48" s="96">
        <f>+'R_2014_08_atkelta(viso)'!O48+R_2014_08_priskirta!O49</f>
        <v>1337</v>
      </c>
      <c r="P48" s="291">
        <f>+'R_2014_06_atkelta(viso)'!Q48+R_2014_06_priskirta!Q49</f>
        <v>0</v>
      </c>
      <c r="Q48" s="24">
        <f t="shared" si="26"/>
        <v>27510</v>
      </c>
      <c r="R48" s="229">
        <f t="shared" si="6"/>
        <v>25238.532110091743</v>
      </c>
      <c r="S48" s="5">
        <f t="shared" si="27"/>
        <v>2271.4678899082573</v>
      </c>
      <c r="T48" s="31">
        <f t="shared" si="28"/>
        <v>1310</v>
      </c>
      <c r="U48" s="71"/>
      <c r="V48" s="61"/>
      <c r="W48" s="13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96">
        <f>+'R_2014_08_atkelta(viso)'!E49+R_2014_08_priskirta!E50</f>
        <v>42</v>
      </c>
      <c r="F49" s="96">
        <f>+'R_2014_08_atkelta(viso)'!F49+R_2014_08_priskirta!F50</f>
        <v>1904</v>
      </c>
      <c r="G49" s="96">
        <f>+'R_2014_08_atkelta(viso)'!G49+R_2014_08_priskirta!G50</f>
        <v>269.5</v>
      </c>
      <c r="H49" s="96">
        <f>+'R_2014_08_atkelta(viso)'!H49+R_2014_08_priskirta!H50</f>
        <v>59.5</v>
      </c>
      <c r="I49" s="96">
        <f>+'R_2014_08_atkelta(viso)'!I49+R_2014_08_priskirta!I50</f>
        <v>0</v>
      </c>
      <c r="J49" s="96">
        <f>+'R_2014_08_atkelta(viso)'!J49+R_2014_08_priskirta!J50</f>
        <v>0</v>
      </c>
      <c r="K49" s="96">
        <f>+'R_2014_08_atkelta(viso)'!K49+R_2014_08_priskirta!K50</f>
        <v>0</v>
      </c>
      <c r="L49" s="96">
        <f>+'R_2014_08_atkelta(viso)'!L49+R_2014_08_priskirta!L50</f>
        <v>0</v>
      </c>
      <c r="M49" s="96">
        <f>+'R_2014_08_atkelta(viso)'!M49+R_2014_08_priskirta!M50</f>
        <v>87.5</v>
      </c>
      <c r="N49" s="96">
        <f>+'R_2014_08_atkelta(viso)'!N49+R_2014_08_priskirta!N50</f>
        <v>42</v>
      </c>
      <c r="O49" s="96">
        <f>+'R_2014_08_atkelta(viso)'!O49+R_2014_08_priskirta!O50</f>
        <v>168</v>
      </c>
      <c r="P49" s="291">
        <f>+'R_2014_06_atkelta(viso)'!Q49+R_2014_06_priskirta!Q50</f>
        <v>0</v>
      </c>
      <c r="Q49" s="24">
        <f t="shared" si="26"/>
        <v>2572.5</v>
      </c>
      <c r="R49" s="229">
        <f t="shared" si="6"/>
        <v>2360.0917431192661</v>
      </c>
      <c r="S49" s="5">
        <f t="shared" si="27"/>
        <v>212.40825688073392</v>
      </c>
      <c r="T49" s="21">
        <f t="shared" si="28"/>
        <v>245</v>
      </c>
      <c r="U49" s="71"/>
      <c r="V49" s="61">
        <v>10.5</v>
      </c>
      <c r="W49" s="13">
        <f t="shared" ref="W49:W50" si="30">+T49*V49</f>
        <v>2572.5</v>
      </c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96">
        <f>+'R_2014_08_atkelta(viso)'!E50+R_2014_08_priskirta!E51</f>
        <v>245</v>
      </c>
      <c r="F50" s="96">
        <f>+'R_2014_08_atkelta(viso)'!F50+R_2014_08_priskirta!F51</f>
        <v>9968</v>
      </c>
      <c r="G50" s="96">
        <f>+'R_2014_08_atkelta(viso)'!G50+R_2014_08_priskirta!G51</f>
        <v>1300.5999999999999</v>
      </c>
      <c r="H50" s="96">
        <f>+'R_2014_08_atkelta(viso)'!H50+R_2014_08_priskirta!H51</f>
        <v>172.20000000000002</v>
      </c>
      <c r="I50" s="96">
        <f>+'R_2014_08_atkelta(viso)'!I50+R_2014_08_priskirta!I51</f>
        <v>0</v>
      </c>
      <c r="J50" s="96">
        <f>+'R_2014_08_atkelta(viso)'!J50+R_2014_08_priskirta!J51</f>
        <v>0</v>
      </c>
      <c r="K50" s="96">
        <f>+'R_2014_08_atkelta(viso)'!K50+R_2014_08_priskirta!K51</f>
        <v>0</v>
      </c>
      <c r="L50" s="96">
        <f>+'R_2014_08_atkelta(viso)'!L50+R_2014_08_priskirta!L51</f>
        <v>0</v>
      </c>
      <c r="M50" s="96">
        <f>+'R_2014_08_atkelta(viso)'!M50+R_2014_08_priskirta!M51</f>
        <v>39.199999999999996</v>
      </c>
      <c r="N50" s="96">
        <f>+'R_2014_08_atkelta(viso)'!N50+R_2014_08_priskirta!N51</f>
        <v>200.2</v>
      </c>
      <c r="O50" s="96">
        <f>+'R_2014_08_atkelta(viso)'!O50+R_2014_08_priskirta!O51</f>
        <v>1580.6000000000001</v>
      </c>
      <c r="P50" s="291">
        <f>+'R_2014_06_atkelta(viso)'!Q50+R_2014_06_priskirta!Q51</f>
        <v>0</v>
      </c>
      <c r="Q50" s="24">
        <f t="shared" si="26"/>
        <v>13505.800000000003</v>
      </c>
      <c r="R50" s="229">
        <f t="shared" si="6"/>
        <v>12390.642201834864</v>
      </c>
      <c r="S50" s="5">
        <f t="shared" si="27"/>
        <v>1115.157798165139</v>
      </c>
      <c r="T50" s="21">
        <f t="shared" si="28"/>
        <v>3215.6666666666674</v>
      </c>
      <c r="U50" s="71"/>
      <c r="V50" s="61">
        <v>16.8</v>
      </c>
      <c r="W50" s="13">
        <f t="shared" si="30"/>
        <v>54023.200000000012</v>
      </c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96">
        <f>+'R_2014_08_atkelta(viso)'!E51+R_2014_08_priskirta!E52</f>
        <v>2287.7999999999997</v>
      </c>
      <c r="F51" s="96">
        <f>+'R_2014_08_atkelta(viso)'!F51+R_2014_08_priskirta!F52</f>
        <v>66924.3</v>
      </c>
      <c r="G51" s="96">
        <f>+'R_2014_08_atkelta(viso)'!G51+R_2014_08_priskirta!G52</f>
        <v>9290.6</v>
      </c>
      <c r="H51" s="96">
        <f>+'R_2014_08_atkelta(viso)'!H51+R_2014_08_priskirta!H52</f>
        <v>2226.3000000000002</v>
      </c>
      <c r="I51" s="96">
        <f>+'R_2014_08_atkelta(viso)'!I51+R_2014_08_priskirta!I52</f>
        <v>0</v>
      </c>
      <c r="J51" s="96">
        <f>+'R_2014_08_atkelta(viso)'!J51+R_2014_08_priskirta!J52</f>
        <v>0</v>
      </c>
      <c r="K51" s="96">
        <f>+'R_2014_08_atkelta(viso)'!K51+R_2014_08_priskirta!K52</f>
        <v>0</v>
      </c>
      <c r="L51" s="96">
        <f>+'R_2014_08_atkelta(viso)'!L51+R_2014_08_priskirta!L52</f>
        <v>0</v>
      </c>
      <c r="M51" s="96">
        <f>+'R_2014_08_atkelta(viso)'!M51+R_2014_08_priskirta!M52</f>
        <v>754.4</v>
      </c>
      <c r="N51" s="96">
        <f>+'R_2014_08_atkelta(viso)'!N51+R_2014_08_priskirta!N52</f>
        <v>992.19999999999993</v>
      </c>
      <c r="O51" s="96">
        <f>+'R_2014_08_atkelta(viso)'!O51+R_2014_08_priskirta!O52</f>
        <v>5904</v>
      </c>
      <c r="P51" s="291">
        <f>+'R_2014_06_atkelta(viso)'!Q51+R_2014_06_priskirta!Q52</f>
        <v>0</v>
      </c>
      <c r="Q51" s="24">
        <f t="shared" si="26"/>
        <v>88379.6</v>
      </c>
      <c r="R51" s="229">
        <f t="shared" si="6"/>
        <v>81082.201834862382</v>
      </c>
      <c r="S51" s="5">
        <f t="shared" si="27"/>
        <v>7297.3981651376234</v>
      </c>
      <c r="T51" s="21">
        <f t="shared" si="28"/>
        <v>2155.6000000000004</v>
      </c>
      <c r="U51" s="71"/>
      <c r="V51" s="61"/>
      <c r="W51" s="13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96">
        <f>+'R_2014_08_atkelta(viso)'!E52+R_2014_08_priskirta!E53</f>
        <v>239.85</v>
      </c>
      <c r="F52" s="96">
        <f>+'R_2014_08_atkelta(viso)'!F52+R_2014_08_priskirta!F53</f>
        <v>6266.8499999999995</v>
      </c>
      <c r="G52" s="96">
        <f>+'R_2014_08_atkelta(viso)'!G52+R_2014_08_priskirta!G53</f>
        <v>881.5</v>
      </c>
      <c r="H52" s="96">
        <f>+'R_2014_08_atkelta(viso)'!H52+R_2014_08_priskirta!H53</f>
        <v>116.85</v>
      </c>
      <c r="I52" s="96">
        <f>+'R_2014_08_atkelta(viso)'!I52+R_2014_08_priskirta!I53</f>
        <v>0</v>
      </c>
      <c r="J52" s="96">
        <f>+'R_2014_08_atkelta(viso)'!J52+R_2014_08_priskirta!J53</f>
        <v>0</v>
      </c>
      <c r="K52" s="96">
        <f>+'R_2014_08_atkelta(viso)'!K52+R_2014_08_priskirta!K53</f>
        <v>0</v>
      </c>
      <c r="L52" s="96">
        <f>+'R_2014_08_atkelta(viso)'!L52+R_2014_08_priskirta!L53</f>
        <v>0</v>
      </c>
      <c r="M52" s="96">
        <f>+'R_2014_08_atkelta(viso)'!M52+R_2014_08_priskirta!M53</f>
        <v>161.94999999999999</v>
      </c>
      <c r="N52" s="96">
        <f>+'R_2014_08_atkelta(viso)'!N52+R_2014_08_priskirta!N53</f>
        <v>22.550000000000004</v>
      </c>
      <c r="O52" s="96">
        <f>+'R_2014_08_atkelta(viso)'!O52+R_2014_08_priskirta!O53</f>
        <v>328</v>
      </c>
      <c r="P52" s="291">
        <f>+'R_2014_06_atkelta(viso)'!Q52+R_2014_06_priskirta!Q53</f>
        <v>0</v>
      </c>
      <c r="Q52" s="24">
        <f t="shared" si="26"/>
        <v>8017.55</v>
      </c>
      <c r="R52" s="229">
        <f t="shared" si="6"/>
        <v>7355.5504587155956</v>
      </c>
      <c r="S52" s="5">
        <f t="shared" si="27"/>
        <v>661.99954128440459</v>
      </c>
      <c r="T52" s="21">
        <f t="shared" si="28"/>
        <v>391.1</v>
      </c>
      <c r="U52" s="71"/>
      <c r="V52" s="61">
        <v>20.5</v>
      </c>
      <c r="W52" s="13">
        <f t="shared" ref="W52:W53" si="31">+T52*V52</f>
        <v>8017.55</v>
      </c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48">
        <f>+'R_2014_08_atkelta(viso)'!E53+R_2014_08_priskirta!E54</f>
        <v>233.7</v>
      </c>
      <c r="F53" s="148">
        <f>+'R_2014_08_atkelta(viso)'!F53+R_2014_08_priskirta!F54</f>
        <v>7522.68</v>
      </c>
      <c r="G53" s="148">
        <f>+'R_2014_08_atkelta(viso)'!G53+R_2014_08_priskirta!G54</f>
        <v>1227.54</v>
      </c>
      <c r="H53" s="148">
        <f>+'R_2014_08_atkelta(viso)'!H53+R_2014_08_priskirta!H54</f>
        <v>234.52000000000004</v>
      </c>
      <c r="I53" s="148">
        <f>+'R_2014_08_atkelta(viso)'!I53+R_2014_08_priskirta!I54</f>
        <v>0</v>
      </c>
      <c r="J53" s="148">
        <f>+'R_2014_08_atkelta(viso)'!J53+R_2014_08_priskirta!J54</f>
        <v>0</v>
      </c>
      <c r="K53" s="148">
        <f>+'R_2014_08_atkelta(viso)'!K53+R_2014_08_priskirta!K54</f>
        <v>0</v>
      </c>
      <c r="L53" s="148">
        <f>+'R_2014_08_atkelta(viso)'!L53+R_2014_08_priskirta!L54</f>
        <v>0</v>
      </c>
      <c r="M53" s="148">
        <f>+'R_2014_08_atkelta(viso)'!M53+R_2014_08_priskirta!M54</f>
        <v>112.34</v>
      </c>
      <c r="N53" s="148">
        <f>+'R_2014_08_atkelta(viso)'!N53+R_2014_08_priskirta!N54</f>
        <v>177.94</v>
      </c>
      <c r="O53" s="148">
        <f>+'R_2014_08_atkelta(viso)'!O53+R_2014_08_priskirta!O54</f>
        <v>1528.48</v>
      </c>
      <c r="P53" s="292">
        <f>+'R_2014_06_atkelta(viso)'!Q53+R_2014_06_priskirta!Q54</f>
        <v>0</v>
      </c>
      <c r="Q53" s="359">
        <f t="shared" si="26"/>
        <v>11037.2</v>
      </c>
      <c r="R53" s="140">
        <f t="shared" si="6"/>
        <v>10125.871559633028</v>
      </c>
      <c r="S53" s="6">
        <f t="shared" si="27"/>
        <v>911.32844036697315</v>
      </c>
      <c r="T53" s="22">
        <f t="shared" si="28"/>
        <v>1346.0000000000002</v>
      </c>
      <c r="U53" s="71"/>
      <c r="V53" s="61">
        <v>32.799999999999997</v>
      </c>
      <c r="W53" s="13">
        <f t="shared" si="31"/>
        <v>44148.800000000003</v>
      </c>
    </row>
    <row r="54" spans="1:23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3" x14ac:dyDescent="0.25">
      <c r="E55" s="2"/>
      <c r="F55" s="2"/>
      <c r="G55" s="2"/>
      <c r="H55" s="2"/>
      <c r="I55" s="2"/>
      <c r="J55" s="2"/>
      <c r="M55" s="2"/>
      <c r="N55" s="2"/>
      <c r="Q55" s="2"/>
      <c r="R55" s="2"/>
      <c r="S55" s="2"/>
    </row>
    <row r="57" spans="1:23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AP73"/>
  <sheetViews>
    <sheetView zoomScaleNormal="100" workbookViewId="0">
      <pane xSplit="4" ySplit="4" topLeftCell="M47" activePane="bottomRight" state="frozen"/>
      <selection pane="topRight" activeCell="E1" sqref="E1"/>
      <selection pane="bottomLeft" activeCell="A5" sqref="A5"/>
      <selection pane="bottomRight" activeCell="D57" sqref="D57:Q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1.5546875" style="1" customWidth="1"/>
    <col min="9" max="9" width="15.109375" style="1" customWidth="1"/>
    <col min="10" max="10" width="14.109375" style="1" customWidth="1"/>
    <col min="11" max="11" width="11.33203125" style="1" customWidth="1"/>
    <col min="12" max="12" width="12.33203125" style="1" customWidth="1"/>
    <col min="13" max="13" width="13" style="1" customWidth="1"/>
    <col min="14" max="14" width="12.6640625" style="1" customWidth="1"/>
    <col min="15" max="15" width="13" style="1" customWidth="1"/>
    <col min="16" max="16" width="12.33203125" style="1" customWidth="1" outlineLevel="1"/>
    <col min="17" max="17" width="15.109375" style="1" bestFit="1" customWidth="1"/>
    <col min="18" max="19" width="12.33203125" style="1" customWidth="1"/>
    <col min="20" max="20" width="11.6640625" style="1" customWidth="1"/>
    <col min="21" max="21" width="5.33203125" style="1" customWidth="1"/>
    <col min="22" max="22" width="4.88671875" style="1" customWidth="1"/>
    <col min="23" max="23" width="12.88671875" style="2" customWidth="1"/>
    <col min="24" max="24" width="11.33203125" style="1" bestFit="1" customWidth="1"/>
    <col min="25" max="25" width="9.88671875" style="1" bestFit="1" customWidth="1"/>
    <col min="26" max="16384" width="8.88671875" style="1"/>
  </cols>
  <sheetData>
    <row r="1" spans="1:42" ht="22.2" customHeight="1" x14ac:dyDescent="0.3">
      <c r="A1" s="40" t="s">
        <v>427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42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42" ht="25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42" ht="26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444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42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T5" si="0">+E6+E18+E44</f>
        <v>219212.42</v>
      </c>
      <c r="F5" s="187">
        <f t="shared" si="0"/>
        <v>5782088.0999999996</v>
      </c>
      <c r="G5" s="82">
        <f t="shared" si="0"/>
        <v>826761.02</v>
      </c>
      <c r="H5" s="82">
        <f t="shared" si="0"/>
        <v>123056.82</v>
      </c>
      <c r="I5" s="187">
        <f t="shared" si="0"/>
        <v>579086.19999999995</v>
      </c>
      <c r="J5" s="187">
        <f t="shared" si="0"/>
        <v>1094563.3999999999</v>
      </c>
      <c r="K5" s="187">
        <f t="shared" si="0"/>
        <v>893800.78000000014</v>
      </c>
      <c r="L5" s="187">
        <f t="shared" si="0"/>
        <v>93655.060000000056</v>
      </c>
      <c r="M5" s="187">
        <f t="shared" si="0"/>
        <v>73867.959999999992</v>
      </c>
      <c r="N5" s="192">
        <f>+N6+N18+N44</f>
        <v>67339.14</v>
      </c>
      <c r="O5" s="187">
        <f>+O6+O18+O44</f>
        <v>547584.02</v>
      </c>
      <c r="P5" s="19">
        <f>+P6+P18+P44</f>
        <v>0</v>
      </c>
      <c r="Q5" s="42">
        <f t="shared" ref="Q5:Q10" si="1">+SUM(E5:P5)</f>
        <v>10301014.92</v>
      </c>
      <c r="R5" s="42">
        <f t="shared" si="0"/>
        <v>9450472.4036697242</v>
      </c>
      <c r="S5" s="42">
        <f t="shared" si="0"/>
        <v>850542.51633027568</v>
      </c>
      <c r="T5" s="42">
        <f t="shared" si="0"/>
        <v>2329209</v>
      </c>
      <c r="U5" s="71"/>
      <c r="V5" s="87"/>
      <c r="W5" s="135">
        <f>+W7+W18+W44</f>
        <v>5434914.5800000001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2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T6" si="2">+E7+E11</f>
        <v>49786.320000000007</v>
      </c>
      <c r="F6" s="187">
        <f t="shared" si="2"/>
        <v>1542277.0000000002</v>
      </c>
      <c r="G6" s="82">
        <f t="shared" si="2"/>
        <v>220533.01999999996</v>
      </c>
      <c r="H6" s="82">
        <f t="shared" si="2"/>
        <v>30287.22</v>
      </c>
      <c r="I6" s="187">
        <f t="shared" si="2"/>
        <v>579086.19999999995</v>
      </c>
      <c r="J6" s="187">
        <f t="shared" si="2"/>
        <v>1094563.3999999999</v>
      </c>
      <c r="K6" s="187">
        <f t="shared" si="2"/>
        <v>893800.78000000014</v>
      </c>
      <c r="L6" s="187">
        <f t="shared" si="2"/>
        <v>93655.060000000056</v>
      </c>
      <c r="M6" s="187">
        <f t="shared" si="2"/>
        <v>19545.46</v>
      </c>
      <c r="N6" s="192">
        <f>+N7+N11</f>
        <v>45341.340000000004</v>
      </c>
      <c r="O6" s="187">
        <f t="shared" si="2"/>
        <v>122784.92</v>
      </c>
      <c r="P6" s="19">
        <f t="shared" si="2"/>
        <v>0</v>
      </c>
      <c r="Q6" s="42">
        <f t="shared" si="1"/>
        <v>4691660.72</v>
      </c>
      <c r="R6" s="42">
        <f t="shared" si="2"/>
        <v>4304275.8899082569</v>
      </c>
      <c r="S6" s="42">
        <f t="shared" si="2"/>
        <v>387384.83009174326</v>
      </c>
      <c r="T6" s="42">
        <f t="shared" si="2"/>
        <v>2198076</v>
      </c>
      <c r="V6" s="61"/>
      <c r="W6" s="1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2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219">
        <f t="shared" si="3"/>
        <v>0</v>
      </c>
      <c r="G7" s="79">
        <f t="shared" si="3"/>
        <v>0</v>
      </c>
      <c r="H7" s="79">
        <f t="shared" si="3"/>
        <v>0</v>
      </c>
      <c r="I7" s="126">
        <f t="shared" si="3"/>
        <v>579086.19999999995</v>
      </c>
      <c r="J7" s="380">
        <f t="shared" si="3"/>
        <v>1094563.3999999999</v>
      </c>
      <c r="K7" s="79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219">
        <f t="shared" si="4"/>
        <v>0</v>
      </c>
      <c r="P7" s="226">
        <f t="shared" si="4"/>
        <v>0</v>
      </c>
      <c r="Q7" s="43">
        <f t="shared" si="1"/>
        <v>1673649.5999999999</v>
      </c>
      <c r="R7" s="43">
        <f t="shared" si="4"/>
        <v>1535458.3486238532</v>
      </c>
      <c r="S7" s="43">
        <f t="shared" si="4"/>
        <v>138191.25137614686</v>
      </c>
      <c r="T7" s="43">
        <f t="shared" si="4"/>
        <v>606451</v>
      </c>
      <c r="U7" s="71"/>
      <c r="V7" s="134"/>
      <c r="W7" s="105">
        <f>+SUM(W8:W17)</f>
        <v>999807.78000000014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2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426062</v>
      </c>
      <c r="J8" s="127">
        <v>811580</v>
      </c>
      <c r="K8" s="36"/>
      <c r="L8" s="36"/>
      <c r="M8" s="36"/>
      <c r="N8" s="127"/>
      <c r="O8" s="362"/>
      <c r="P8" s="355"/>
      <c r="Q8" s="24">
        <f t="shared" si="1"/>
        <v>1237642</v>
      </c>
      <c r="R8" s="5">
        <f t="shared" ref="R8:R10" si="5">+Q8/1.09</f>
        <v>1135451.3761467889</v>
      </c>
      <c r="S8" s="5">
        <f t="shared" ref="S8:S10" si="6">+Q8-R8</f>
        <v>102190.62385321106</v>
      </c>
      <c r="T8" s="5">
        <f>Q8/D8</f>
        <v>353612</v>
      </c>
      <c r="U8" s="71"/>
      <c r="V8" s="61"/>
      <c r="W8" s="1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112"/>
      <c r="AP8" s="112"/>
    </row>
    <row r="9" spans="1:42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7">+D8*0.5</f>
        <v>1.75</v>
      </c>
      <c r="E9" s="122"/>
      <c r="F9" s="17"/>
      <c r="G9" s="13"/>
      <c r="H9" s="13"/>
      <c r="I9" s="127">
        <v>150899</v>
      </c>
      <c r="J9" s="127">
        <v>280801.5</v>
      </c>
      <c r="K9" s="143"/>
      <c r="L9" s="143"/>
      <c r="M9" s="143"/>
      <c r="N9" s="127"/>
      <c r="O9" s="17"/>
      <c r="P9" s="350"/>
      <c r="Q9" s="24">
        <f t="shared" si="1"/>
        <v>431700.5</v>
      </c>
      <c r="R9" s="26">
        <f t="shared" si="5"/>
        <v>396055.50458715594</v>
      </c>
      <c r="S9" s="26">
        <f t="shared" si="6"/>
        <v>35644.995412844059</v>
      </c>
      <c r="T9" s="26">
        <f>Q9/D9</f>
        <v>246686</v>
      </c>
      <c r="U9" s="71"/>
      <c r="V9" s="61">
        <v>1.75</v>
      </c>
      <c r="W9" s="13">
        <f>+T9*V9</f>
        <v>431700.5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112"/>
      <c r="AP9" s="112"/>
    </row>
    <row r="10" spans="1:42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2125.1999999999998</v>
      </c>
      <c r="J10" s="144">
        <v>2181.9</v>
      </c>
      <c r="K10" s="144"/>
      <c r="L10" s="144"/>
      <c r="M10" s="144"/>
      <c r="N10" s="144"/>
      <c r="O10" s="18"/>
      <c r="P10" s="350"/>
      <c r="Q10" s="24">
        <f t="shared" si="1"/>
        <v>4307.1000000000004</v>
      </c>
      <c r="R10" s="26">
        <f t="shared" si="5"/>
        <v>3951.4678899082569</v>
      </c>
      <c r="S10" s="26">
        <f t="shared" si="6"/>
        <v>355.63211009174347</v>
      </c>
      <c r="T10" s="26">
        <f>Q10/D10</f>
        <v>6153.0000000000009</v>
      </c>
      <c r="U10" s="71"/>
      <c r="V10" s="107">
        <v>2.8</v>
      </c>
      <c r="W10" s="13">
        <f>+T10*V10</f>
        <v>17228.400000000001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112"/>
      <c r="AP10" s="112"/>
    </row>
    <row r="11" spans="1:42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49786.320000000007</v>
      </c>
      <c r="F11" s="16">
        <f t="shared" si="8"/>
        <v>1542277.0000000002</v>
      </c>
      <c r="G11" s="84">
        <f t="shared" si="8"/>
        <v>220533.01999999996</v>
      </c>
      <c r="H11" s="84">
        <f t="shared" si="8"/>
        <v>30287.22</v>
      </c>
      <c r="I11" s="84">
        <f t="shared" si="8"/>
        <v>0</v>
      </c>
      <c r="J11" s="74">
        <f t="shared" si="8"/>
        <v>0</v>
      </c>
      <c r="K11" s="101">
        <f t="shared" si="8"/>
        <v>893800.78000000014</v>
      </c>
      <c r="L11" s="101">
        <f t="shared" si="8"/>
        <v>93655.060000000056</v>
      </c>
      <c r="M11" s="101">
        <f t="shared" si="8"/>
        <v>19545.46</v>
      </c>
      <c r="N11" s="101">
        <f t="shared" si="8"/>
        <v>45341.340000000004</v>
      </c>
      <c r="O11" s="101">
        <f t="shared" si="8"/>
        <v>122784.92</v>
      </c>
      <c r="P11" s="101">
        <f t="shared" si="8"/>
        <v>0</v>
      </c>
      <c r="Q11" s="43">
        <f t="shared" si="8"/>
        <v>3018011.1200000006</v>
      </c>
      <c r="R11" s="43">
        <f t="shared" si="8"/>
        <v>2768817.5412844038</v>
      </c>
      <c r="S11" s="43">
        <f t="shared" si="8"/>
        <v>249193.57871559638</v>
      </c>
      <c r="T11" s="43">
        <f t="shared" si="8"/>
        <v>1591625</v>
      </c>
      <c r="U11" s="71"/>
      <c r="V11" s="61"/>
      <c r="W11" s="1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112"/>
      <c r="AP11" s="112"/>
    </row>
    <row r="12" spans="1:42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40508.600000000006</v>
      </c>
      <c r="F12" s="13">
        <v>1177906.4000000001</v>
      </c>
      <c r="G12" s="13">
        <v>163209.19999999998</v>
      </c>
      <c r="H12" s="13">
        <v>23047.200000000001</v>
      </c>
      <c r="I12" s="13"/>
      <c r="J12" s="33"/>
      <c r="K12" s="33">
        <v>685066.8</v>
      </c>
      <c r="L12" s="305">
        <v>72461.400000000023</v>
      </c>
      <c r="M12" s="308">
        <v>13303.400000000001</v>
      </c>
      <c r="N12" s="127">
        <v>38478</v>
      </c>
      <c r="O12" s="361">
        <v>108482</v>
      </c>
      <c r="P12" s="164"/>
      <c r="Q12" s="24">
        <f t="shared" ref="Q12:Q17" si="9">+SUM(E12:P12)</f>
        <v>2322463</v>
      </c>
      <c r="R12" s="5">
        <f t="shared" ref="R12:R17" si="10">+Q12/1.09</f>
        <v>2130700</v>
      </c>
      <c r="S12" s="5">
        <f t="shared" ref="S12:S17" si="11">+Q12-R12</f>
        <v>191763</v>
      </c>
      <c r="T12" s="5">
        <f t="shared" ref="T12:T17" si="12">Q12/D12</f>
        <v>1055665</v>
      </c>
      <c r="U12" s="2"/>
      <c r="V12" s="61"/>
      <c r="W12" s="1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12"/>
      <c r="AP12" s="112"/>
    </row>
    <row r="13" spans="1:42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8426</v>
      </c>
      <c r="F13" s="13">
        <v>338243.4</v>
      </c>
      <c r="G13" s="13">
        <v>52660.299999999996</v>
      </c>
      <c r="H13" s="13">
        <v>6871.7000000000007</v>
      </c>
      <c r="I13" s="13"/>
      <c r="J13" s="33"/>
      <c r="K13" s="33">
        <v>72218.3</v>
      </c>
      <c r="L13" s="306">
        <v>6519.7000000000262</v>
      </c>
      <c r="M13" s="13">
        <v>5910.3</v>
      </c>
      <c r="N13" s="127">
        <v>1538.9000000000003</v>
      </c>
      <c r="O13" s="96">
        <v>7046.6</v>
      </c>
      <c r="P13" s="164"/>
      <c r="Q13" s="24">
        <f t="shared" si="9"/>
        <v>499435.2</v>
      </c>
      <c r="R13" s="5">
        <f t="shared" si="10"/>
        <v>458197.43119266053</v>
      </c>
      <c r="S13" s="5">
        <f t="shared" si="11"/>
        <v>41237.768807339482</v>
      </c>
      <c r="T13" s="5">
        <f t="shared" si="12"/>
        <v>454032</v>
      </c>
      <c r="U13" s="71"/>
      <c r="V13" s="107">
        <v>1.1000000000000001</v>
      </c>
      <c r="W13" s="13">
        <f t="shared" ref="W13:W14" si="13">+T13*V13</f>
        <v>499435.2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12"/>
      <c r="AP13" s="112"/>
    </row>
    <row r="14" spans="1:42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112.2</v>
      </c>
      <c r="F14" s="13">
        <v>3908.96</v>
      </c>
      <c r="G14" s="13">
        <v>522.72</v>
      </c>
      <c r="H14" s="13">
        <v>56.319999999999993</v>
      </c>
      <c r="I14" s="13"/>
      <c r="J14" s="33"/>
      <c r="K14" s="33">
        <v>1233.76</v>
      </c>
      <c r="L14" s="306">
        <v>124.51999999999998</v>
      </c>
      <c r="M14" s="13">
        <v>67.760000000000005</v>
      </c>
      <c r="N14" s="127">
        <v>343.63999999999993</v>
      </c>
      <c r="O14" s="96">
        <v>59.84</v>
      </c>
      <c r="P14" s="164"/>
      <c r="Q14" s="24">
        <f t="shared" si="9"/>
        <v>6429.72</v>
      </c>
      <c r="R14" s="5">
        <f t="shared" si="10"/>
        <v>5898.8256880733943</v>
      </c>
      <c r="S14" s="5">
        <f t="shared" si="11"/>
        <v>530.89431192660595</v>
      </c>
      <c r="T14" s="5">
        <f t="shared" si="12"/>
        <v>14613</v>
      </c>
      <c r="U14" s="71"/>
      <c r="V14" s="61">
        <v>1.76</v>
      </c>
      <c r="W14" s="13">
        <f t="shared" si="13"/>
        <v>25718.880000000001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12"/>
      <c r="AP14" s="112"/>
    </row>
    <row r="15" spans="1:42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572.80000000000007</v>
      </c>
      <c r="F15" s="13">
        <v>17920</v>
      </c>
      <c r="G15" s="13">
        <v>3318.4</v>
      </c>
      <c r="H15" s="13">
        <v>198.4</v>
      </c>
      <c r="I15" s="13"/>
      <c r="J15" s="33"/>
      <c r="K15" s="33">
        <v>118985.60000000001</v>
      </c>
      <c r="L15" s="306">
        <v>12883.200000000012</v>
      </c>
      <c r="M15" s="13">
        <v>198.4</v>
      </c>
      <c r="N15" s="127">
        <v>4576</v>
      </c>
      <c r="O15" s="96">
        <f>6694.4-16</f>
        <v>6678.4</v>
      </c>
      <c r="P15" s="164"/>
      <c r="Q15" s="24">
        <f t="shared" si="9"/>
        <v>165331.20000000001</v>
      </c>
      <c r="R15" s="5">
        <f t="shared" si="10"/>
        <v>151680</v>
      </c>
      <c r="S15" s="5">
        <f t="shared" si="11"/>
        <v>13651.200000000012</v>
      </c>
      <c r="T15" s="5">
        <f t="shared" si="12"/>
        <v>51666</v>
      </c>
      <c r="U15" s="71"/>
      <c r="V15" s="61"/>
      <c r="W15" s="1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12"/>
      <c r="AP15" s="112"/>
    </row>
    <row r="16" spans="1:42" ht="14.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30">
        <v>158.4</v>
      </c>
      <c r="F16" s="13">
        <v>4230.4000000000005</v>
      </c>
      <c r="G16" s="13">
        <v>822.40000000000009</v>
      </c>
      <c r="H16" s="13">
        <v>113.60000000000001</v>
      </c>
      <c r="I16" s="13"/>
      <c r="J16" s="33"/>
      <c r="K16" s="33">
        <v>16028.8</v>
      </c>
      <c r="L16" s="306">
        <v>1643.2000000000007</v>
      </c>
      <c r="M16" s="13">
        <v>52.800000000000004</v>
      </c>
      <c r="N16" s="127">
        <v>328.00000000000006</v>
      </c>
      <c r="O16" s="96">
        <v>516.79999999999995</v>
      </c>
      <c r="P16" s="164"/>
      <c r="Q16" s="24">
        <f t="shared" si="9"/>
        <v>23894.399999999998</v>
      </c>
      <c r="R16" s="5">
        <f t="shared" si="10"/>
        <v>21921.467889908254</v>
      </c>
      <c r="S16" s="5">
        <f t="shared" si="11"/>
        <v>1972.9321100917441</v>
      </c>
      <c r="T16" s="5">
        <f t="shared" si="12"/>
        <v>14933.999999999998</v>
      </c>
      <c r="U16" s="71"/>
      <c r="V16" s="61">
        <v>1.6</v>
      </c>
      <c r="W16" s="13">
        <f t="shared" ref="W16:W17" si="14">+T16*V16</f>
        <v>23894.399999999998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12"/>
      <c r="AP16" s="112"/>
    </row>
    <row r="17" spans="1:42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8.32</v>
      </c>
      <c r="F17" s="13">
        <v>67.84</v>
      </c>
      <c r="G17" s="13">
        <v>0</v>
      </c>
      <c r="H17" s="14">
        <v>0</v>
      </c>
      <c r="I17" s="14"/>
      <c r="J17" s="76"/>
      <c r="K17" s="76">
        <v>267.52</v>
      </c>
      <c r="L17" s="307">
        <v>23.039999999999992</v>
      </c>
      <c r="M17" s="14">
        <v>12.8</v>
      </c>
      <c r="N17" s="127">
        <v>76.800000000000026</v>
      </c>
      <c r="O17" s="148">
        <v>1.28</v>
      </c>
      <c r="P17" s="164"/>
      <c r="Q17" s="24">
        <f t="shared" si="9"/>
        <v>457.59999999999991</v>
      </c>
      <c r="R17" s="5">
        <f t="shared" si="10"/>
        <v>419.81651376146777</v>
      </c>
      <c r="S17" s="5">
        <f t="shared" si="11"/>
        <v>37.783486238532134</v>
      </c>
      <c r="T17" s="6">
        <f t="shared" si="12"/>
        <v>714.99999999999989</v>
      </c>
      <c r="U17" s="71"/>
      <c r="V17" s="61">
        <v>2.56</v>
      </c>
      <c r="W17" s="13">
        <f t="shared" si="14"/>
        <v>1830.3999999999996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112"/>
      <c r="AP17" s="112"/>
    </row>
    <row r="18" spans="1:42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162540</v>
      </c>
      <c r="F18" s="118">
        <f t="shared" ref="F18:T18" si="15">+SUM(F19:F43)</f>
        <v>4053476</v>
      </c>
      <c r="G18" s="231">
        <f t="shared" si="15"/>
        <v>577938</v>
      </c>
      <c r="H18" s="118">
        <f t="shared" si="15"/>
        <v>88855</v>
      </c>
      <c r="I18" s="231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52213</v>
      </c>
      <c r="N18" s="231">
        <f t="shared" ref="N18" si="16">+SUM(N19:N43)</f>
        <v>18990</v>
      </c>
      <c r="O18" s="118">
        <f>+SUM(O19:O43)</f>
        <v>409268</v>
      </c>
      <c r="P18" s="118">
        <f t="shared" ref="P18" si="17">+SUM(P19:P43)</f>
        <v>0</v>
      </c>
      <c r="Q18" s="42">
        <f>+SUM(Q19:Q43)</f>
        <v>5363280</v>
      </c>
      <c r="R18" s="118">
        <f t="shared" si="15"/>
        <v>4920440.3669724772</v>
      </c>
      <c r="S18" s="118">
        <f t="shared" si="15"/>
        <v>442839.63302752317</v>
      </c>
      <c r="T18" s="253">
        <f t="shared" si="15"/>
        <v>93078</v>
      </c>
      <c r="U18" s="71"/>
      <c r="V18" s="61"/>
      <c r="W18" s="105">
        <f>+SUM(W19:W43)</f>
        <v>4068950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112"/>
      <c r="AP18" s="112"/>
    </row>
    <row r="19" spans="1:42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95900</v>
      </c>
      <c r="F19" s="92">
        <v>2434500</v>
      </c>
      <c r="G19" s="92">
        <v>338400</v>
      </c>
      <c r="H19" s="92">
        <v>48300</v>
      </c>
      <c r="I19" s="23"/>
      <c r="J19" s="34"/>
      <c r="K19" s="34"/>
      <c r="L19" s="34"/>
      <c r="M19" s="34">
        <v>30300</v>
      </c>
      <c r="N19" s="127">
        <v>11600</v>
      </c>
      <c r="O19" s="362">
        <v>203400</v>
      </c>
      <c r="P19" s="356"/>
      <c r="Q19" s="24">
        <f t="shared" ref="Q19:Q43" si="18">+SUM(E19:P19)</f>
        <v>3162400</v>
      </c>
      <c r="R19" s="99">
        <f t="shared" ref="R19:R43" si="19">+Q19/1.09</f>
        <v>2901284.4036697247</v>
      </c>
      <c r="S19" s="24">
        <f>+Q19-R19</f>
        <v>261115.59633027529</v>
      </c>
      <c r="T19" s="24">
        <f t="shared" ref="T19:T43" si="20">Q19/D19</f>
        <v>31624</v>
      </c>
      <c r="U19" s="41"/>
      <c r="V19" s="61"/>
      <c r="W19" s="106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112"/>
      <c r="AP19" s="112"/>
    </row>
    <row r="20" spans="1:42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18750</v>
      </c>
      <c r="F20" s="48">
        <v>705200</v>
      </c>
      <c r="G20" s="48">
        <v>94850</v>
      </c>
      <c r="H20" s="48">
        <v>16900</v>
      </c>
      <c r="I20" s="13"/>
      <c r="J20" s="33"/>
      <c r="K20" s="33"/>
      <c r="L20" s="33"/>
      <c r="M20" s="33">
        <v>11200</v>
      </c>
      <c r="N20" s="127">
        <v>450</v>
      </c>
      <c r="O20" s="17">
        <v>11700</v>
      </c>
      <c r="P20" s="357"/>
      <c r="Q20" s="24">
        <f t="shared" si="18"/>
        <v>859050</v>
      </c>
      <c r="R20" s="5">
        <f t="shared" si="19"/>
        <v>788119.26605504577</v>
      </c>
      <c r="S20" s="5">
        <f t="shared" ref="S20:S43" si="21">+Q20-R20</f>
        <v>70930.733944954234</v>
      </c>
      <c r="T20" s="5">
        <f t="shared" si="20"/>
        <v>17181</v>
      </c>
      <c r="U20" s="41"/>
      <c r="V20" s="61">
        <v>50</v>
      </c>
      <c r="W20" s="13">
        <f t="shared" ref="W20:W21" si="22">+T20*V20</f>
        <v>859050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12"/>
      <c r="AP20" s="112"/>
    </row>
    <row r="21" spans="1:42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27240</v>
      </c>
      <c r="F21" s="95">
        <v>535920</v>
      </c>
      <c r="G21" s="95">
        <v>83820</v>
      </c>
      <c r="H21" s="95">
        <v>8300</v>
      </c>
      <c r="I21" s="13"/>
      <c r="J21" s="33"/>
      <c r="K21" s="33"/>
      <c r="L21" s="33"/>
      <c r="M21" s="33">
        <v>5460</v>
      </c>
      <c r="N21" s="221">
        <v>4120</v>
      </c>
      <c r="O21" s="17">
        <v>67160</v>
      </c>
      <c r="P21" s="357"/>
      <c r="Q21" s="24">
        <f t="shared" si="18"/>
        <v>732020</v>
      </c>
      <c r="R21" s="5">
        <f t="shared" si="19"/>
        <v>671577.98165137612</v>
      </c>
      <c r="S21" s="5">
        <f t="shared" si="21"/>
        <v>60442.018348623882</v>
      </c>
      <c r="T21" s="402">
        <f t="shared" si="20"/>
        <v>36601</v>
      </c>
      <c r="U21" s="41"/>
      <c r="V21" s="61">
        <v>80</v>
      </c>
      <c r="W21" s="13">
        <f t="shared" si="22"/>
        <v>2928080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12"/>
      <c r="AP21" s="112"/>
    </row>
    <row r="22" spans="1:42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16200</v>
      </c>
      <c r="F22" s="95">
        <v>323820</v>
      </c>
      <c r="G22" s="95">
        <v>54180</v>
      </c>
      <c r="H22" s="95">
        <v>10620</v>
      </c>
      <c r="I22" s="13"/>
      <c r="J22" s="33"/>
      <c r="K22" s="33"/>
      <c r="L22" s="33"/>
      <c r="M22" s="33">
        <v>4320</v>
      </c>
      <c r="N22" s="401">
        <v>2160</v>
      </c>
      <c r="O22" s="400">
        <v>77400</v>
      </c>
      <c r="P22" s="357"/>
      <c r="Q22" s="24">
        <f t="shared" si="18"/>
        <v>488700</v>
      </c>
      <c r="R22" s="5">
        <f t="shared" si="19"/>
        <v>448348.623853211</v>
      </c>
      <c r="S22" s="5">
        <f t="shared" si="21"/>
        <v>40351.376146789</v>
      </c>
      <c r="T22" s="5">
        <f t="shared" si="20"/>
        <v>5430</v>
      </c>
      <c r="U22" s="41"/>
      <c r="V22" s="61"/>
      <c r="W22" s="1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112"/>
      <c r="AP22" s="112"/>
    </row>
    <row r="23" spans="1:42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540</v>
      </c>
      <c r="F23" s="95">
        <v>18540</v>
      </c>
      <c r="G23" s="95">
        <v>3330</v>
      </c>
      <c r="H23" s="95">
        <v>585</v>
      </c>
      <c r="I23" s="13"/>
      <c r="J23" s="33"/>
      <c r="K23" s="33"/>
      <c r="L23" s="33"/>
      <c r="M23" s="33">
        <v>315</v>
      </c>
      <c r="N23" s="127">
        <v>0</v>
      </c>
      <c r="O23" s="17">
        <v>2610</v>
      </c>
      <c r="P23" s="357"/>
      <c r="Q23" s="24">
        <f t="shared" si="18"/>
        <v>25920</v>
      </c>
      <c r="R23" s="5">
        <f t="shared" si="19"/>
        <v>23779.816513761467</v>
      </c>
      <c r="S23" s="5">
        <f t="shared" si="21"/>
        <v>2140.1834862385331</v>
      </c>
      <c r="T23" s="5">
        <f t="shared" si="20"/>
        <v>576</v>
      </c>
      <c r="U23" s="35"/>
      <c r="V23" s="61">
        <v>45</v>
      </c>
      <c r="W23" s="13">
        <f t="shared" ref="W23:W24" si="23">+T23*V23</f>
        <v>25920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112"/>
      <c r="AP23" s="112"/>
    </row>
    <row r="24" spans="1:42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720</v>
      </c>
      <c r="F24" s="95">
        <v>5112</v>
      </c>
      <c r="G24" s="95">
        <v>1026</v>
      </c>
      <c r="H24" s="95">
        <v>486</v>
      </c>
      <c r="I24" s="13"/>
      <c r="J24" s="33"/>
      <c r="K24" s="33"/>
      <c r="L24" s="33"/>
      <c r="M24" s="33">
        <v>234</v>
      </c>
      <c r="N24" s="127">
        <v>144</v>
      </c>
      <c r="O24" s="17">
        <v>2610</v>
      </c>
      <c r="P24" s="357"/>
      <c r="Q24" s="24">
        <f t="shared" si="18"/>
        <v>10332</v>
      </c>
      <c r="R24" s="5">
        <f t="shared" si="19"/>
        <v>9478.899082568807</v>
      </c>
      <c r="S24" s="5">
        <f t="shared" si="21"/>
        <v>853.10091743119301</v>
      </c>
      <c r="T24" s="5">
        <f t="shared" si="20"/>
        <v>574</v>
      </c>
      <c r="U24" s="35"/>
      <c r="V24" s="61">
        <v>72</v>
      </c>
      <c r="W24" s="13">
        <f t="shared" si="23"/>
        <v>41328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112"/>
      <c r="AP24" s="112"/>
    </row>
    <row r="25" spans="1:42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300</v>
      </c>
      <c r="F25" s="95">
        <v>3600</v>
      </c>
      <c r="G25" s="95">
        <v>0</v>
      </c>
      <c r="H25" s="95">
        <v>0</v>
      </c>
      <c r="I25" s="13"/>
      <c r="J25" s="33"/>
      <c r="K25" s="33"/>
      <c r="L25" s="33"/>
      <c r="M25" s="33">
        <v>0</v>
      </c>
      <c r="N25" s="127"/>
      <c r="O25" s="17">
        <v>5700</v>
      </c>
      <c r="P25" s="357"/>
      <c r="Q25" s="24">
        <f t="shared" si="18"/>
        <v>9600</v>
      </c>
      <c r="R25" s="5">
        <f t="shared" si="19"/>
        <v>8807.3394495412831</v>
      </c>
      <c r="S25" s="5">
        <f t="shared" si="21"/>
        <v>792.6605504587169</v>
      </c>
      <c r="T25" s="5">
        <f t="shared" si="20"/>
        <v>32</v>
      </c>
      <c r="U25" s="35"/>
      <c r="V25" s="61"/>
      <c r="W25" s="1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112"/>
      <c r="AP25" s="112"/>
    </row>
    <row r="26" spans="1:42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>
        <v>150</v>
      </c>
      <c r="F26" s="95">
        <v>3600</v>
      </c>
      <c r="G26" s="95">
        <v>300</v>
      </c>
      <c r="H26" s="95">
        <v>600</v>
      </c>
      <c r="I26" s="13"/>
      <c r="J26" s="33"/>
      <c r="K26" s="33"/>
      <c r="L26" s="33"/>
      <c r="M26" s="33">
        <v>0</v>
      </c>
      <c r="N26" s="127"/>
      <c r="O26" s="13">
        <v>900</v>
      </c>
      <c r="P26" s="357"/>
      <c r="Q26" s="24">
        <f t="shared" si="18"/>
        <v>5550</v>
      </c>
      <c r="R26" s="5">
        <f t="shared" si="19"/>
        <v>5091.7431192660542</v>
      </c>
      <c r="S26" s="5">
        <f t="shared" si="21"/>
        <v>458.25688073394576</v>
      </c>
      <c r="T26" s="5">
        <f t="shared" si="20"/>
        <v>37</v>
      </c>
      <c r="U26" s="35"/>
      <c r="V26" s="61">
        <v>150</v>
      </c>
      <c r="W26" s="13">
        <f t="shared" ref="W26:W42" si="24">+T26*V26</f>
        <v>5550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112"/>
      <c r="AP26" s="112"/>
    </row>
    <row r="27" spans="1:42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780</v>
      </c>
      <c r="F27" s="95">
        <v>10680</v>
      </c>
      <c r="G27" s="95">
        <v>840</v>
      </c>
      <c r="H27" s="95">
        <v>1140</v>
      </c>
      <c r="I27" s="13"/>
      <c r="J27" s="33"/>
      <c r="K27" s="33"/>
      <c r="L27" s="33"/>
      <c r="M27" s="33">
        <v>120</v>
      </c>
      <c r="N27" s="127">
        <v>300</v>
      </c>
      <c r="O27" s="13">
        <v>13020</v>
      </c>
      <c r="P27" s="357"/>
      <c r="Q27" s="24">
        <f t="shared" si="18"/>
        <v>26880</v>
      </c>
      <c r="R27" s="5">
        <f t="shared" si="19"/>
        <v>24660.550458715596</v>
      </c>
      <c r="S27" s="5">
        <f t="shared" si="21"/>
        <v>2219.4495412844044</v>
      </c>
      <c r="T27" s="5">
        <f t="shared" si="20"/>
        <v>448</v>
      </c>
      <c r="U27" s="35"/>
      <c r="V27" s="61">
        <v>240</v>
      </c>
      <c r="W27" s="13">
        <f t="shared" si="24"/>
        <v>107520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112"/>
      <c r="AP27" s="112"/>
    </row>
    <row r="28" spans="1:42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>
        <v>0</v>
      </c>
      <c r="F28" s="95">
        <v>1350</v>
      </c>
      <c r="G28" s="95"/>
      <c r="H28" s="95">
        <v>270</v>
      </c>
      <c r="I28" s="13"/>
      <c r="J28" s="33"/>
      <c r="K28" s="33"/>
      <c r="L28" s="33"/>
      <c r="M28" s="33">
        <v>0</v>
      </c>
      <c r="N28" s="127"/>
      <c r="O28" s="13">
        <v>9180</v>
      </c>
      <c r="P28" s="357"/>
      <c r="Q28" s="24">
        <f t="shared" si="18"/>
        <v>10800</v>
      </c>
      <c r="R28" s="5">
        <f t="shared" si="19"/>
        <v>9908.2568807339449</v>
      </c>
      <c r="S28" s="5">
        <f t="shared" si="21"/>
        <v>891.74311926605515</v>
      </c>
      <c r="T28" s="5">
        <f t="shared" si="20"/>
        <v>40</v>
      </c>
      <c r="U28" s="35"/>
      <c r="V28" s="61"/>
      <c r="W28" s="1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112"/>
      <c r="AP28" s="112"/>
    </row>
    <row r="29" spans="1:42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>
        <v>0</v>
      </c>
      <c r="F29" s="95">
        <v>0</v>
      </c>
      <c r="G29" s="95"/>
      <c r="H29" s="95">
        <v>270</v>
      </c>
      <c r="I29" s="13"/>
      <c r="J29" s="33"/>
      <c r="K29" s="33"/>
      <c r="L29" s="33"/>
      <c r="M29" s="33">
        <v>0</v>
      </c>
      <c r="N29" s="127"/>
      <c r="O29" s="13"/>
      <c r="P29" s="357"/>
      <c r="Q29" s="24">
        <f t="shared" si="18"/>
        <v>270</v>
      </c>
      <c r="R29" s="5">
        <f t="shared" si="19"/>
        <v>247.7064220183486</v>
      </c>
      <c r="S29" s="5">
        <f t="shared" si="21"/>
        <v>22.293577981651396</v>
      </c>
      <c r="T29" s="5">
        <f t="shared" si="20"/>
        <v>2</v>
      </c>
      <c r="U29" s="35"/>
      <c r="V29" s="61">
        <v>135</v>
      </c>
      <c r="W29" s="13">
        <f t="shared" si="24"/>
        <v>270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112"/>
      <c r="AP29" s="112"/>
    </row>
    <row r="30" spans="1:42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0</v>
      </c>
      <c r="F30" s="95">
        <v>270</v>
      </c>
      <c r="G30" s="95">
        <v>162</v>
      </c>
      <c r="H30" s="95">
        <v>54</v>
      </c>
      <c r="I30" s="13"/>
      <c r="J30" s="33"/>
      <c r="K30" s="33"/>
      <c r="L30" s="33"/>
      <c r="M30" s="33">
        <v>54</v>
      </c>
      <c r="N30" s="127">
        <v>54</v>
      </c>
      <c r="O30" s="13">
        <v>1188</v>
      </c>
      <c r="P30" s="357"/>
      <c r="Q30" s="24">
        <f t="shared" si="18"/>
        <v>1782</v>
      </c>
      <c r="R30" s="5">
        <f t="shared" si="19"/>
        <v>1634.8623853211009</v>
      </c>
      <c r="S30" s="5">
        <f t="shared" si="21"/>
        <v>147.13761467889913</v>
      </c>
      <c r="T30" s="5">
        <f t="shared" si="20"/>
        <v>33</v>
      </c>
      <c r="U30" s="35"/>
      <c r="V30" s="61">
        <v>216</v>
      </c>
      <c r="W30" s="13">
        <f t="shared" si="24"/>
        <v>7128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12"/>
      <c r="AP30" s="112"/>
    </row>
    <row r="31" spans="1:42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>
        <v>600</v>
      </c>
      <c r="F31" s="95">
        <v>0</v>
      </c>
      <c r="G31" s="95"/>
      <c r="H31" s="95">
        <v>0</v>
      </c>
      <c r="I31" s="13"/>
      <c r="J31" s="33"/>
      <c r="K31" s="33"/>
      <c r="L31" s="33"/>
      <c r="M31" s="33">
        <v>0</v>
      </c>
      <c r="N31" s="127"/>
      <c r="O31" s="13">
        <v>600</v>
      </c>
      <c r="P31" s="357"/>
      <c r="Q31" s="24">
        <f t="shared" si="18"/>
        <v>1200</v>
      </c>
      <c r="R31" s="5">
        <f t="shared" si="19"/>
        <v>1100.9174311926604</v>
      </c>
      <c r="S31" s="5">
        <f t="shared" si="21"/>
        <v>99.082568807339612</v>
      </c>
      <c r="T31" s="5">
        <f t="shared" si="20"/>
        <v>2</v>
      </c>
      <c r="U31" s="35"/>
      <c r="V31" s="61"/>
      <c r="W31" s="13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112"/>
      <c r="AP31" s="112"/>
    </row>
    <row r="32" spans="1:42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>
        <v>0</v>
      </c>
      <c r="F32" s="95">
        <v>900</v>
      </c>
      <c r="G32" s="95"/>
      <c r="H32" s="95">
        <v>300</v>
      </c>
      <c r="I32" s="13"/>
      <c r="J32" s="33"/>
      <c r="K32" s="33"/>
      <c r="L32" s="33"/>
      <c r="M32" s="33">
        <v>0</v>
      </c>
      <c r="N32" s="127"/>
      <c r="O32" s="13">
        <v>300</v>
      </c>
      <c r="P32" s="357"/>
      <c r="Q32" s="24">
        <f t="shared" si="18"/>
        <v>1500</v>
      </c>
      <c r="R32" s="5">
        <f t="shared" si="19"/>
        <v>1376.1467889908256</v>
      </c>
      <c r="S32" s="5">
        <f t="shared" si="21"/>
        <v>123.8532110091744</v>
      </c>
      <c r="T32" s="5">
        <f t="shared" si="20"/>
        <v>5</v>
      </c>
      <c r="U32" s="35"/>
      <c r="V32" s="61">
        <v>300</v>
      </c>
      <c r="W32" s="13">
        <f t="shared" si="24"/>
        <v>1500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112"/>
      <c r="AP32" s="112"/>
    </row>
    <row r="33" spans="1:42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240</v>
      </c>
      <c r="F33" s="95">
        <v>2040</v>
      </c>
      <c r="G33" s="95">
        <v>240</v>
      </c>
      <c r="H33" s="95">
        <v>120</v>
      </c>
      <c r="I33" s="13"/>
      <c r="J33" s="33"/>
      <c r="K33" s="33"/>
      <c r="L33" s="33"/>
      <c r="M33" s="33">
        <v>0</v>
      </c>
      <c r="N33" s="127"/>
      <c r="O33" s="13">
        <v>3600</v>
      </c>
      <c r="P33" s="357"/>
      <c r="Q33" s="24">
        <f t="shared" si="18"/>
        <v>6240</v>
      </c>
      <c r="R33" s="5">
        <f t="shared" si="19"/>
        <v>5724.7706422018346</v>
      </c>
      <c r="S33" s="5">
        <f t="shared" si="21"/>
        <v>515.22935779816544</v>
      </c>
      <c r="T33" s="5">
        <f t="shared" si="20"/>
        <v>52</v>
      </c>
      <c r="U33" s="35"/>
      <c r="V33" s="61">
        <v>480</v>
      </c>
      <c r="W33" s="13">
        <f t="shared" si="24"/>
        <v>24960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112"/>
      <c r="AP33" s="112"/>
    </row>
    <row r="34" spans="1:42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>
        <v>0</v>
      </c>
      <c r="F34" s="95">
        <v>0</v>
      </c>
      <c r="G34" s="95"/>
      <c r="H34" s="95">
        <v>0</v>
      </c>
      <c r="I34" s="13"/>
      <c r="J34" s="33"/>
      <c r="K34" s="33"/>
      <c r="L34" s="33"/>
      <c r="M34" s="33">
        <v>0</v>
      </c>
      <c r="N34" s="127"/>
      <c r="O34" s="13"/>
      <c r="P34" s="357"/>
      <c r="Q34" s="24">
        <f t="shared" si="18"/>
        <v>0</v>
      </c>
      <c r="R34" s="5">
        <f t="shared" si="19"/>
        <v>0</v>
      </c>
      <c r="S34" s="5">
        <f t="shared" si="21"/>
        <v>0</v>
      </c>
      <c r="T34" s="5">
        <f t="shared" si="20"/>
        <v>0</v>
      </c>
      <c r="U34" s="35"/>
      <c r="V34" s="61"/>
      <c r="W34" s="1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112"/>
      <c r="AP34" s="112"/>
    </row>
    <row r="35" spans="1:42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>
        <v>0</v>
      </c>
      <c r="F35" s="95">
        <v>0</v>
      </c>
      <c r="G35" s="95"/>
      <c r="H35" s="95">
        <v>0</v>
      </c>
      <c r="I35" s="13"/>
      <c r="J35" s="33"/>
      <c r="K35" s="33"/>
      <c r="L35" s="33"/>
      <c r="M35" s="33">
        <v>0</v>
      </c>
      <c r="N35" s="127"/>
      <c r="O35" s="13"/>
      <c r="P35" s="357"/>
      <c r="Q35" s="24">
        <f t="shared" si="18"/>
        <v>0</v>
      </c>
      <c r="R35" s="5">
        <f t="shared" si="19"/>
        <v>0</v>
      </c>
      <c r="S35" s="5">
        <f t="shared" si="21"/>
        <v>0</v>
      </c>
      <c r="T35" s="5">
        <f t="shared" si="20"/>
        <v>0</v>
      </c>
      <c r="U35" s="35"/>
      <c r="V35" s="61">
        <v>270</v>
      </c>
      <c r="W35" s="13">
        <f t="shared" si="24"/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112"/>
      <c r="AP35" s="112"/>
    </row>
    <row r="36" spans="1:42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>
        <v>0</v>
      </c>
      <c r="F36" s="95">
        <v>0</v>
      </c>
      <c r="G36" s="95"/>
      <c r="H36" s="95">
        <v>0</v>
      </c>
      <c r="I36" s="13"/>
      <c r="J36" s="33"/>
      <c r="K36" s="33"/>
      <c r="L36" s="33"/>
      <c r="M36" s="33">
        <v>0</v>
      </c>
      <c r="N36" s="127"/>
      <c r="O36" s="13">
        <v>108</v>
      </c>
      <c r="P36" s="357"/>
      <c r="Q36" s="24">
        <f t="shared" si="18"/>
        <v>108</v>
      </c>
      <c r="R36" s="5">
        <f t="shared" si="19"/>
        <v>99.082568807339442</v>
      </c>
      <c r="S36" s="5">
        <f t="shared" si="21"/>
        <v>8.9174311926605583</v>
      </c>
      <c r="T36" s="5">
        <f t="shared" si="20"/>
        <v>1</v>
      </c>
      <c r="U36" s="35"/>
      <c r="V36" s="61">
        <v>432</v>
      </c>
      <c r="W36" s="13">
        <f t="shared" si="24"/>
        <v>432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112"/>
      <c r="AP36" s="112"/>
    </row>
    <row r="37" spans="1:42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>
        <v>0</v>
      </c>
      <c r="F37" s="95">
        <v>0</v>
      </c>
      <c r="G37" s="95"/>
      <c r="H37" s="95">
        <v>0</v>
      </c>
      <c r="I37" s="13"/>
      <c r="J37" s="33"/>
      <c r="K37" s="33"/>
      <c r="L37" s="33"/>
      <c r="M37" s="33">
        <v>0</v>
      </c>
      <c r="N37" s="127"/>
      <c r="O37" s="13"/>
      <c r="P37" s="357"/>
      <c r="Q37" s="24">
        <f t="shared" si="18"/>
        <v>0</v>
      </c>
      <c r="R37" s="5">
        <f t="shared" si="19"/>
        <v>0</v>
      </c>
      <c r="S37" s="5">
        <f t="shared" si="21"/>
        <v>0</v>
      </c>
      <c r="T37" s="5">
        <f t="shared" si="20"/>
        <v>0</v>
      </c>
      <c r="U37" s="35"/>
      <c r="V37" s="61"/>
      <c r="W37" s="1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112"/>
      <c r="AP37" s="112"/>
    </row>
    <row r="38" spans="1:42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>
        <v>0</v>
      </c>
      <c r="F38" s="95">
        <v>900</v>
      </c>
      <c r="G38" s="95"/>
      <c r="H38" s="95">
        <v>0</v>
      </c>
      <c r="I38" s="13"/>
      <c r="J38" s="33"/>
      <c r="K38" s="33"/>
      <c r="L38" s="33"/>
      <c r="M38" s="33">
        <v>0</v>
      </c>
      <c r="N38" s="127"/>
      <c r="O38" s="13"/>
      <c r="P38" s="357"/>
      <c r="Q38" s="24">
        <f t="shared" si="18"/>
        <v>900</v>
      </c>
      <c r="R38" s="5">
        <f t="shared" si="19"/>
        <v>825.6880733944954</v>
      </c>
      <c r="S38" s="5">
        <f t="shared" si="21"/>
        <v>74.311926605504595</v>
      </c>
      <c r="T38" s="5">
        <f t="shared" si="20"/>
        <v>2</v>
      </c>
      <c r="U38" s="35"/>
      <c r="V38" s="61">
        <v>450</v>
      </c>
      <c r="W38" s="13">
        <f t="shared" si="24"/>
        <v>900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112"/>
      <c r="AP38" s="112"/>
    </row>
    <row r="39" spans="1:42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>
        <v>1080</v>
      </c>
      <c r="F39" s="95">
        <v>4140</v>
      </c>
      <c r="G39" s="95">
        <v>540</v>
      </c>
      <c r="H39" s="95">
        <v>360</v>
      </c>
      <c r="I39" s="13"/>
      <c r="J39" s="33"/>
      <c r="K39" s="33"/>
      <c r="L39" s="33"/>
      <c r="M39" s="33">
        <v>180</v>
      </c>
      <c r="N39" s="127"/>
      <c r="O39" s="13">
        <v>8820</v>
      </c>
      <c r="P39" s="357"/>
      <c r="Q39" s="24">
        <f t="shared" si="18"/>
        <v>15120</v>
      </c>
      <c r="R39" s="5">
        <f t="shared" si="19"/>
        <v>13871.559633027522</v>
      </c>
      <c r="S39" s="5">
        <f t="shared" si="21"/>
        <v>1248.4403669724779</v>
      </c>
      <c r="T39" s="5">
        <f t="shared" si="20"/>
        <v>84</v>
      </c>
      <c r="U39" s="35"/>
      <c r="V39" s="61">
        <v>720</v>
      </c>
      <c r="W39" s="13">
        <f t="shared" si="24"/>
        <v>60480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112"/>
      <c r="AP39" s="112"/>
    </row>
    <row r="40" spans="1:42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>
        <v>0</v>
      </c>
      <c r="F40" s="95">
        <v>0</v>
      </c>
      <c r="G40" s="95"/>
      <c r="H40" s="95">
        <v>0</v>
      </c>
      <c r="I40" s="13"/>
      <c r="J40" s="33"/>
      <c r="K40" s="33"/>
      <c r="L40" s="33"/>
      <c r="M40" s="33">
        <v>0</v>
      </c>
      <c r="N40" s="127"/>
      <c r="O40" s="13"/>
      <c r="P40" s="357"/>
      <c r="Q40" s="24">
        <f t="shared" si="18"/>
        <v>0</v>
      </c>
      <c r="R40" s="5">
        <f t="shared" si="19"/>
        <v>0</v>
      </c>
      <c r="S40" s="5">
        <f t="shared" si="21"/>
        <v>0</v>
      </c>
      <c r="T40" s="5">
        <f t="shared" si="20"/>
        <v>0</v>
      </c>
      <c r="U40" s="71"/>
      <c r="V40" s="61"/>
      <c r="W40" s="1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12"/>
      <c r="AP40" s="112"/>
    </row>
    <row r="41" spans="1:42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>
        <v>0</v>
      </c>
      <c r="F41" s="95">
        <v>0</v>
      </c>
      <c r="G41" s="95"/>
      <c r="H41" s="95">
        <v>0</v>
      </c>
      <c r="I41" s="13"/>
      <c r="J41" s="33"/>
      <c r="K41" s="33"/>
      <c r="L41" s="33"/>
      <c r="M41" s="33">
        <v>0</v>
      </c>
      <c r="N41" s="127"/>
      <c r="O41" s="13"/>
      <c r="P41" s="357"/>
      <c r="Q41" s="24">
        <f t="shared" si="18"/>
        <v>0</v>
      </c>
      <c r="R41" s="5">
        <f t="shared" si="19"/>
        <v>0</v>
      </c>
      <c r="S41" s="5">
        <f t="shared" si="21"/>
        <v>0</v>
      </c>
      <c r="T41" s="5">
        <f t="shared" si="20"/>
        <v>0</v>
      </c>
      <c r="U41" s="71"/>
      <c r="V41" s="61">
        <v>405</v>
      </c>
      <c r="W41" s="13">
        <f t="shared" si="24"/>
        <v>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112"/>
      <c r="AP41" s="112"/>
    </row>
    <row r="42" spans="1:42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>
        <v>0</v>
      </c>
      <c r="F42" s="250">
        <v>324</v>
      </c>
      <c r="G42" s="250"/>
      <c r="H42" s="250">
        <v>0</v>
      </c>
      <c r="I42" s="25"/>
      <c r="J42" s="239"/>
      <c r="K42" s="239"/>
      <c r="L42" s="239"/>
      <c r="M42" s="239">
        <v>0</v>
      </c>
      <c r="N42" s="221">
        <v>162</v>
      </c>
      <c r="O42" s="13">
        <v>972</v>
      </c>
      <c r="P42" s="358"/>
      <c r="Q42" s="24">
        <f t="shared" si="18"/>
        <v>1458</v>
      </c>
      <c r="R42" s="26">
        <f t="shared" si="19"/>
        <v>1337.6146788990825</v>
      </c>
      <c r="S42" s="26">
        <f t="shared" si="21"/>
        <v>120.38532110091751</v>
      </c>
      <c r="T42" s="26">
        <f t="shared" si="20"/>
        <v>9</v>
      </c>
      <c r="U42" s="71"/>
      <c r="V42" s="61">
        <v>648</v>
      </c>
      <c r="W42" s="13">
        <f t="shared" si="24"/>
        <v>5832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112"/>
      <c r="AP42" s="112"/>
    </row>
    <row r="43" spans="1:42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40</v>
      </c>
      <c r="F43" s="124">
        <v>2580</v>
      </c>
      <c r="G43" s="124">
        <v>250</v>
      </c>
      <c r="H43" s="124">
        <v>550</v>
      </c>
      <c r="I43" s="124"/>
      <c r="J43" s="124"/>
      <c r="K43" s="124"/>
      <c r="L43" s="124"/>
      <c r="M43" s="124">
        <v>30</v>
      </c>
      <c r="N43" s="124"/>
      <c r="O43" s="148"/>
      <c r="P43" s="352"/>
      <c r="Q43" s="24">
        <f t="shared" si="18"/>
        <v>3450</v>
      </c>
      <c r="R43" s="26">
        <f t="shared" si="19"/>
        <v>3165.1376146788989</v>
      </c>
      <c r="S43" s="26">
        <f t="shared" si="21"/>
        <v>284.8623853211011</v>
      </c>
      <c r="T43" s="26">
        <f t="shared" si="20"/>
        <v>345</v>
      </c>
      <c r="U43" s="71"/>
      <c r="V43" s="61"/>
      <c r="W43" s="1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112"/>
      <c r="AP43" s="112"/>
    </row>
    <row r="44" spans="1:42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6886.0999999999995</v>
      </c>
      <c r="F44" s="82">
        <f>+SUM(F45:F53)</f>
        <v>186335.09999999998</v>
      </c>
      <c r="G44" s="82">
        <f t="shared" ref="G44:T44" si="25">+SUM(G45:G53)</f>
        <v>28290</v>
      </c>
      <c r="H44" s="82">
        <f>+SUM(H45:H53)</f>
        <v>3914.6000000000004</v>
      </c>
      <c r="I44" s="82">
        <f t="shared" si="25"/>
        <v>0</v>
      </c>
      <c r="J44" s="82">
        <f t="shared" si="25"/>
        <v>0</v>
      </c>
      <c r="K44" s="100">
        <f t="shared" si="25"/>
        <v>0</v>
      </c>
      <c r="L44" s="100">
        <f t="shared" si="25"/>
        <v>0</v>
      </c>
      <c r="M44" s="100">
        <f t="shared" si="25"/>
        <v>2109.5</v>
      </c>
      <c r="N44" s="100">
        <f t="shared" si="25"/>
        <v>3007.7999999999997</v>
      </c>
      <c r="O44" s="100">
        <f t="shared" si="25"/>
        <v>15531.1</v>
      </c>
      <c r="P44" s="100">
        <f t="shared" si="25"/>
        <v>0</v>
      </c>
      <c r="Q44" s="42">
        <f>+SUM(Q45:Q53)</f>
        <v>246074.2</v>
      </c>
      <c r="R44" s="82">
        <f t="shared" si="25"/>
        <v>225756.14678899079</v>
      </c>
      <c r="S44" s="82">
        <f t="shared" si="25"/>
        <v>20318.053211009188</v>
      </c>
      <c r="T44" s="19">
        <f t="shared" si="25"/>
        <v>38055</v>
      </c>
      <c r="U44" s="71"/>
      <c r="V44" s="61"/>
      <c r="W44" s="105">
        <f>+SUM(W45:W68)</f>
        <v>366156.79999999999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112"/>
      <c r="AP44" s="112"/>
    </row>
    <row r="45" spans="1:42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876</v>
      </c>
      <c r="F45" s="23">
        <v>21180</v>
      </c>
      <c r="G45" s="28">
        <v>2988</v>
      </c>
      <c r="H45" s="347">
        <v>288</v>
      </c>
      <c r="I45" s="83"/>
      <c r="J45" s="75"/>
      <c r="K45" s="75"/>
      <c r="L45" s="75"/>
      <c r="M45" s="75">
        <v>240</v>
      </c>
      <c r="N45" s="127">
        <v>324</v>
      </c>
      <c r="O45" s="362">
        <v>1536</v>
      </c>
      <c r="P45" s="356"/>
      <c r="Q45" s="24">
        <f t="shared" ref="Q45:Q55" si="26">+SUM(E45:P45)</f>
        <v>27432</v>
      </c>
      <c r="R45" s="99">
        <f t="shared" ref="R45:R53" si="27">+Q45/1.09</f>
        <v>25166.972477064217</v>
      </c>
      <c r="S45" s="64">
        <f t="shared" ref="S45:S54" si="28">+Q45-R45</f>
        <v>2265.0275229357831</v>
      </c>
      <c r="T45" s="403">
        <f t="shared" ref="T45:T54" si="29">Q45/D45</f>
        <v>2286</v>
      </c>
      <c r="U45" s="71"/>
      <c r="V45" s="61"/>
      <c r="W45" s="1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112"/>
      <c r="AP45" s="112"/>
    </row>
    <row r="46" spans="1:42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240</v>
      </c>
      <c r="F46" s="13">
        <v>2124</v>
      </c>
      <c r="G46" s="17">
        <v>258</v>
      </c>
      <c r="H46" s="347">
        <v>30</v>
      </c>
      <c r="I46" s="13"/>
      <c r="J46" s="33"/>
      <c r="K46" s="33"/>
      <c r="L46" s="33"/>
      <c r="M46" s="33">
        <v>36</v>
      </c>
      <c r="N46" s="127">
        <v>54</v>
      </c>
      <c r="O46" s="17">
        <v>180</v>
      </c>
      <c r="P46" s="357"/>
      <c r="Q46" s="24">
        <f t="shared" si="26"/>
        <v>2922</v>
      </c>
      <c r="R46" s="5">
        <f t="shared" si="27"/>
        <v>2680.7339449541282</v>
      </c>
      <c r="S46" s="5">
        <f t="shared" si="28"/>
        <v>241.26605504587178</v>
      </c>
      <c r="T46" s="404">
        <f t="shared" si="29"/>
        <v>487</v>
      </c>
      <c r="U46" s="71"/>
      <c r="V46" s="61">
        <v>6</v>
      </c>
      <c r="W46" s="13">
        <f t="shared" ref="W46:W47" si="30">+T46*V46</f>
        <v>2922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112"/>
      <c r="AP46" s="112"/>
    </row>
    <row r="47" spans="1:42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1591.2</v>
      </c>
      <c r="F47" s="13">
        <v>49048.799999999996</v>
      </c>
      <c r="G47" s="17">
        <v>9134.4</v>
      </c>
      <c r="H47" s="347">
        <v>448.79999999999995</v>
      </c>
      <c r="I47" s="13"/>
      <c r="J47" s="33"/>
      <c r="K47" s="33"/>
      <c r="L47" s="33"/>
      <c r="M47" s="33">
        <v>453.59999999999997</v>
      </c>
      <c r="N47" s="127">
        <v>566.4</v>
      </c>
      <c r="O47" s="17">
        <v>2652</v>
      </c>
      <c r="P47" s="357"/>
      <c r="Q47" s="24">
        <f t="shared" si="26"/>
        <v>63895.199999999997</v>
      </c>
      <c r="R47" s="5">
        <f t="shared" si="27"/>
        <v>58619.449541284397</v>
      </c>
      <c r="S47" s="5">
        <f t="shared" si="28"/>
        <v>5275.7504587156</v>
      </c>
      <c r="T47" s="404">
        <f t="shared" si="29"/>
        <v>26623</v>
      </c>
      <c r="U47" s="71"/>
      <c r="V47" s="61">
        <v>9.6</v>
      </c>
      <c r="W47" s="13">
        <f t="shared" si="30"/>
        <v>255580.79999999999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112"/>
      <c r="AP47" s="112"/>
    </row>
    <row r="48" spans="1:42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609</v>
      </c>
      <c r="F48" s="13">
        <v>21672</v>
      </c>
      <c r="G48" s="17">
        <v>2982</v>
      </c>
      <c r="H48" s="13">
        <v>588</v>
      </c>
      <c r="I48" s="13"/>
      <c r="J48" s="33"/>
      <c r="K48" s="33"/>
      <c r="L48" s="33"/>
      <c r="M48" s="33">
        <v>147</v>
      </c>
      <c r="N48" s="127">
        <v>315</v>
      </c>
      <c r="O48" s="400">
        <v>1449</v>
      </c>
      <c r="P48" s="357"/>
      <c r="Q48" s="24">
        <f t="shared" si="26"/>
        <v>27762</v>
      </c>
      <c r="R48" s="5">
        <f t="shared" si="27"/>
        <v>25469.724770642199</v>
      </c>
      <c r="S48" s="5">
        <f t="shared" si="28"/>
        <v>2292.2752293578014</v>
      </c>
      <c r="T48" s="404">
        <f t="shared" si="29"/>
        <v>1322</v>
      </c>
      <c r="U48" s="71"/>
      <c r="V48" s="61"/>
      <c r="W48" s="1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112"/>
      <c r="AP48" s="112"/>
    </row>
    <row r="49" spans="1:42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42</v>
      </c>
      <c r="F49" s="13">
        <v>1890</v>
      </c>
      <c r="G49" s="17">
        <v>273</v>
      </c>
      <c r="H49" s="13">
        <v>63</v>
      </c>
      <c r="I49" s="13"/>
      <c r="J49" s="33"/>
      <c r="K49" s="33"/>
      <c r="L49" s="33"/>
      <c r="M49" s="33">
        <v>84</v>
      </c>
      <c r="N49" s="127">
        <v>42</v>
      </c>
      <c r="O49" s="17">
        <v>189</v>
      </c>
      <c r="P49" s="357"/>
      <c r="Q49" s="24">
        <f t="shared" si="26"/>
        <v>2583</v>
      </c>
      <c r="R49" s="5">
        <f t="shared" si="27"/>
        <v>2369.7247706422017</v>
      </c>
      <c r="S49" s="5">
        <f t="shared" si="28"/>
        <v>213.27522935779825</v>
      </c>
      <c r="T49" s="5">
        <f t="shared" si="29"/>
        <v>246</v>
      </c>
      <c r="U49" s="71"/>
      <c r="V49" s="61">
        <v>10.5</v>
      </c>
      <c r="W49" s="13">
        <f t="shared" ref="W49:W50" si="31">+T49*V49</f>
        <v>2583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112"/>
      <c r="AP49" s="112"/>
    </row>
    <row r="50" spans="1:42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252</v>
      </c>
      <c r="F50" s="13">
        <v>9941.4</v>
      </c>
      <c r="G50" s="17">
        <v>1289.4000000000001</v>
      </c>
      <c r="H50" s="13">
        <v>168.00000000000003</v>
      </c>
      <c r="I50" s="13"/>
      <c r="J50" s="33"/>
      <c r="K50" s="33"/>
      <c r="L50" s="33"/>
      <c r="M50" s="33">
        <v>37.800000000000004</v>
      </c>
      <c r="N50" s="127">
        <v>205.79999999999998</v>
      </c>
      <c r="O50" s="17">
        <v>1583.4</v>
      </c>
      <c r="P50" s="357"/>
      <c r="Q50" s="24">
        <f t="shared" si="26"/>
        <v>13477.799999999997</v>
      </c>
      <c r="R50" s="5">
        <f t="shared" si="27"/>
        <v>12364.954128440364</v>
      </c>
      <c r="S50" s="5">
        <f t="shared" si="28"/>
        <v>1112.8458715596335</v>
      </c>
      <c r="T50" s="5">
        <f t="shared" si="29"/>
        <v>3208.9999999999991</v>
      </c>
      <c r="U50" s="71"/>
      <c r="V50" s="61">
        <v>16.8</v>
      </c>
      <c r="W50" s="13">
        <f t="shared" si="31"/>
        <v>53911.19999999999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112"/>
      <c r="AP50" s="112"/>
    </row>
    <row r="51" spans="1:42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2788</v>
      </c>
      <c r="F51" s="13">
        <v>66707</v>
      </c>
      <c r="G51" s="17">
        <v>9389</v>
      </c>
      <c r="H51" s="13">
        <v>2009</v>
      </c>
      <c r="I51" s="13"/>
      <c r="J51" s="33"/>
      <c r="K51" s="33"/>
      <c r="L51" s="33"/>
      <c r="M51" s="33">
        <v>861</v>
      </c>
      <c r="N51" s="127">
        <v>1271</v>
      </c>
      <c r="O51" s="17">
        <v>6314</v>
      </c>
      <c r="P51" s="357"/>
      <c r="Q51" s="24">
        <f t="shared" si="26"/>
        <v>89339</v>
      </c>
      <c r="R51" s="5">
        <f t="shared" si="27"/>
        <v>81962.385321100912</v>
      </c>
      <c r="S51" s="5">
        <f t="shared" si="28"/>
        <v>7376.6146788990882</v>
      </c>
      <c r="T51" s="5">
        <f t="shared" si="29"/>
        <v>2179</v>
      </c>
      <c r="U51" s="71"/>
      <c r="V51" s="61"/>
      <c r="W51" s="1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112"/>
      <c r="AP51" s="112"/>
    </row>
    <row r="52" spans="1:42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225.5</v>
      </c>
      <c r="F52" s="13">
        <v>6252.5</v>
      </c>
      <c r="G52" s="17">
        <v>820</v>
      </c>
      <c r="H52" s="13">
        <v>82</v>
      </c>
      <c r="I52" s="13"/>
      <c r="J52" s="33"/>
      <c r="K52" s="33"/>
      <c r="L52" s="33"/>
      <c r="M52" s="33">
        <v>143.5</v>
      </c>
      <c r="N52" s="127">
        <v>41</v>
      </c>
      <c r="O52" s="13">
        <v>266.5</v>
      </c>
      <c r="P52" s="357"/>
      <c r="Q52" s="24">
        <f t="shared" si="26"/>
        <v>7831</v>
      </c>
      <c r="R52" s="5">
        <f t="shared" si="27"/>
        <v>7184.4036697247702</v>
      </c>
      <c r="S52" s="5">
        <f t="shared" si="28"/>
        <v>646.59633027522977</v>
      </c>
      <c r="T52" s="5">
        <f t="shared" si="29"/>
        <v>382</v>
      </c>
      <c r="U52" s="71"/>
      <c r="V52" s="61">
        <v>20.5</v>
      </c>
      <c r="W52" s="13">
        <f t="shared" ref="W52:W53" si="32">+T52*V52</f>
        <v>7831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112"/>
      <c r="AP52" s="112"/>
    </row>
    <row r="53" spans="1:42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262.39999999999998</v>
      </c>
      <c r="F53" s="14">
        <v>7519.4000000000005</v>
      </c>
      <c r="G53" s="51">
        <v>1156.2</v>
      </c>
      <c r="H53" s="14">
        <v>237.80000000000004</v>
      </c>
      <c r="I53" s="14"/>
      <c r="J53" s="76"/>
      <c r="K53" s="76"/>
      <c r="L53" s="76"/>
      <c r="M53" s="76">
        <v>106.6</v>
      </c>
      <c r="N53" s="148">
        <v>188.6</v>
      </c>
      <c r="O53" s="25">
        <v>1361.2</v>
      </c>
      <c r="P53" s="224"/>
      <c r="Q53" s="359">
        <f t="shared" si="26"/>
        <v>10832.2</v>
      </c>
      <c r="R53" s="6">
        <f t="shared" si="27"/>
        <v>9937.798165137614</v>
      </c>
      <c r="S53" s="6">
        <f t="shared" si="28"/>
        <v>894.40183486238675</v>
      </c>
      <c r="T53" s="6">
        <f t="shared" si="29"/>
        <v>1321.0000000000002</v>
      </c>
      <c r="U53" s="35"/>
      <c r="V53" s="61">
        <v>32.799999999999997</v>
      </c>
      <c r="W53" s="13">
        <f t="shared" si="32"/>
        <v>43328.800000000003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112"/>
      <c r="AP53" s="112"/>
    </row>
    <row r="54" spans="1:42" x14ac:dyDescent="0.25">
      <c r="C54" s="1" t="s">
        <v>150</v>
      </c>
      <c r="D54" s="4">
        <v>4</v>
      </c>
      <c r="E54" s="386">
        <f>1000*4</f>
        <v>4000</v>
      </c>
      <c r="F54" s="112">
        <v>43056</v>
      </c>
      <c r="G54" s="112">
        <v>5464</v>
      </c>
      <c r="H54" s="112">
        <v>2360</v>
      </c>
      <c r="I54" s="112"/>
      <c r="J54" s="112"/>
      <c r="K54" s="112"/>
      <c r="L54" s="112"/>
      <c r="O54" s="406"/>
      <c r="Q54" s="230">
        <f>+SUM(E54:P54)+P59</f>
        <v>55360</v>
      </c>
      <c r="R54" s="6">
        <f>+Q54/1.21</f>
        <v>45752.066115702481</v>
      </c>
      <c r="S54" s="6">
        <f t="shared" si="28"/>
        <v>9607.9338842975194</v>
      </c>
      <c r="T54" s="6">
        <f t="shared" si="29"/>
        <v>13840</v>
      </c>
      <c r="V54" s="405"/>
      <c r="W54" s="13"/>
    </row>
    <row r="55" spans="1:42" x14ac:dyDescent="0.25">
      <c r="C55" s="1" t="s">
        <v>143</v>
      </c>
      <c r="E55" s="2">
        <v>33658.699999999997</v>
      </c>
      <c r="F55" s="2">
        <v>739522.64</v>
      </c>
      <c r="G55" s="2">
        <v>115669.2</v>
      </c>
      <c r="H55" s="2">
        <v>12860.07</v>
      </c>
      <c r="I55" s="2"/>
      <c r="J55" s="2"/>
      <c r="K55" s="2"/>
      <c r="L55" s="2"/>
      <c r="M55" s="2">
        <v>10944.51</v>
      </c>
      <c r="N55" s="2"/>
      <c r="Q55" s="6">
        <f t="shared" si="26"/>
        <v>912655.11999999988</v>
      </c>
      <c r="R55" s="6">
        <f>+Q55</f>
        <v>912655.11999999988</v>
      </c>
      <c r="S55" s="6"/>
      <c r="T55" s="6"/>
    </row>
    <row r="57" spans="1:42" x14ac:dyDescent="0.25">
      <c r="D57" s="4" t="s">
        <v>151</v>
      </c>
      <c r="E57" s="136">
        <f>+E5+E54+E55</f>
        <v>256871.12</v>
      </c>
      <c r="F57" s="136">
        <f t="shared" ref="F57:P57" si="33">+F5+F54+F55</f>
        <v>6564666.7399999993</v>
      </c>
      <c r="G57" s="136">
        <f t="shared" si="33"/>
        <v>947894.22</v>
      </c>
      <c r="H57" s="136">
        <f t="shared" si="33"/>
        <v>138276.89000000001</v>
      </c>
      <c r="I57" s="136">
        <f t="shared" si="33"/>
        <v>579086.19999999995</v>
      </c>
      <c r="J57" s="136">
        <f t="shared" si="33"/>
        <v>1094563.3999999999</v>
      </c>
      <c r="K57" s="136">
        <f t="shared" si="33"/>
        <v>893800.78000000014</v>
      </c>
      <c r="L57" s="136">
        <f t="shared" si="33"/>
        <v>93655.060000000056</v>
      </c>
      <c r="M57" s="136">
        <f t="shared" si="33"/>
        <v>84812.469999999987</v>
      </c>
      <c r="N57" s="136">
        <f t="shared" si="33"/>
        <v>67339.14</v>
      </c>
      <c r="O57" s="136">
        <f t="shared" si="33"/>
        <v>547584.02</v>
      </c>
      <c r="P57" s="136">
        <f t="shared" si="33"/>
        <v>0</v>
      </c>
      <c r="Q57" s="103">
        <f>+SUM(E57:O57)</f>
        <v>11268550.039999999</v>
      </c>
      <c r="R57" s="150"/>
      <c r="S57" s="150"/>
    </row>
    <row r="59" spans="1:42" x14ac:dyDescent="0.25">
      <c r="E59" s="125"/>
      <c r="F59" s="112"/>
      <c r="G59" s="2"/>
      <c r="H59" s="112"/>
      <c r="O59" s="561" t="s">
        <v>609</v>
      </c>
      <c r="P59" s="560">
        <f>120*4</f>
        <v>480</v>
      </c>
      <c r="Q59" s="112"/>
    </row>
    <row r="60" spans="1:42" x14ac:dyDescent="0.25">
      <c r="E60" s="125"/>
    </row>
    <row r="61" spans="1:42" x14ac:dyDescent="0.25">
      <c r="G61" s="2"/>
      <c r="M61" s="2"/>
      <c r="N61" s="2"/>
    </row>
    <row r="62" spans="1:42" x14ac:dyDescent="0.25">
      <c r="F62" s="408"/>
    </row>
    <row r="63" spans="1:42" x14ac:dyDescent="0.25">
      <c r="F63" s="408"/>
    </row>
    <row r="64" spans="1:42" x14ac:dyDescent="0.25">
      <c r="F64" s="408"/>
    </row>
    <row r="65" spans="2:6" x14ac:dyDescent="0.25">
      <c r="F65" s="35"/>
    </row>
    <row r="73" spans="2:6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A14"/>
  <sheetViews>
    <sheetView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Z10" sqref="Z10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6" width="12.33203125" customWidth="1"/>
    <col min="27" max="27" width="12.33203125" bestFit="1" customWidth="1"/>
  </cols>
  <sheetData>
    <row r="1" spans="1:27" x14ac:dyDescent="0.3">
      <c r="A1" t="s">
        <v>392</v>
      </c>
    </row>
    <row r="2" spans="1:27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  <c r="U2" s="562" t="s">
        <v>359</v>
      </c>
      <c r="V2" s="562"/>
      <c r="W2" s="562"/>
      <c r="X2" s="562" t="s">
        <v>360</v>
      </c>
      <c r="Y2" s="562"/>
      <c r="Z2" s="562"/>
    </row>
    <row r="3" spans="1:27" ht="40.200000000000003" customHeight="1" x14ac:dyDescent="0.3">
      <c r="A3" s="344" t="s">
        <v>46</v>
      </c>
      <c r="B3" s="365" t="s">
        <v>208</v>
      </c>
      <c r="C3" s="365" t="s">
        <v>425</v>
      </c>
      <c r="D3" s="365" t="s">
        <v>450</v>
      </c>
      <c r="E3" s="365" t="s">
        <v>206</v>
      </c>
      <c r="F3" s="365" t="s">
        <v>425</v>
      </c>
      <c r="G3" s="365" t="s">
        <v>450</v>
      </c>
      <c r="H3" s="365" t="s">
        <v>206</v>
      </c>
      <c r="I3" s="365" t="s">
        <v>425</v>
      </c>
      <c r="J3" s="365" t="s">
        <v>450</v>
      </c>
      <c r="K3" s="365" t="s">
        <v>206</v>
      </c>
      <c r="L3" s="365" t="s">
        <v>425</v>
      </c>
      <c r="M3" s="365" t="s">
        <v>450</v>
      </c>
      <c r="N3" s="369" t="s">
        <v>206</v>
      </c>
      <c r="O3" s="365" t="s">
        <v>425</v>
      </c>
      <c r="P3" s="365" t="s">
        <v>450</v>
      </c>
      <c r="Q3" s="369" t="s">
        <v>206</v>
      </c>
      <c r="R3" s="365" t="s">
        <v>425</v>
      </c>
      <c r="S3" s="365" t="s">
        <v>450</v>
      </c>
      <c r="T3" s="369" t="s">
        <v>206</v>
      </c>
      <c r="U3" s="365" t="s">
        <v>425</v>
      </c>
      <c r="V3" s="365" t="s">
        <v>450</v>
      </c>
      <c r="W3" s="369" t="s">
        <v>206</v>
      </c>
      <c r="X3" s="365" t="s">
        <v>451</v>
      </c>
      <c r="Y3" s="365" t="s">
        <v>450</v>
      </c>
      <c r="Z3" s="369" t="s">
        <v>206</v>
      </c>
      <c r="AA3" s="365" t="s">
        <v>351</v>
      </c>
    </row>
    <row r="4" spans="1:27" x14ac:dyDescent="0.3">
      <c r="A4" s="263" t="s">
        <v>54</v>
      </c>
      <c r="B4" s="91">
        <v>2.2000000000000002</v>
      </c>
      <c r="C4" s="91">
        <v>757741.6</v>
      </c>
      <c r="D4" s="91">
        <v>757741.6</v>
      </c>
      <c r="E4" s="91">
        <f>+D4-C4</f>
        <v>0</v>
      </c>
      <c r="F4" s="91">
        <v>698528.6</v>
      </c>
      <c r="G4" s="91">
        <v>698530.8</v>
      </c>
      <c r="H4" s="91">
        <f>+G4-F4</f>
        <v>2.2000000000698492</v>
      </c>
      <c r="I4" s="91">
        <v>769874.6</v>
      </c>
      <c r="J4" s="91">
        <v>769874.6</v>
      </c>
      <c r="K4" s="91">
        <f>+J4-I4</f>
        <v>0</v>
      </c>
      <c r="L4" s="91">
        <v>777779.19999999995</v>
      </c>
      <c r="M4" s="91">
        <v>777779.19999999995</v>
      </c>
      <c r="N4" s="265">
        <f>+M4-L4</f>
        <v>0</v>
      </c>
      <c r="O4" s="91">
        <v>774846.6</v>
      </c>
      <c r="P4" s="91">
        <v>774846.6</v>
      </c>
      <c r="Q4" s="265">
        <f>+P4-O4</f>
        <v>0</v>
      </c>
      <c r="R4" s="91">
        <v>721809</v>
      </c>
      <c r="S4" s="91">
        <v>721809</v>
      </c>
      <c r="T4" s="265">
        <f>+S4-R4</f>
        <v>0</v>
      </c>
      <c r="U4" s="91">
        <v>736304.8</v>
      </c>
      <c r="V4" s="91">
        <v>736419.2</v>
      </c>
      <c r="W4" s="265">
        <f>+V4-U4</f>
        <v>114.39999999990687</v>
      </c>
      <c r="X4" s="91">
        <v>685066.8</v>
      </c>
      <c r="Y4" s="91">
        <v>685425.4</v>
      </c>
      <c r="Z4" s="265">
        <f>+Y4-X4</f>
        <v>358.59999999997672</v>
      </c>
      <c r="AA4" s="262">
        <f>+E4+H4+K4+N4+Q4+T4+W4+Z4</f>
        <v>475.19999999995343</v>
      </c>
    </row>
    <row r="5" spans="1:27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82964.2</v>
      </c>
      <c r="K5" s="91">
        <f t="shared" ref="K5:K9" si="2">+J5-I5</f>
        <v>0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79332</v>
      </c>
      <c r="P5" s="91">
        <v>79332</v>
      </c>
      <c r="Q5" s="257">
        <f t="shared" ref="Q5:Q9" si="4">+P5-O5</f>
        <v>0</v>
      </c>
      <c r="R5" s="91">
        <v>78398.100000000006</v>
      </c>
      <c r="S5" s="91">
        <v>78398.100000000006</v>
      </c>
      <c r="T5" s="257">
        <f t="shared" ref="T5:T9" si="5">+S5-R5</f>
        <v>0</v>
      </c>
      <c r="U5" s="91">
        <v>75395.100000000006</v>
      </c>
      <c r="V5" s="91">
        <v>75402.8</v>
      </c>
      <c r="W5" s="257">
        <f t="shared" ref="W5:W9" si="6">+V5-U5</f>
        <v>7.6999999999970896</v>
      </c>
      <c r="X5" s="91">
        <v>72218.3</v>
      </c>
      <c r="Y5" s="91">
        <v>72254.600000000006</v>
      </c>
      <c r="Z5" s="257">
        <f t="shared" ref="Z5:Z9" si="7">+Y5-X5</f>
        <v>36.30000000000291</v>
      </c>
      <c r="AA5" s="262">
        <f t="shared" ref="AA5:AA9" si="8">+E5+H5+K5+N5+Q5+T5+W5+Z5</f>
        <v>44</v>
      </c>
    </row>
    <row r="6" spans="1:27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1437.48</v>
      </c>
      <c r="Q6" s="257">
        <f t="shared" si="4"/>
        <v>0</v>
      </c>
      <c r="R6" s="91">
        <v>1250.04</v>
      </c>
      <c r="S6" s="91">
        <v>1250.04</v>
      </c>
      <c r="T6" s="257">
        <f t="shared" si="5"/>
        <v>0</v>
      </c>
      <c r="U6" s="91">
        <v>1297.1199999999999</v>
      </c>
      <c r="V6" s="91">
        <v>1297.1199999999999</v>
      </c>
      <c r="W6" s="257">
        <f t="shared" si="6"/>
        <v>0</v>
      </c>
      <c r="X6" s="91">
        <v>1233.76</v>
      </c>
      <c r="Y6" s="91">
        <v>1233.76</v>
      </c>
      <c r="Z6" s="257">
        <f t="shared" si="7"/>
        <v>0</v>
      </c>
      <c r="AA6" s="262">
        <f t="shared" si="8"/>
        <v>0</v>
      </c>
    </row>
    <row r="7" spans="1:27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107465.60000000001</v>
      </c>
      <c r="G7" s="62">
        <v>107465.60000000001</v>
      </c>
      <c r="H7" s="91">
        <f t="shared" si="1"/>
        <v>0</v>
      </c>
      <c r="I7" s="62">
        <v>116988.8</v>
      </c>
      <c r="J7" s="62">
        <v>116988.8</v>
      </c>
      <c r="K7" s="91">
        <f t="shared" si="2"/>
        <v>0</v>
      </c>
      <c r="L7" s="91">
        <v>124934.39999999999</v>
      </c>
      <c r="M7" s="91">
        <v>124934.39999999999</v>
      </c>
      <c r="N7" s="257">
        <f t="shared" si="3"/>
        <v>0</v>
      </c>
      <c r="O7" s="91">
        <v>126780.8</v>
      </c>
      <c r="P7" s="91">
        <v>126780.8</v>
      </c>
      <c r="Q7" s="257">
        <f t="shared" si="4"/>
        <v>0</v>
      </c>
      <c r="R7" s="91">
        <v>123222.39999999999</v>
      </c>
      <c r="S7" s="91">
        <v>123222.39999999999</v>
      </c>
      <c r="T7" s="257">
        <f t="shared" si="5"/>
        <v>0</v>
      </c>
      <c r="U7" s="91">
        <v>128297.60000000001</v>
      </c>
      <c r="V7" s="91">
        <v>128307.2</v>
      </c>
      <c r="W7" s="257">
        <f t="shared" si="6"/>
        <v>9.5999999999912689</v>
      </c>
      <c r="X7" s="91">
        <v>118985.60000000001</v>
      </c>
      <c r="Y7" s="91">
        <v>119040</v>
      </c>
      <c r="Z7" s="257">
        <f t="shared" si="7"/>
        <v>54.399999999994179</v>
      </c>
      <c r="AA7" s="262">
        <f t="shared" si="8"/>
        <v>63.999999999985448</v>
      </c>
    </row>
    <row r="8" spans="1:27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16817.599999999999</v>
      </c>
      <c r="P8" s="91">
        <v>16817.599999999999</v>
      </c>
      <c r="Q8" s="257">
        <f t="shared" si="4"/>
        <v>0</v>
      </c>
      <c r="R8" s="91">
        <v>16654.400000000001</v>
      </c>
      <c r="S8" s="91">
        <v>16654.400000000001</v>
      </c>
      <c r="T8" s="257">
        <f t="shared" si="5"/>
        <v>0</v>
      </c>
      <c r="U8" s="91">
        <v>17550.400000000001</v>
      </c>
      <c r="V8" s="91">
        <v>17555.2</v>
      </c>
      <c r="W8" s="257">
        <f t="shared" si="6"/>
        <v>4.7999999999992724</v>
      </c>
      <c r="X8" s="91">
        <v>16028.8</v>
      </c>
      <c r="Y8" s="91">
        <v>16043.2</v>
      </c>
      <c r="Z8" s="257">
        <f t="shared" si="7"/>
        <v>14.400000000001455</v>
      </c>
      <c r="AA8" s="262">
        <f t="shared" si="8"/>
        <v>19.200000000000728</v>
      </c>
    </row>
    <row r="9" spans="1:27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290.56</v>
      </c>
      <c r="S9" s="91">
        <v>290.56</v>
      </c>
      <c r="T9" s="259">
        <f t="shared" si="5"/>
        <v>0</v>
      </c>
      <c r="U9" s="91">
        <v>275.83999999999997</v>
      </c>
      <c r="V9" s="91">
        <v>276.48</v>
      </c>
      <c r="W9" s="259">
        <f t="shared" si="6"/>
        <v>0.6400000000000432</v>
      </c>
      <c r="X9" s="91">
        <v>267.52</v>
      </c>
      <c r="Y9" s="91">
        <v>267.52</v>
      </c>
      <c r="Z9" s="259">
        <f t="shared" si="7"/>
        <v>0</v>
      </c>
      <c r="AA9" s="262">
        <f t="shared" si="8"/>
        <v>0.6400000000000432</v>
      </c>
    </row>
    <row r="10" spans="1:27" x14ac:dyDescent="0.3">
      <c r="A10" s="260" t="s">
        <v>151</v>
      </c>
      <c r="B10" s="261"/>
      <c r="C10" s="364">
        <f t="shared" ref="C10" si="9">+SUM(C4:C9)</f>
        <v>964344.19999999984</v>
      </c>
      <c r="D10" s="364">
        <f t="shared" ref="D10:AA10" si="10">+SUM(D4:D9)</f>
        <v>964344.19999999984</v>
      </c>
      <c r="E10" s="364">
        <f t="shared" si="10"/>
        <v>0</v>
      </c>
      <c r="F10" s="364">
        <f t="shared" ref="F10" si="11">+SUM(F4:F9)</f>
        <v>891887.22000000009</v>
      </c>
      <c r="G10" s="364">
        <f t="shared" si="10"/>
        <v>891889.42000000016</v>
      </c>
      <c r="H10" s="364">
        <f t="shared" si="10"/>
        <v>2.2000000000698492</v>
      </c>
      <c r="I10" s="364">
        <f t="shared" ref="I10" si="12">+SUM(I4:I9)</f>
        <v>985948.75999999989</v>
      </c>
      <c r="J10" s="364">
        <f t="shared" si="10"/>
        <v>985948.75999999989</v>
      </c>
      <c r="K10" s="364">
        <f t="shared" si="10"/>
        <v>0</v>
      </c>
      <c r="L10" s="364">
        <f t="shared" ref="L10" si="13">+SUM(L4:L9)</f>
        <v>1003188.96</v>
      </c>
      <c r="M10" s="364">
        <f t="shared" si="10"/>
        <v>1003188.96</v>
      </c>
      <c r="N10" s="364">
        <f t="shared" si="10"/>
        <v>0</v>
      </c>
      <c r="O10" s="364">
        <f t="shared" ref="O10" si="14">+SUM(O4:O9)</f>
        <v>999544.72</v>
      </c>
      <c r="P10" s="364">
        <f t="shared" ref="P10:W10" si="15">+SUM(P4:P9)</f>
        <v>999544.72</v>
      </c>
      <c r="Q10" s="364">
        <f t="shared" si="15"/>
        <v>0</v>
      </c>
      <c r="R10" s="364">
        <f t="shared" si="15"/>
        <v>941624.50000000012</v>
      </c>
      <c r="S10" s="364">
        <f t="shared" si="15"/>
        <v>941624.50000000012</v>
      </c>
      <c r="T10" s="364">
        <f t="shared" si="15"/>
        <v>0</v>
      </c>
      <c r="U10" s="364">
        <f t="shared" si="15"/>
        <v>959120.86</v>
      </c>
      <c r="V10" s="364">
        <f t="shared" si="15"/>
        <v>959257.99999999988</v>
      </c>
      <c r="W10" s="364">
        <f t="shared" si="15"/>
        <v>137.13999999989454</v>
      </c>
      <c r="X10" s="364">
        <f t="shared" ref="X10:Z10" si="16">+SUM(X4:X9)</f>
        <v>893800.78000000014</v>
      </c>
      <c r="Y10" s="364">
        <f t="shared" si="16"/>
        <v>894264.48</v>
      </c>
      <c r="Z10" s="364">
        <f t="shared" si="16"/>
        <v>463.69999999997526</v>
      </c>
      <c r="AA10" s="364">
        <f t="shared" si="10"/>
        <v>603.03999999993971</v>
      </c>
    </row>
    <row r="11" spans="1:27" x14ac:dyDescent="0.3">
      <c r="C11" s="102"/>
      <c r="F11" s="102"/>
      <c r="I11" s="102"/>
    </row>
    <row r="12" spans="1:27" x14ac:dyDescent="0.3">
      <c r="AA12" s="366"/>
    </row>
    <row r="14" spans="1:27" x14ac:dyDescent="0.3">
      <c r="Q14" s="102"/>
      <c r="T14" s="102"/>
      <c r="U14" s="102"/>
      <c r="V14" s="102"/>
      <c r="W14" s="102"/>
      <c r="X14" s="102"/>
      <c r="Y14" s="102"/>
      <c r="Z14" s="102"/>
    </row>
  </sheetData>
  <mergeCells count="8">
    <mergeCell ref="U2:W2"/>
    <mergeCell ref="X2:Z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pageSetUpPr fitToPage="1"/>
  </sheetPr>
  <dimension ref="A1:Z74"/>
  <sheetViews>
    <sheetView zoomScaleNormal="100" workbookViewId="0">
      <pane xSplit="4" ySplit="5" topLeftCell="S6" activePane="bottomRight" state="frozen"/>
      <selection pane="topRight" activeCell="E1" sqref="E1"/>
      <selection pane="bottomLeft" activeCell="A6" sqref="A6"/>
      <selection pane="bottomRight" activeCell="Q6" sqref="Q6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3" style="1" customWidth="1"/>
    <col min="16" max="16" width="13" style="1" customWidth="1" outlineLevel="1"/>
    <col min="17" max="17" width="12.33203125" style="1" bestFit="1" customWidth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1093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6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6" s="141" customFormat="1" ht="19.2" customHeight="1" x14ac:dyDescent="0.3">
      <c r="A2" s="40" t="s">
        <v>452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"/>
      <c r="R2" s="1"/>
      <c r="S2" s="1"/>
      <c r="T2" s="1"/>
      <c r="U2" s="1"/>
      <c r="V2" s="1"/>
      <c r="W2" s="2"/>
      <c r="X2" s="1"/>
      <c r="Z2" s="1"/>
    </row>
    <row r="3" spans="1:26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3"/>
      <c r="S3" s="1"/>
      <c r="T3" s="3"/>
      <c r="U3" s="1"/>
      <c r="V3" s="1"/>
      <c r="W3" s="2"/>
      <c r="X3" s="1"/>
      <c r="Z3" s="1"/>
    </row>
    <row r="4" spans="1:26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74" t="s">
        <v>387</v>
      </c>
      <c r="O4" s="586" t="s">
        <v>178</v>
      </c>
      <c r="P4" s="598"/>
      <c r="Q4" s="590" t="s">
        <v>43</v>
      </c>
      <c r="R4" s="590" t="s">
        <v>44</v>
      </c>
      <c r="S4" s="590" t="s">
        <v>41</v>
      </c>
      <c r="T4" s="590" t="s">
        <v>149</v>
      </c>
      <c r="U4" s="1"/>
      <c r="V4" s="61"/>
      <c r="W4" s="584" t="s">
        <v>449</v>
      </c>
      <c r="X4" s="1"/>
      <c r="Z4" s="1"/>
    </row>
    <row r="5" spans="1:26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453</v>
      </c>
      <c r="M5" s="575"/>
      <c r="N5" s="575"/>
      <c r="O5" s="413" t="s">
        <v>203</v>
      </c>
      <c r="P5" s="414" t="s">
        <v>480</v>
      </c>
      <c r="Q5" s="591"/>
      <c r="R5" s="592"/>
      <c r="S5" s="592"/>
      <c r="T5" s="592"/>
      <c r="U5" s="1"/>
      <c r="V5" s="87"/>
      <c r="W5" s="585"/>
      <c r="X5" s="1"/>
      <c r="Z5" s="1"/>
    </row>
    <row r="6" spans="1:26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T6" si="0">+E7+E19+E45</f>
        <v>186415.25095890413</v>
      </c>
      <c r="F6" s="82">
        <f t="shared" si="0"/>
        <v>4494937.5268036509</v>
      </c>
      <c r="G6" s="82">
        <f t="shared" si="0"/>
        <v>697308.06744292215</v>
      </c>
      <c r="H6" s="82">
        <f t="shared" si="0"/>
        <v>109350.67000000001</v>
      </c>
      <c r="I6" s="82">
        <f t="shared" si="0"/>
        <v>661839.5</v>
      </c>
      <c r="J6" s="187">
        <f t="shared" si="0"/>
        <v>1089790.8</v>
      </c>
      <c r="K6" s="187">
        <f t="shared" si="0"/>
        <v>1010559.6799999998</v>
      </c>
      <c r="L6" s="187">
        <f t="shared" si="0"/>
        <v>603.03999999993971</v>
      </c>
      <c r="M6" s="187">
        <f t="shared" si="0"/>
        <v>61801.616666666654</v>
      </c>
      <c r="N6" s="192">
        <f>+N7+N19+N45</f>
        <v>102604.56639269408</v>
      </c>
      <c r="O6" s="19">
        <f t="shared" si="0"/>
        <v>394566.58198784781</v>
      </c>
      <c r="P6" s="19">
        <f t="shared" si="0"/>
        <v>11769</v>
      </c>
      <c r="Q6" s="42">
        <f t="shared" ref="Q6:Q11" si="1">+SUM(E6:P6)</f>
        <v>8821546.3002526853</v>
      </c>
      <c r="R6" s="42">
        <f t="shared" si="0"/>
        <v>8093161.743351086</v>
      </c>
      <c r="S6" s="42">
        <f t="shared" si="0"/>
        <v>728384.55690159847</v>
      </c>
      <c r="T6" s="42">
        <f t="shared" si="0"/>
        <v>2513926.4079693002</v>
      </c>
      <c r="U6" s="71"/>
      <c r="V6" s="87"/>
      <c r="W6" s="135">
        <f>+W8+W19+W45</f>
        <v>5037871.8167006923</v>
      </c>
      <c r="X6" s="1"/>
      <c r="Z6" s="1"/>
    </row>
    <row r="7" spans="1:26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T7" si="2">+E8+E12</f>
        <v>65490.100000000006</v>
      </c>
      <c r="F7" s="82">
        <f t="shared" si="2"/>
        <v>1746991.22</v>
      </c>
      <c r="G7" s="82">
        <f t="shared" si="2"/>
        <v>262275.82</v>
      </c>
      <c r="H7" s="82">
        <f t="shared" si="2"/>
        <v>33457.58</v>
      </c>
      <c r="I7" s="82">
        <f t="shared" si="2"/>
        <v>661839.5</v>
      </c>
      <c r="J7" s="187">
        <f t="shared" si="2"/>
        <v>1089790.8</v>
      </c>
      <c r="K7" s="187">
        <f t="shared" si="2"/>
        <v>1010559.6799999998</v>
      </c>
      <c r="L7" s="187">
        <f t="shared" si="2"/>
        <v>603.03999999993971</v>
      </c>
      <c r="M7" s="187">
        <f t="shared" si="2"/>
        <v>25776.719999999998</v>
      </c>
      <c r="N7" s="192">
        <f>+N8+N12</f>
        <v>79670.040000000008</v>
      </c>
      <c r="O7" s="19">
        <f t="shared" si="2"/>
        <v>152224.66000000003</v>
      </c>
      <c r="P7" s="19">
        <f t="shared" si="2"/>
        <v>49</v>
      </c>
      <c r="Q7" s="42">
        <f t="shared" si="1"/>
        <v>5128728.16</v>
      </c>
      <c r="R7" s="42">
        <f t="shared" si="2"/>
        <v>4705255.1926605506</v>
      </c>
      <c r="S7" s="42">
        <f t="shared" si="2"/>
        <v>423472.96733944979</v>
      </c>
      <c r="T7" s="44">
        <f t="shared" si="2"/>
        <v>2411698</v>
      </c>
      <c r="U7" s="1"/>
      <c r="V7" s="61"/>
      <c r="W7" s="13"/>
      <c r="X7" s="1"/>
      <c r="Z7" s="1"/>
    </row>
    <row r="8" spans="1:26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661839.5</v>
      </c>
      <c r="J8" s="126">
        <f t="shared" si="3"/>
        <v>1089790.8</v>
      </c>
      <c r="K8" s="79">
        <f t="shared" si="3"/>
        <v>0</v>
      </c>
      <c r="L8" s="79">
        <f t="shared" si="3"/>
        <v>0</v>
      </c>
      <c r="M8" s="79">
        <f t="shared" ref="M8:T8" si="4">+SUM(M9:M11)</f>
        <v>0</v>
      </c>
      <c r="N8" s="79">
        <f t="shared" si="4"/>
        <v>0</v>
      </c>
      <c r="O8" s="354">
        <f t="shared" si="4"/>
        <v>0</v>
      </c>
      <c r="P8" s="354">
        <f t="shared" si="4"/>
        <v>0</v>
      </c>
      <c r="Q8" s="43">
        <f t="shared" si="1"/>
        <v>1751630.3</v>
      </c>
      <c r="R8" s="43">
        <f t="shared" si="4"/>
        <v>1607000.2752293576</v>
      </c>
      <c r="S8" s="43">
        <f t="shared" si="4"/>
        <v>144630.02477064237</v>
      </c>
      <c r="T8" s="45">
        <f t="shared" si="4"/>
        <v>625493</v>
      </c>
      <c r="U8" s="71"/>
      <c r="V8" s="134"/>
      <c r="W8" s="105">
        <f>+SUM(W9:W18)</f>
        <v>1061970.3400000001</v>
      </c>
      <c r="Y8" s="138"/>
    </row>
    <row r="9" spans="1:26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499436</v>
      </c>
      <c r="J9" s="127">
        <f>799480.5+27989.5</f>
        <v>827470</v>
      </c>
      <c r="K9" s="36"/>
      <c r="L9" s="36"/>
      <c r="M9" s="36"/>
      <c r="N9" s="127"/>
      <c r="O9" s="36"/>
      <c r="P9" s="355"/>
      <c r="Q9" s="24">
        <f t="shared" si="1"/>
        <v>1326906</v>
      </c>
      <c r="R9" s="5">
        <f t="shared" ref="R9:R11" si="5">+Q9/1.09</f>
        <v>1217344.9541284402</v>
      </c>
      <c r="S9" s="5">
        <f t="shared" ref="S9:S11" si="6">+Q9-R9</f>
        <v>109561.04587155976</v>
      </c>
      <c r="T9" s="21">
        <f>Q9/D9</f>
        <v>379116</v>
      </c>
      <c r="U9" s="71"/>
      <c r="V9" s="61"/>
      <c r="W9" s="13"/>
      <c r="X9" s="2"/>
      <c r="Z9" s="1"/>
    </row>
    <row r="10" spans="1:26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159757.5</v>
      </c>
      <c r="J10" s="127">
        <f>249758.25+10918.25</f>
        <v>260676.5</v>
      </c>
      <c r="K10" s="143"/>
      <c r="L10" s="143"/>
      <c r="M10" s="143"/>
      <c r="N10" s="127"/>
      <c r="O10" s="143"/>
      <c r="P10" s="350"/>
      <c r="Q10" s="24">
        <f t="shared" si="1"/>
        <v>420434</v>
      </c>
      <c r="R10" s="5">
        <f t="shared" si="5"/>
        <v>385719.26605504582</v>
      </c>
      <c r="S10" s="5">
        <f t="shared" si="6"/>
        <v>34714.733944954176</v>
      </c>
      <c r="T10" s="21">
        <f>Q10/D10</f>
        <v>240248</v>
      </c>
      <c r="U10" s="71"/>
      <c r="V10" s="61">
        <v>1.75</v>
      </c>
      <c r="W10" s="13">
        <f>+T10*V10</f>
        <v>420434</v>
      </c>
      <c r="X10" s="1"/>
      <c r="Z10" s="1"/>
    </row>
    <row r="11" spans="1:26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2646</v>
      </c>
      <c r="J11" s="144">
        <f>1575+69.3</f>
        <v>1644.3</v>
      </c>
      <c r="K11" s="144"/>
      <c r="L11" s="144"/>
      <c r="M11" s="144"/>
      <c r="N11" s="144"/>
      <c r="O11" s="144"/>
      <c r="P11" s="350"/>
      <c r="Q11" s="24">
        <f t="shared" si="1"/>
        <v>4290.3</v>
      </c>
      <c r="R11" s="243">
        <f t="shared" si="5"/>
        <v>3936.0550458715593</v>
      </c>
      <c r="S11" s="243">
        <f t="shared" si="6"/>
        <v>354.2449541284409</v>
      </c>
      <c r="T11" s="244">
        <f>Q11/D11</f>
        <v>6129.0000000000009</v>
      </c>
      <c r="U11" s="71"/>
      <c r="V11" s="107">
        <v>2.8</v>
      </c>
      <c r="W11" s="13">
        <f>+T11*V11</f>
        <v>17161.2</v>
      </c>
      <c r="X11" s="2"/>
      <c r="Y11" s="138"/>
      <c r="Z11" s="2"/>
    </row>
    <row r="12" spans="1:26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29">
        <f t="shared" ref="E12:T12" si="8">+SUM(E13:E18)</f>
        <v>65490.100000000006</v>
      </c>
      <c r="F12" s="84">
        <f t="shared" si="8"/>
        <v>1746991.22</v>
      </c>
      <c r="G12" s="84">
        <f t="shared" si="8"/>
        <v>262275.82</v>
      </c>
      <c r="H12" s="84">
        <f t="shared" si="8"/>
        <v>33457.58</v>
      </c>
      <c r="I12" s="84">
        <f t="shared" si="8"/>
        <v>0</v>
      </c>
      <c r="J12" s="74">
        <f t="shared" si="8"/>
        <v>0</v>
      </c>
      <c r="K12" s="101">
        <f t="shared" si="8"/>
        <v>1010559.6799999998</v>
      </c>
      <c r="L12" s="101">
        <f t="shared" si="8"/>
        <v>603.03999999993971</v>
      </c>
      <c r="M12" s="101">
        <f t="shared" si="8"/>
        <v>25776.719999999998</v>
      </c>
      <c r="N12" s="101">
        <f t="shared" ref="N12" si="9">+SUM(N13:N18)</f>
        <v>79670.040000000008</v>
      </c>
      <c r="O12" s="101">
        <f t="shared" si="8"/>
        <v>152224.66000000003</v>
      </c>
      <c r="P12" s="101">
        <f t="shared" si="8"/>
        <v>49</v>
      </c>
      <c r="Q12" s="43">
        <f t="shared" ref="Q12" si="10">+SUM(Q13:Q18)</f>
        <v>3377097.8600000003</v>
      </c>
      <c r="R12" s="43">
        <f t="shared" si="8"/>
        <v>3098254.9174311929</v>
      </c>
      <c r="S12" s="43">
        <f t="shared" si="8"/>
        <v>278842.94256880746</v>
      </c>
      <c r="T12" s="45">
        <f t="shared" si="8"/>
        <v>1786205.0000000002</v>
      </c>
      <c r="U12" s="71"/>
      <c r="V12" s="61"/>
      <c r="W12" s="13"/>
      <c r="X12" s="1"/>
      <c r="Z12" s="1"/>
    </row>
    <row r="13" spans="1:26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53402.8</v>
      </c>
      <c r="F13" s="13">
        <v>1333989.8</v>
      </c>
      <c r="G13" s="13">
        <v>194222.6</v>
      </c>
      <c r="H13" s="13">
        <v>24571.8</v>
      </c>
      <c r="I13" s="13"/>
      <c r="J13" s="33"/>
      <c r="K13" s="33">
        <v>775361.4</v>
      </c>
      <c r="L13" s="305">
        <v>475.19999999995343</v>
      </c>
      <c r="M13" s="33">
        <v>17426.2</v>
      </c>
      <c r="N13" s="127">
        <v>69126.2</v>
      </c>
      <c r="O13" s="127">
        <f>132574.2+24.2</f>
        <v>132598.40000000002</v>
      </c>
      <c r="P13" s="164">
        <v>33</v>
      </c>
      <c r="Q13" s="24">
        <f t="shared" ref="Q13:Q18" si="11">+SUM(E13:P13)</f>
        <v>2601207.4000000008</v>
      </c>
      <c r="R13" s="5">
        <f t="shared" ref="R13:R18" si="12">+Q13/1.09</f>
        <v>2386428.8073394503</v>
      </c>
      <c r="S13" s="5">
        <f t="shared" ref="S13:S18" si="13">+Q13-R13</f>
        <v>214778.59266055049</v>
      </c>
      <c r="T13" s="21">
        <f t="shared" ref="T13:T18" si="14">Q13/D13</f>
        <v>1182367.0000000002</v>
      </c>
      <c r="U13" s="2"/>
      <c r="V13" s="61"/>
      <c r="W13" s="13"/>
    </row>
    <row r="14" spans="1:26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10796.5</v>
      </c>
      <c r="F14" s="13">
        <v>382160.9</v>
      </c>
      <c r="G14" s="13">
        <v>61986.1</v>
      </c>
      <c r="H14" s="13">
        <v>8451.2999999999993</v>
      </c>
      <c r="I14" s="13"/>
      <c r="J14" s="33"/>
      <c r="K14" s="33">
        <v>81615.600000000006</v>
      </c>
      <c r="L14" s="306">
        <v>44</v>
      </c>
      <c r="M14" s="33">
        <v>7862.8</v>
      </c>
      <c r="N14" s="127">
        <v>2217.6000000000004</v>
      </c>
      <c r="O14" s="127">
        <v>10242.1</v>
      </c>
      <c r="P14" s="164"/>
      <c r="Q14" s="24">
        <f t="shared" si="11"/>
        <v>565376.9</v>
      </c>
      <c r="R14" s="5">
        <f t="shared" si="12"/>
        <v>518694.40366972476</v>
      </c>
      <c r="S14" s="5">
        <f t="shared" si="13"/>
        <v>46682.496330275259</v>
      </c>
      <c r="T14" s="21">
        <f t="shared" si="14"/>
        <v>513979</v>
      </c>
      <c r="U14" s="71"/>
      <c r="V14" s="107">
        <v>1.1000000000000001</v>
      </c>
      <c r="W14" s="13">
        <f t="shared" ref="W14:W15" si="15">+T14*V14</f>
        <v>565376.9</v>
      </c>
    </row>
    <row r="15" spans="1:26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183.92</v>
      </c>
      <c r="F15" s="13">
        <v>4684.68</v>
      </c>
      <c r="G15" s="13">
        <v>736.56</v>
      </c>
      <c r="H15" s="13">
        <v>106.48</v>
      </c>
      <c r="I15" s="13"/>
      <c r="J15" s="33"/>
      <c r="K15" s="33">
        <v>1434.84</v>
      </c>
      <c r="L15" s="306">
        <v>0</v>
      </c>
      <c r="M15" s="33">
        <v>142.12</v>
      </c>
      <c r="N15" s="127">
        <v>487.52000000000004</v>
      </c>
      <c r="O15" s="127">
        <v>160.16</v>
      </c>
      <c r="P15" s="164"/>
      <c r="Q15" s="24">
        <f t="shared" si="11"/>
        <v>7936.28</v>
      </c>
      <c r="R15" s="5">
        <f t="shared" si="12"/>
        <v>7280.9908256880726</v>
      </c>
      <c r="S15" s="5">
        <f t="shared" si="13"/>
        <v>655.28917431192713</v>
      </c>
      <c r="T15" s="21">
        <f t="shared" si="14"/>
        <v>18037</v>
      </c>
      <c r="U15" s="71"/>
      <c r="V15" s="61">
        <v>1.76</v>
      </c>
      <c r="W15" s="13">
        <f t="shared" si="15"/>
        <v>31745.119999999999</v>
      </c>
    </row>
    <row r="16" spans="1:26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825.6</v>
      </c>
      <c r="F16" s="13">
        <v>21312</v>
      </c>
      <c r="G16" s="13">
        <v>4352</v>
      </c>
      <c r="H16" s="13">
        <v>192</v>
      </c>
      <c r="I16" s="13"/>
      <c r="J16" s="33"/>
      <c r="K16" s="33">
        <v>134044.79999999999</v>
      </c>
      <c r="L16" s="306">
        <v>63.999999999985448</v>
      </c>
      <c r="M16" s="33">
        <v>176</v>
      </c>
      <c r="N16" s="127">
        <v>7424.0000000000009</v>
      </c>
      <c r="O16" s="127">
        <v>8592</v>
      </c>
      <c r="P16" s="164">
        <v>16</v>
      </c>
      <c r="Q16" s="24">
        <f t="shared" si="11"/>
        <v>176998.39999999997</v>
      </c>
      <c r="R16" s="5">
        <f t="shared" si="12"/>
        <v>162383.85321100912</v>
      </c>
      <c r="S16" s="5">
        <f t="shared" si="13"/>
        <v>14614.546788990847</v>
      </c>
      <c r="T16" s="21">
        <f t="shared" si="14"/>
        <v>55311.999999999985</v>
      </c>
      <c r="U16" s="71"/>
      <c r="V16" s="61"/>
      <c r="W16" s="13"/>
    </row>
    <row r="17" spans="1:26" ht="14.4" x14ac:dyDescent="0.3">
      <c r="A17" s="58" t="s">
        <v>59</v>
      </c>
      <c r="B17" s="53" t="s">
        <v>193</v>
      </c>
      <c r="C17" s="59" t="s">
        <v>94</v>
      </c>
      <c r="D17" s="62">
        <v>1.6</v>
      </c>
      <c r="E17" s="130">
        <v>260.8</v>
      </c>
      <c r="F17" s="13">
        <v>4731.2</v>
      </c>
      <c r="G17" s="13">
        <v>972.8</v>
      </c>
      <c r="H17" s="13">
        <v>126.4</v>
      </c>
      <c r="I17" s="13"/>
      <c r="J17" s="33"/>
      <c r="K17" s="33">
        <v>17817.599999999999</v>
      </c>
      <c r="L17" s="306">
        <v>19.200000000000728</v>
      </c>
      <c r="M17" s="33">
        <v>169.6</v>
      </c>
      <c r="N17" s="127">
        <v>316.8</v>
      </c>
      <c r="O17" s="127">
        <v>606.4</v>
      </c>
      <c r="P17" s="164"/>
      <c r="Q17" s="24">
        <f t="shared" si="11"/>
        <v>25020.799999999999</v>
      </c>
      <c r="R17" s="5">
        <f t="shared" si="12"/>
        <v>22954.862385321099</v>
      </c>
      <c r="S17" s="5">
        <f t="shared" si="13"/>
        <v>2065.9376146789</v>
      </c>
      <c r="T17" s="21">
        <f t="shared" si="14"/>
        <v>15637.999999999998</v>
      </c>
      <c r="U17" s="71"/>
      <c r="V17" s="107">
        <v>1.6</v>
      </c>
      <c r="W17" s="13">
        <f t="shared" ref="W17:W18" si="16">+T17*V17</f>
        <v>25020.799999999999</v>
      </c>
    </row>
    <row r="18" spans="1:26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2">
        <v>20.48</v>
      </c>
      <c r="F18" s="14">
        <v>112.64</v>
      </c>
      <c r="G18" s="13">
        <v>5.76</v>
      </c>
      <c r="H18" s="14">
        <v>9.6</v>
      </c>
      <c r="I18" s="14"/>
      <c r="J18" s="76"/>
      <c r="K18" s="76">
        <v>285.44</v>
      </c>
      <c r="L18" s="307">
        <v>0.6400000000000432</v>
      </c>
      <c r="M18" s="76"/>
      <c r="N18" s="127">
        <v>97.920000000000016</v>
      </c>
      <c r="O18" s="127">
        <v>25.6</v>
      </c>
      <c r="P18" s="164"/>
      <c r="Q18" s="24">
        <f t="shared" si="11"/>
        <v>558.08000000000004</v>
      </c>
      <c r="R18" s="5">
        <f t="shared" si="12"/>
        <v>512</v>
      </c>
      <c r="S18" s="5">
        <f t="shared" si="13"/>
        <v>46.080000000000041</v>
      </c>
      <c r="T18" s="22">
        <f t="shared" si="14"/>
        <v>872</v>
      </c>
      <c r="U18" s="71"/>
      <c r="V18" s="61">
        <v>2.56</v>
      </c>
      <c r="W18" s="13">
        <f t="shared" si="16"/>
        <v>2232.3200000000002</v>
      </c>
    </row>
    <row r="19" spans="1:26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114236.08095890412</v>
      </c>
      <c r="F19" s="118">
        <f t="shared" ref="F19:T19" si="17">+SUM(F20:F44)</f>
        <v>2589949.8968036505</v>
      </c>
      <c r="G19" s="118">
        <f t="shared" si="17"/>
        <v>409191.2374429222</v>
      </c>
      <c r="H19" s="118">
        <f t="shared" si="17"/>
        <v>70689.950000000012</v>
      </c>
      <c r="I19" s="118">
        <f t="shared" si="17"/>
        <v>0</v>
      </c>
      <c r="J19" s="118">
        <f t="shared" si="17"/>
        <v>0</v>
      </c>
      <c r="K19" s="118">
        <f t="shared" si="17"/>
        <v>0</v>
      </c>
      <c r="L19" s="118">
        <f t="shared" si="17"/>
        <v>0</v>
      </c>
      <c r="M19" s="118">
        <f t="shared" si="17"/>
        <v>34280.89666666666</v>
      </c>
      <c r="N19" s="231">
        <f t="shared" ref="N19" si="18">+SUM(N20:N44)</f>
        <v>19548.606392694066</v>
      </c>
      <c r="O19" s="118">
        <f t="shared" si="17"/>
        <v>227108.3219878478</v>
      </c>
      <c r="P19" s="118">
        <f t="shared" si="17"/>
        <v>11720</v>
      </c>
      <c r="Q19" s="42">
        <f>+SUM(Q20:Q44)</f>
        <v>3476724.9902526853</v>
      </c>
      <c r="R19" s="118">
        <f t="shared" si="17"/>
        <v>3189655.9543602611</v>
      </c>
      <c r="S19" s="118">
        <f t="shared" si="17"/>
        <v>287069.03589242388</v>
      </c>
      <c r="T19" s="253">
        <f t="shared" si="17"/>
        <v>71546.807969300047</v>
      </c>
      <c r="U19" s="71"/>
      <c r="V19" s="61"/>
      <c r="W19" s="105">
        <f>+SUM(W20:W43)</f>
        <v>3682313.0267006918</v>
      </c>
    </row>
    <row r="20" spans="1:26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65193.333333333343</v>
      </c>
      <c r="F20" s="92">
        <v>1392516.6666666656</v>
      </c>
      <c r="G20" s="92">
        <v>213476.66666666645</v>
      </c>
      <c r="H20" s="92">
        <v>33643.33</v>
      </c>
      <c r="I20" s="23"/>
      <c r="J20" s="34"/>
      <c r="K20" s="34"/>
      <c r="L20" s="34"/>
      <c r="M20" s="34">
        <v>19519.999999999996</v>
      </c>
      <c r="N20" s="127">
        <v>11130</v>
      </c>
      <c r="O20" s="409">
        <f>114546.669624023-43.29</f>
        <v>114503.379624023</v>
      </c>
      <c r="P20" s="356">
        <v>11000</v>
      </c>
      <c r="Q20" s="24">
        <f t="shared" ref="Q20:Q44" si="19">+SUM(E20:P20)</f>
        <v>1860983.3762906885</v>
      </c>
      <c r="R20" s="99">
        <f t="shared" ref="R20:R44" si="20">+Q20/1.09</f>
        <v>1707324.1984318241</v>
      </c>
      <c r="S20" s="24">
        <f>+Q20-R20</f>
        <v>153659.17785886442</v>
      </c>
      <c r="T20" s="94">
        <f t="shared" ref="T20:T43" si="21">Q20/D20</f>
        <v>18609.833762906885</v>
      </c>
      <c r="U20" s="41"/>
      <c r="V20" s="61"/>
      <c r="W20" s="106"/>
      <c r="X20"/>
      <c r="Y20" s="142"/>
      <c r="Z20"/>
    </row>
    <row r="21" spans="1:26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13048.333333333336</v>
      </c>
      <c r="F21" s="48">
        <v>380971.66666666471</v>
      </c>
      <c r="G21" s="48">
        <v>57313.333333333387</v>
      </c>
      <c r="H21" s="48">
        <v>11770</v>
      </c>
      <c r="I21" s="13"/>
      <c r="J21" s="33"/>
      <c r="K21" s="33"/>
      <c r="L21" s="33"/>
      <c r="M21" s="33">
        <v>6591.6666666666679</v>
      </c>
      <c r="N21" s="127">
        <v>218.33333333333331</v>
      </c>
      <c r="O21" s="418">
        <f>6558.33350158691-76.67</f>
        <v>6481.6635015869097</v>
      </c>
      <c r="P21" s="357"/>
      <c r="Q21" s="24">
        <f t="shared" si="19"/>
        <v>476394.99683491827</v>
      </c>
      <c r="R21" s="5">
        <f t="shared" si="20"/>
        <v>437059.63012377819</v>
      </c>
      <c r="S21" s="5">
        <f t="shared" ref="S21:S44" si="22">+Q21-R21</f>
        <v>39335.366711140086</v>
      </c>
      <c r="T21" s="21">
        <f t="shared" si="21"/>
        <v>9527.8999366983662</v>
      </c>
      <c r="U21" s="41"/>
      <c r="V21" s="61">
        <v>50</v>
      </c>
      <c r="W21" s="13">
        <f t="shared" ref="W21:W22" si="23">+T21*V21</f>
        <v>476394.99683491833</v>
      </c>
      <c r="Y21" s="142"/>
    </row>
    <row r="22" spans="1:26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23684.67</v>
      </c>
      <c r="F22" s="95">
        <v>560954.67000000004</v>
      </c>
      <c r="G22" s="95">
        <v>94406</v>
      </c>
      <c r="H22" s="95">
        <v>15262.67</v>
      </c>
      <c r="I22" s="13"/>
      <c r="J22" s="33"/>
      <c r="K22" s="33"/>
      <c r="L22" s="33"/>
      <c r="M22" s="33">
        <v>5462.67</v>
      </c>
      <c r="N22" s="127">
        <v>4955.3333333333339</v>
      </c>
      <c r="O22" s="36">
        <v>50694</v>
      </c>
      <c r="P22" s="357"/>
      <c r="Q22" s="24">
        <f t="shared" si="19"/>
        <v>755420.01333333354</v>
      </c>
      <c r="R22" s="5">
        <f t="shared" si="20"/>
        <v>693045.88379204902</v>
      </c>
      <c r="S22" s="5">
        <f t="shared" si="22"/>
        <v>62374.129541284521</v>
      </c>
      <c r="T22" s="21">
        <f t="shared" si="21"/>
        <v>37771.000666666674</v>
      </c>
      <c r="U22" s="41"/>
      <c r="V22" s="61">
        <v>80</v>
      </c>
      <c r="W22" s="13">
        <f t="shared" si="23"/>
        <v>3021680.0533333337</v>
      </c>
      <c r="X22" s="112"/>
      <c r="Y22" s="142"/>
    </row>
    <row r="23" spans="1:26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9876</v>
      </c>
      <c r="F23" s="95">
        <v>215517</v>
      </c>
      <c r="G23" s="95">
        <v>38412</v>
      </c>
      <c r="H23" s="95">
        <v>7830</v>
      </c>
      <c r="I23" s="13"/>
      <c r="J23" s="33"/>
      <c r="K23" s="33"/>
      <c r="L23" s="33"/>
      <c r="M23" s="33">
        <v>2055</v>
      </c>
      <c r="N23" s="127">
        <v>2484</v>
      </c>
      <c r="O23" s="33">
        <v>38262</v>
      </c>
      <c r="P23" s="357">
        <v>720</v>
      </c>
      <c r="Q23" s="24">
        <f t="shared" si="19"/>
        <v>315156</v>
      </c>
      <c r="R23" s="5">
        <f t="shared" si="20"/>
        <v>289133.94495412841</v>
      </c>
      <c r="S23" s="5">
        <f t="shared" si="22"/>
        <v>26022.055045871588</v>
      </c>
      <c r="T23" s="21">
        <f t="shared" si="21"/>
        <v>3501.7333333333331</v>
      </c>
      <c r="U23" s="41"/>
      <c r="V23" s="61"/>
      <c r="W23" s="13"/>
      <c r="Y23" s="142"/>
    </row>
    <row r="24" spans="1:26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511.5</v>
      </c>
      <c r="F24" s="95">
        <v>12771</v>
      </c>
      <c r="G24" s="95">
        <v>2112</v>
      </c>
      <c r="H24" s="95">
        <v>565.5</v>
      </c>
      <c r="I24" s="13"/>
      <c r="J24" s="33"/>
      <c r="K24" s="33"/>
      <c r="L24" s="33"/>
      <c r="M24" s="33">
        <v>183</v>
      </c>
      <c r="N24" s="127">
        <v>15</v>
      </c>
      <c r="O24" s="33">
        <v>1042.5</v>
      </c>
      <c r="P24" s="357"/>
      <c r="Q24" s="24">
        <f t="shared" si="19"/>
        <v>17200.5</v>
      </c>
      <c r="R24" s="5">
        <f t="shared" si="20"/>
        <v>15780.275229357798</v>
      </c>
      <c r="S24" s="5">
        <f t="shared" si="22"/>
        <v>1420.2247706422022</v>
      </c>
      <c r="T24" s="21">
        <f t="shared" si="21"/>
        <v>382.23333333333335</v>
      </c>
      <c r="U24" s="35"/>
      <c r="V24" s="61">
        <v>45</v>
      </c>
      <c r="W24" s="13">
        <f t="shared" ref="W24:W25" si="24">+T24*V24</f>
        <v>17200.5</v>
      </c>
      <c r="Y24" s="142"/>
    </row>
    <row r="25" spans="1:26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1407</v>
      </c>
      <c r="F25" s="95">
        <v>17266.8</v>
      </c>
      <c r="G25" s="95">
        <v>2457</v>
      </c>
      <c r="H25" s="95">
        <v>382.8</v>
      </c>
      <c r="I25" s="13"/>
      <c r="J25" s="33"/>
      <c r="K25" s="33"/>
      <c r="L25" s="33"/>
      <c r="M25" s="33">
        <v>300.60000000000002</v>
      </c>
      <c r="N25" s="127">
        <v>388.19999999999993</v>
      </c>
      <c r="O25" s="33">
        <v>4582.8</v>
      </c>
      <c r="P25" s="357"/>
      <c r="Q25" s="24">
        <f t="shared" si="19"/>
        <v>26785.199999999997</v>
      </c>
      <c r="R25" s="5">
        <f t="shared" si="20"/>
        <v>24573.577981651371</v>
      </c>
      <c r="S25" s="5">
        <f t="shared" si="22"/>
        <v>2211.6220183486257</v>
      </c>
      <c r="T25" s="21">
        <f t="shared" si="21"/>
        <v>1488.0666666666666</v>
      </c>
      <c r="U25" s="35"/>
      <c r="V25" s="61">
        <v>72</v>
      </c>
      <c r="W25" s="13">
        <f t="shared" si="24"/>
        <v>107140.79999999999</v>
      </c>
      <c r="Y25" s="142"/>
    </row>
    <row r="26" spans="1:26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>
        <v>63.333333333333329</v>
      </c>
      <c r="F26" s="95">
        <v>1203.3333333333333</v>
      </c>
      <c r="G26" s="95">
        <v>3.333333333333333</v>
      </c>
      <c r="H26" s="95">
        <v>160</v>
      </c>
      <c r="I26" s="13"/>
      <c r="J26" s="33"/>
      <c r="K26" s="33"/>
      <c r="L26" s="33"/>
      <c r="M26" s="33"/>
      <c r="N26" s="127">
        <v>83.333333333333329</v>
      </c>
      <c r="O26" s="33">
        <v>1110.0000317382812</v>
      </c>
      <c r="P26" s="357"/>
      <c r="Q26" s="24">
        <f t="shared" si="19"/>
        <v>2623.333365071614</v>
      </c>
      <c r="R26" s="5">
        <f t="shared" si="20"/>
        <v>2406.7278578638661</v>
      </c>
      <c r="S26" s="5">
        <f t="shared" si="22"/>
        <v>216.60550720774791</v>
      </c>
      <c r="T26" s="21">
        <f t="shared" si="21"/>
        <v>8.7444445502387129</v>
      </c>
      <c r="U26" s="35"/>
      <c r="V26" s="61"/>
      <c r="W26" s="13"/>
      <c r="Y26" s="142"/>
    </row>
    <row r="27" spans="1:26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>
        <v>0</v>
      </c>
      <c r="F27" s="95">
        <v>1039.9999999999998</v>
      </c>
      <c r="G27" s="95">
        <v>80</v>
      </c>
      <c r="H27" s="95">
        <v>198.33</v>
      </c>
      <c r="I27" s="13"/>
      <c r="J27" s="33"/>
      <c r="K27" s="33"/>
      <c r="L27" s="33"/>
      <c r="M27" s="33">
        <v>6.67</v>
      </c>
      <c r="N27" s="127">
        <v>0</v>
      </c>
      <c r="O27" s="33">
        <v>306.66667404174802</v>
      </c>
      <c r="P27" s="357"/>
      <c r="Q27" s="24">
        <f t="shared" si="19"/>
        <v>1631.6666740417477</v>
      </c>
      <c r="R27" s="5">
        <f t="shared" si="20"/>
        <v>1496.941902790594</v>
      </c>
      <c r="S27" s="5">
        <f t="shared" si="22"/>
        <v>134.7247712511537</v>
      </c>
      <c r="T27" s="21">
        <f t="shared" si="21"/>
        <v>10.877777826944985</v>
      </c>
      <c r="U27" s="35"/>
      <c r="V27" s="61">
        <v>150</v>
      </c>
      <c r="W27" s="13">
        <f t="shared" ref="W27:W43" si="25">+T27*V27</f>
        <v>1631.6666740417479</v>
      </c>
      <c r="Y27" s="142"/>
    </row>
    <row r="28" spans="1:26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320</v>
      </c>
      <c r="F28" s="95">
        <v>5227.33</v>
      </c>
      <c r="G28" s="95">
        <v>667.33333333333348</v>
      </c>
      <c r="H28" s="95">
        <v>565.33000000000004</v>
      </c>
      <c r="I28" s="13"/>
      <c r="J28" s="33"/>
      <c r="K28" s="33"/>
      <c r="L28" s="33"/>
      <c r="M28" s="33">
        <v>124.67</v>
      </c>
      <c r="N28" s="127">
        <v>148</v>
      </c>
      <c r="O28" s="33">
        <v>3094</v>
      </c>
      <c r="P28" s="357"/>
      <c r="Q28" s="24">
        <f t="shared" si="19"/>
        <v>10146.663333333334</v>
      </c>
      <c r="R28" s="5">
        <f t="shared" si="20"/>
        <v>9308.8654434250766</v>
      </c>
      <c r="S28" s="5">
        <f t="shared" si="22"/>
        <v>837.79788990825728</v>
      </c>
      <c r="T28" s="21">
        <f t="shared" si="21"/>
        <v>169.11105555555557</v>
      </c>
      <c r="U28" s="35"/>
      <c r="V28" s="61">
        <v>240</v>
      </c>
      <c r="W28" s="13">
        <f t="shared" si="25"/>
        <v>40586.653333333335</v>
      </c>
      <c r="Y28" s="142"/>
    </row>
    <row r="29" spans="1:26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294</v>
      </c>
      <c r="G29" s="95">
        <v>6</v>
      </c>
      <c r="H29" s="95"/>
      <c r="I29" s="13"/>
      <c r="J29" s="33"/>
      <c r="K29" s="33"/>
      <c r="L29" s="33"/>
      <c r="M29" s="33"/>
      <c r="N29" s="127">
        <v>0</v>
      </c>
      <c r="O29" s="33">
        <v>5067</v>
      </c>
      <c r="P29" s="357"/>
      <c r="Q29" s="24">
        <f t="shared" si="19"/>
        <v>5367</v>
      </c>
      <c r="R29" s="5">
        <f t="shared" si="20"/>
        <v>4923.8532110091737</v>
      </c>
      <c r="S29" s="5">
        <f t="shared" si="22"/>
        <v>443.14678899082628</v>
      </c>
      <c r="T29" s="21">
        <f t="shared" si="21"/>
        <v>19.877777777777776</v>
      </c>
      <c r="U29" s="35"/>
      <c r="V29" s="61"/>
      <c r="W29" s="13"/>
      <c r="Y29" s="142"/>
    </row>
    <row r="30" spans="1:26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>
        <v>13.5</v>
      </c>
      <c r="F30" s="95">
        <v>6</v>
      </c>
      <c r="G30" s="95"/>
      <c r="H30" s="95">
        <v>43.5</v>
      </c>
      <c r="I30" s="13"/>
      <c r="J30" s="33"/>
      <c r="K30" s="33"/>
      <c r="L30" s="33"/>
      <c r="M30" s="33"/>
      <c r="N30" s="127">
        <v>0</v>
      </c>
      <c r="O30" s="33"/>
      <c r="P30" s="357"/>
      <c r="Q30" s="24">
        <f t="shared" si="19"/>
        <v>63</v>
      </c>
      <c r="R30" s="5">
        <f t="shared" si="20"/>
        <v>57.798165137614674</v>
      </c>
      <c r="S30" s="5">
        <f t="shared" si="22"/>
        <v>5.2018348623853257</v>
      </c>
      <c r="T30" s="21">
        <f t="shared" si="21"/>
        <v>0.46666666666666667</v>
      </c>
      <c r="U30" s="35"/>
      <c r="V30" s="61">
        <v>135</v>
      </c>
      <c r="W30" s="13">
        <f t="shared" si="25"/>
        <v>63</v>
      </c>
      <c r="Y30" s="142"/>
    </row>
    <row r="31" spans="1:26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34.799999999999997</v>
      </c>
      <c r="F31" s="95">
        <v>349.2</v>
      </c>
      <c r="G31" s="95">
        <v>36</v>
      </c>
      <c r="H31" s="95">
        <v>36</v>
      </c>
      <c r="I31" s="13"/>
      <c r="J31" s="33"/>
      <c r="K31" s="33"/>
      <c r="L31" s="33"/>
      <c r="M31" s="33"/>
      <c r="N31" s="127">
        <v>13.799999999999999</v>
      </c>
      <c r="O31" s="418">
        <f>529.2-9.6</f>
        <v>519.6</v>
      </c>
      <c r="P31" s="357"/>
      <c r="Q31" s="24">
        <f t="shared" si="19"/>
        <v>989.40000000000009</v>
      </c>
      <c r="R31" s="5">
        <f t="shared" si="20"/>
        <v>907.70642201834869</v>
      </c>
      <c r="S31" s="5">
        <f t="shared" si="22"/>
        <v>81.693577981651401</v>
      </c>
      <c r="T31" s="21">
        <f t="shared" si="21"/>
        <v>18.322222222222223</v>
      </c>
      <c r="U31" s="35"/>
      <c r="V31" s="61">
        <v>216</v>
      </c>
      <c r="W31" s="13">
        <f t="shared" si="25"/>
        <v>3957.6000000000004</v>
      </c>
      <c r="Y31" s="142"/>
    </row>
    <row r="32" spans="1:26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43.333333333333329</v>
      </c>
      <c r="G32" s="95"/>
      <c r="H32" s="95"/>
      <c r="I32" s="13"/>
      <c r="J32" s="33"/>
      <c r="K32" s="33"/>
      <c r="L32" s="33"/>
      <c r="M32" s="33"/>
      <c r="N32" s="127">
        <v>0</v>
      </c>
      <c r="O32" s="33">
        <v>100</v>
      </c>
      <c r="P32" s="357"/>
      <c r="Q32" s="24">
        <f t="shared" si="19"/>
        <v>143.33333333333331</v>
      </c>
      <c r="R32" s="5">
        <f t="shared" si="20"/>
        <v>131.4984709480122</v>
      </c>
      <c r="S32" s="5">
        <f t="shared" si="22"/>
        <v>11.834862385321117</v>
      </c>
      <c r="T32" s="21">
        <f t="shared" si="21"/>
        <v>0.23888888888888885</v>
      </c>
      <c r="U32" s="35"/>
      <c r="V32" s="61"/>
      <c r="W32" s="13"/>
      <c r="Y32" s="142"/>
    </row>
    <row r="33" spans="1:26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>
        <v>10</v>
      </c>
      <c r="G33" s="95"/>
      <c r="H33" s="95">
        <v>26.67</v>
      </c>
      <c r="I33" s="13"/>
      <c r="J33" s="33"/>
      <c r="K33" s="33"/>
      <c r="L33" s="33"/>
      <c r="M33" s="33"/>
      <c r="N33" s="127">
        <v>0</v>
      </c>
      <c r="O33" s="33">
        <v>28.333333435058595</v>
      </c>
      <c r="P33" s="357"/>
      <c r="Q33" s="24">
        <f t="shared" si="19"/>
        <v>65.003333435058593</v>
      </c>
      <c r="R33" s="5">
        <f t="shared" si="20"/>
        <v>59.63608572023724</v>
      </c>
      <c r="S33" s="5">
        <f t="shared" si="22"/>
        <v>5.3672477148213531</v>
      </c>
      <c r="T33" s="21">
        <f t="shared" si="21"/>
        <v>0.21667777811686198</v>
      </c>
      <c r="U33" s="35"/>
      <c r="V33" s="61">
        <v>300</v>
      </c>
      <c r="W33" s="13">
        <f t="shared" si="25"/>
        <v>65.003333435058593</v>
      </c>
      <c r="Y33" s="142"/>
    </row>
    <row r="34" spans="1:26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32</v>
      </c>
      <c r="F34" s="95">
        <v>372.00000000000006</v>
      </c>
      <c r="G34" s="95">
        <v>52</v>
      </c>
      <c r="H34" s="95">
        <v>40.67</v>
      </c>
      <c r="I34" s="13"/>
      <c r="J34" s="33"/>
      <c r="K34" s="33"/>
      <c r="L34" s="33"/>
      <c r="M34" s="33">
        <v>13.33</v>
      </c>
      <c r="N34" s="127">
        <v>15.999999999999995</v>
      </c>
      <c r="O34" s="33">
        <v>227.33</v>
      </c>
      <c r="P34" s="357"/>
      <c r="Q34" s="24">
        <f t="shared" si="19"/>
        <v>753.33</v>
      </c>
      <c r="R34" s="5">
        <f t="shared" si="20"/>
        <v>691.12844036697243</v>
      </c>
      <c r="S34" s="5">
        <f t="shared" si="22"/>
        <v>62.201559633027614</v>
      </c>
      <c r="T34" s="21">
        <f t="shared" si="21"/>
        <v>6.2777500000000002</v>
      </c>
      <c r="U34" s="35"/>
      <c r="V34" s="61">
        <v>480</v>
      </c>
      <c r="W34" s="13">
        <f t="shared" si="25"/>
        <v>3013.32</v>
      </c>
      <c r="Y34" s="142"/>
    </row>
    <row r="35" spans="1:26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127">
        <v>0</v>
      </c>
      <c r="O35" s="33"/>
      <c r="P35" s="357"/>
      <c r="Q35" s="24">
        <f t="shared" si="19"/>
        <v>0</v>
      </c>
      <c r="R35" s="5">
        <f t="shared" si="20"/>
        <v>0</v>
      </c>
      <c r="S35" s="5">
        <f t="shared" si="22"/>
        <v>0</v>
      </c>
      <c r="T35" s="21">
        <f t="shared" si="21"/>
        <v>0</v>
      </c>
      <c r="U35" s="35"/>
      <c r="V35" s="61"/>
      <c r="W35" s="13"/>
      <c r="Y35" s="142"/>
    </row>
    <row r="36" spans="1:26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127">
        <v>0</v>
      </c>
      <c r="O36" s="33"/>
      <c r="P36" s="357"/>
      <c r="Q36" s="24">
        <f t="shared" si="19"/>
        <v>0</v>
      </c>
      <c r="R36" s="5">
        <f t="shared" si="20"/>
        <v>0</v>
      </c>
      <c r="S36" s="5">
        <f t="shared" si="22"/>
        <v>0</v>
      </c>
      <c r="T36" s="21">
        <f t="shared" si="21"/>
        <v>0</v>
      </c>
      <c r="U36" s="35"/>
      <c r="V36" s="61">
        <v>270</v>
      </c>
      <c r="W36" s="13">
        <f t="shared" si="25"/>
        <v>0</v>
      </c>
      <c r="Y36" s="142"/>
    </row>
    <row r="37" spans="1:26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>
        <v>31.2</v>
      </c>
      <c r="F37" s="95">
        <v>17.399999999999999</v>
      </c>
      <c r="G37" s="95"/>
      <c r="H37" s="95">
        <v>18</v>
      </c>
      <c r="I37" s="13"/>
      <c r="J37" s="33"/>
      <c r="K37" s="33"/>
      <c r="L37" s="33"/>
      <c r="M37" s="33"/>
      <c r="N37" s="127">
        <v>18</v>
      </c>
      <c r="O37" s="33"/>
      <c r="P37" s="357"/>
      <c r="Q37" s="24">
        <f t="shared" si="19"/>
        <v>84.6</v>
      </c>
      <c r="R37" s="5">
        <f t="shared" si="20"/>
        <v>77.614678899082563</v>
      </c>
      <c r="S37" s="5">
        <f t="shared" si="22"/>
        <v>6.9853211009174316</v>
      </c>
      <c r="T37" s="21">
        <f t="shared" si="21"/>
        <v>0.78333333333333333</v>
      </c>
      <c r="U37" s="35"/>
      <c r="V37" s="61">
        <v>432</v>
      </c>
      <c r="W37" s="13">
        <f t="shared" si="25"/>
        <v>338.4</v>
      </c>
      <c r="Y37" s="142"/>
    </row>
    <row r="38" spans="1:26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>
        <v>63.333333333333329</v>
      </c>
      <c r="G38" s="95"/>
      <c r="H38" s="95"/>
      <c r="I38" s="13"/>
      <c r="J38" s="33"/>
      <c r="K38" s="33"/>
      <c r="L38" s="33"/>
      <c r="M38" s="33"/>
      <c r="N38" s="127">
        <v>0</v>
      </c>
      <c r="O38" s="33"/>
      <c r="P38" s="357"/>
      <c r="Q38" s="24">
        <f t="shared" si="19"/>
        <v>63.333333333333329</v>
      </c>
      <c r="R38" s="5">
        <f t="shared" si="20"/>
        <v>58.103975535168189</v>
      </c>
      <c r="S38" s="5">
        <f t="shared" si="22"/>
        <v>5.2293577981651396</v>
      </c>
      <c r="T38" s="21">
        <f t="shared" si="21"/>
        <v>7.0370370370370361E-2</v>
      </c>
      <c r="U38" s="35"/>
      <c r="V38" s="61"/>
      <c r="W38" s="13"/>
      <c r="Y38" s="142"/>
    </row>
    <row r="39" spans="1:26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>
        <v>30</v>
      </c>
      <c r="G39" s="95"/>
      <c r="H39" s="95"/>
      <c r="I39" s="13"/>
      <c r="J39" s="33"/>
      <c r="K39" s="33"/>
      <c r="L39" s="33"/>
      <c r="M39" s="33"/>
      <c r="N39" s="127">
        <v>0</v>
      </c>
      <c r="O39" s="33"/>
      <c r="P39" s="357"/>
      <c r="Q39" s="24">
        <f t="shared" si="19"/>
        <v>30</v>
      </c>
      <c r="R39" s="5">
        <f t="shared" si="20"/>
        <v>27.52293577981651</v>
      </c>
      <c r="S39" s="5">
        <f t="shared" si="22"/>
        <v>2.4770642201834896</v>
      </c>
      <c r="T39" s="21">
        <f t="shared" si="21"/>
        <v>6.6666666666666666E-2</v>
      </c>
      <c r="U39" s="35"/>
      <c r="V39" s="61">
        <v>450</v>
      </c>
      <c r="W39" s="13">
        <f t="shared" si="25"/>
        <v>30</v>
      </c>
      <c r="Y39" s="142"/>
    </row>
    <row r="40" spans="1:26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>
        <v>20.000000000000004</v>
      </c>
      <c r="F40" s="250">
        <v>1105.3333333333335</v>
      </c>
      <c r="G40" s="95">
        <v>146.66666666666669</v>
      </c>
      <c r="H40" s="95">
        <v>94</v>
      </c>
      <c r="I40" s="13"/>
      <c r="J40" s="33"/>
      <c r="K40" s="33"/>
      <c r="L40" s="33"/>
      <c r="M40" s="33">
        <v>20.000000000000004</v>
      </c>
      <c r="N40" s="127">
        <v>34.666666666666664</v>
      </c>
      <c r="O40" s="33">
        <v>788.66663124084471</v>
      </c>
      <c r="P40" s="357"/>
      <c r="Q40" s="24">
        <f t="shared" si="19"/>
        <v>2209.3332979075117</v>
      </c>
      <c r="R40" s="5">
        <f t="shared" si="20"/>
        <v>2026.9112824839556</v>
      </c>
      <c r="S40" s="5">
        <f t="shared" si="22"/>
        <v>182.4220154235561</v>
      </c>
      <c r="T40" s="21">
        <f t="shared" si="21"/>
        <v>12.274073877263953</v>
      </c>
      <c r="U40" s="35"/>
      <c r="V40" s="61">
        <v>720</v>
      </c>
      <c r="W40" s="13">
        <f t="shared" si="25"/>
        <v>8837.3331916300467</v>
      </c>
      <c r="Y40" s="142"/>
    </row>
    <row r="41" spans="1:26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127">
        <v>0</v>
      </c>
      <c r="O41" s="33">
        <v>81</v>
      </c>
      <c r="P41" s="357"/>
      <c r="Q41" s="24">
        <f t="shared" si="19"/>
        <v>81</v>
      </c>
      <c r="R41" s="5">
        <f t="shared" si="20"/>
        <v>74.311926605504581</v>
      </c>
      <c r="S41" s="5">
        <f t="shared" si="22"/>
        <v>6.6880733944954187</v>
      </c>
      <c r="T41" s="21">
        <f t="shared" si="21"/>
        <v>0.1</v>
      </c>
      <c r="U41" s="71"/>
      <c r="V41" s="61"/>
      <c r="W41" s="13"/>
      <c r="Y41" s="142"/>
    </row>
    <row r="42" spans="1:26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127">
        <v>0</v>
      </c>
      <c r="O42" s="33">
        <v>34.5</v>
      </c>
      <c r="P42" s="357"/>
      <c r="Q42" s="24">
        <f t="shared" si="19"/>
        <v>34.5</v>
      </c>
      <c r="R42" s="5">
        <f t="shared" si="20"/>
        <v>31.651376146788987</v>
      </c>
      <c r="S42" s="5">
        <f t="shared" si="22"/>
        <v>2.8486238532110129</v>
      </c>
      <c r="T42" s="21">
        <f t="shared" si="21"/>
        <v>8.5185185185185183E-2</v>
      </c>
      <c r="U42" s="71"/>
      <c r="V42" s="61">
        <v>405</v>
      </c>
      <c r="W42" s="13">
        <f t="shared" si="25"/>
        <v>34.5</v>
      </c>
      <c r="Y42" s="142"/>
    </row>
    <row r="43" spans="1:26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>
        <v>88.2</v>
      </c>
      <c r="G43" s="250"/>
      <c r="H43" s="250">
        <v>18.600000000000001</v>
      </c>
      <c r="I43" s="25"/>
      <c r="J43" s="239"/>
      <c r="K43" s="239"/>
      <c r="L43" s="239"/>
      <c r="M43" s="239"/>
      <c r="N43" s="221">
        <v>43.199999999999996</v>
      </c>
      <c r="O43" s="239">
        <v>184.8</v>
      </c>
      <c r="P43" s="358"/>
      <c r="Q43" s="24">
        <f t="shared" si="19"/>
        <v>334.8</v>
      </c>
      <c r="R43" s="26">
        <f t="shared" si="20"/>
        <v>307.1559633027523</v>
      </c>
      <c r="S43" s="26">
        <f t="shared" si="22"/>
        <v>27.644036697247714</v>
      </c>
      <c r="T43" s="39">
        <f t="shared" si="21"/>
        <v>2.0666666666666669</v>
      </c>
      <c r="U43" s="71"/>
      <c r="V43" s="61">
        <v>648</v>
      </c>
      <c r="W43" s="13">
        <f t="shared" si="25"/>
        <v>1339.2</v>
      </c>
      <c r="Y43" s="142"/>
    </row>
    <row r="44" spans="1:26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0.41095890410958902</v>
      </c>
      <c r="F44" s="124">
        <v>102.63013698630134</v>
      </c>
      <c r="G44" s="124">
        <v>22.904109589041095</v>
      </c>
      <c r="H44" s="124">
        <v>34.549999999999997</v>
      </c>
      <c r="I44" s="124"/>
      <c r="J44" s="124"/>
      <c r="K44" s="124"/>
      <c r="L44" s="124"/>
      <c r="M44" s="124">
        <v>3.29</v>
      </c>
      <c r="N44" s="124">
        <v>0.73972602739726034</v>
      </c>
      <c r="O44" s="124">
        <v>8.2191781997680666E-2</v>
      </c>
      <c r="P44" s="352"/>
      <c r="Q44" s="24">
        <f t="shared" si="19"/>
        <v>164.60712328884696</v>
      </c>
      <c r="R44" s="124">
        <f t="shared" si="20"/>
        <v>151.01570943930912</v>
      </c>
      <c r="S44" s="6">
        <f t="shared" si="22"/>
        <v>13.591413849537844</v>
      </c>
      <c r="T44" s="22">
        <f>+Q44/D44</f>
        <v>16.460712328884696</v>
      </c>
      <c r="U44" s="71"/>
      <c r="V44" s="61"/>
      <c r="W44" s="13"/>
      <c r="X44" s="2"/>
      <c r="Y44" s="1"/>
    </row>
    <row r="45" spans="1:26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6689.0700000000006</v>
      </c>
      <c r="F45" s="82">
        <f>+SUM(F46:F54)</f>
        <v>157996.41000000003</v>
      </c>
      <c r="G45" s="82">
        <f>+SUM(G46:G54)</f>
        <v>25841.01</v>
      </c>
      <c r="H45" s="82">
        <f>+SUM(H46:H54)</f>
        <v>5203.1400000000003</v>
      </c>
      <c r="I45" s="82">
        <f t="shared" ref="I45:T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1744</v>
      </c>
      <c r="N45" s="100">
        <f t="shared" si="26"/>
        <v>3385.9200000000005</v>
      </c>
      <c r="O45" s="100">
        <f t="shared" si="26"/>
        <v>15233.6</v>
      </c>
      <c r="P45" s="100">
        <f t="shared" si="26"/>
        <v>0</v>
      </c>
      <c r="Q45" s="42">
        <f>+SUM(Q46:Q54)</f>
        <v>216093.15000000002</v>
      </c>
      <c r="R45" s="82">
        <f t="shared" si="26"/>
        <v>198250.59633027524</v>
      </c>
      <c r="S45" s="82">
        <f t="shared" si="26"/>
        <v>17842.553669724781</v>
      </c>
      <c r="T45" s="19">
        <f t="shared" si="26"/>
        <v>30681.600000000006</v>
      </c>
      <c r="U45" s="71"/>
      <c r="V45" s="61"/>
      <c r="W45" s="105">
        <f>+SUM(W46:W69)</f>
        <v>293588.45000000007</v>
      </c>
    </row>
    <row r="46" spans="1:26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708</v>
      </c>
      <c r="F46" s="92">
        <v>17880</v>
      </c>
      <c r="G46" s="28">
        <v>2724</v>
      </c>
      <c r="H46" s="347">
        <v>336</v>
      </c>
      <c r="I46" s="83"/>
      <c r="J46" s="75"/>
      <c r="K46" s="75"/>
      <c r="L46" s="75"/>
      <c r="M46" s="75">
        <v>168</v>
      </c>
      <c r="N46" s="127">
        <v>636</v>
      </c>
      <c r="O46" s="367">
        <f>2220+24</f>
        <v>2244</v>
      </c>
      <c r="P46" s="356"/>
      <c r="Q46" s="24">
        <f t="shared" ref="Q46:Q54" si="27">+SUM(E46:P46)</f>
        <v>24696</v>
      </c>
      <c r="R46" s="99">
        <f t="shared" ref="R46:R54" si="28">+Q46/1.09</f>
        <v>22656.880733944952</v>
      </c>
      <c r="S46" s="64">
        <f t="shared" ref="S46:S54" si="29">+Q46-R46</f>
        <v>2039.1192660550478</v>
      </c>
      <c r="T46" s="85">
        <f t="shared" ref="T46:T54" si="30">Q46/D46</f>
        <v>2058</v>
      </c>
      <c r="U46" s="71"/>
      <c r="V46" s="61"/>
      <c r="W46" s="13"/>
      <c r="X46"/>
      <c r="Y46" s="142"/>
      <c r="Z46"/>
    </row>
    <row r="47" spans="1:26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204</v>
      </c>
      <c r="F47" s="48">
        <v>2250</v>
      </c>
      <c r="G47" s="17">
        <v>246</v>
      </c>
      <c r="H47" s="347">
        <v>12</v>
      </c>
      <c r="I47" s="13"/>
      <c r="J47" s="33"/>
      <c r="K47" s="33"/>
      <c r="L47" s="33"/>
      <c r="M47" s="33">
        <v>18</v>
      </c>
      <c r="N47" s="127">
        <v>72</v>
      </c>
      <c r="O47" s="36">
        <v>180</v>
      </c>
      <c r="P47" s="357"/>
      <c r="Q47" s="24">
        <f t="shared" si="27"/>
        <v>2982</v>
      </c>
      <c r="R47" s="5">
        <f t="shared" si="28"/>
        <v>2735.7798165137615</v>
      </c>
      <c r="S47" s="5">
        <f t="shared" si="29"/>
        <v>246.22018348623851</v>
      </c>
      <c r="T47" s="31">
        <f t="shared" si="30"/>
        <v>497</v>
      </c>
      <c r="U47" s="71"/>
      <c r="V47" s="61">
        <v>6</v>
      </c>
      <c r="W47" s="13">
        <f t="shared" ref="W47:W48" si="31">+T47*V47</f>
        <v>2982</v>
      </c>
      <c r="Y47" s="142"/>
    </row>
    <row r="48" spans="1:26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1276.8</v>
      </c>
      <c r="F48" s="95">
        <v>37576.800000000003</v>
      </c>
      <c r="G48" s="17">
        <v>6691.2</v>
      </c>
      <c r="H48" s="347">
        <v>218.4</v>
      </c>
      <c r="I48" s="13"/>
      <c r="J48" s="33"/>
      <c r="K48" s="33"/>
      <c r="L48" s="33"/>
      <c r="M48" s="33">
        <v>376.8</v>
      </c>
      <c r="N48" s="127">
        <v>741.60000000000014</v>
      </c>
      <c r="O48" s="36">
        <v>2080.8000000000002</v>
      </c>
      <c r="P48" s="357"/>
      <c r="Q48" s="24">
        <f t="shared" si="27"/>
        <v>48962.400000000009</v>
      </c>
      <c r="R48" s="5">
        <f t="shared" si="28"/>
        <v>44919.633027522941</v>
      </c>
      <c r="S48" s="5">
        <f t="shared" si="29"/>
        <v>4042.7669724770676</v>
      </c>
      <c r="T48" s="31">
        <f t="shared" si="30"/>
        <v>20401.000000000004</v>
      </c>
      <c r="U48" s="71"/>
      <c r="V48" s="61">
        <v>9.6</v>
      </c>
      <c r="W48" s="13">
        <f t="shared" si="31"/>
        <v>195849.60000000003</v>
      </c>
      <c r="Y48" s="142"/>
    </row>
    <row r="49" spans="1:25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560</v>
      </c>
      <c r="F49" s="13">
        <v>18305</v>
      </c>
      <c r="G49" s="13">
        <v>3059</v>
      </c>
      <c r="H49" s="348">
        <v>1260</v>
      </c>
      <c r="I49" s="13"/>
      <c r="J49" s="33"/>
      <c r="K49" s="33"/>
      <c r="L49" s="33"/>
      <c r="M49" s="33">
        <v>98</v>
      </c>
      <c r="N49" s="127">
        <v>259</v>
      </c>
      <c r="O49" s="36">
        <v>2730</v>
      </c>
      <c r="P49" s="357"/>
      <c r="Q49" s="24">
        <f t="shared" si="27"/>
        <v>26271</v>
      </c>
      <c r="R49" s="5">
        <f t="shared" si="28"/>
        <v>24101.83486238532</v>
      </c>
      <c r="S49" s="5">
        <f t="shared" si="29"/>
        <v>2169.1651376146801</v>
      </c>
      <c r="T49" s="31">
        <f t="shared" si="30"/>
        <v>1251</v>
      </c>
      <c r="U49" s="71"/>
      <c r="V49" s="61"/>
      <c r="W49" s="13"/>
      <c r="Y49" s="142"/>
    </row>
    <row r="50" spans="1:25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105</v>
      </c>
      <c r="F50" s="13">
        <v>1862</v>
      </c>
      <c r="G50" s="13">
        <v>287</v>
      </c>
      <c r="H50" s="348">
        <v>31.5</v>
      </c>
      <c r="I50" s="13"/>
      <c r="J50" s="33"/>
      <c r="K50" s="33"/>
      <c r="L50" s="33"/>
      <c r="M50" s="33">
        <v>31.5</v>
      </c>
      <c r="N50" s="127">
        <v>21</v>
      </c>
      <c r="O50" s="36">
        <v>147</v>
      </c>
      <c r="P50" s="357"/>
      <c r="Q50" s="24">
        <f t="shared" si="27"/>
        <v>2485</v>
      </c>
      <c r="R50" s="5">
        <f t="shared" si="28"/>
        <v>2279.8165137614678</v>
      </c>
      <c r="S50" s="5">
        <f t="shared" si="29"/>
        <v>205.18348623853217</v>
      </c>
      <c r="T50" s="21">
        <f t="shared" si="30"/>
        <v>236.66666666666666</v>
      </c>
      <c r="U50" s="71"/>
      <c r="V50" s="61">
        <v>10.5</v>
      </c>
      <c r="W50" s="13">
        <f t="shared" ref="W50:W51" si="32">+T50*V50</f>
        <v>2485</v>
      </c>
      <c r="Y50" s="142"/>
    </row>
    <row r="51" spans="1:25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240.8</v>
      </c>
      <c r="F51" s="13">
        <v>8265.6</v>
      </c>
      <c r="G51" s="13">
        <v>992.6</v>
      </c>
      <c r="H51" s="348">
        <v>145.6</v>
      </c>
      <c r="I51" s="13"/>
      <c r="J51" s="33"/>
      <c r="K51" s="33"/>
      <c r="L51" s="33"/>
      <c r="M51" s="33">
        <v>88.2</v>
      </c>
      <c r="N51" s="127">
        <v>249.20000000000002</v>
      </c>
      <c r="O51" s="36">
        <v>1103.2</v>
      </c>
      <c r="P51" s="357"/>
      <c r="Q51" s="24">
        <f t="shared" si="27"/>
        <v>11085.200000000003</v>
      </c>
      <c r="R51" s="5">
        <f t="shared" si="28"/>
        <v>10169.908256880735</v>
      </c>
      <c r="S51" s="5">
        <f t="shared" si="29"/>
        <v>915.29174311926727</v>
      </c>
      <c r="T51" s="21">
        <f t="shared" si="30"/>
        <v>2639.3333333333339</v>
      </c>
      <c r="U51" s="71"/>
      <c r="V51" s="61">
        <v>16.8</v>
      </c>
      <c r="W51" s="13">
        <f t="shared" si="32"/>
        <v>44340.80000000001</v>
      </c>
      <c r="Y51" s="142"/>
    </row>
    <row r="52" spans="1:25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3157</v>
      </c>
      <c r="F52" s="13">
        <v>59913.3</v>
      </c>
      <c r="G52" s="13">
        <v>10139.299999999999</v>
      </c>
      <c r="H52" s="348">
        <v>2656.8</v>
      </c>
      <c r="I52" s="13"/>
      <c r="J52" s="33"/>
      <c r="K52" s="33"/>
      <c r="L52" s="33"/>
      <c r="M52" s="33">
        <v>869.2</v>
      </c>
      <c r="N52" s="127">
        <v>1119.3000000000002</v>
      </c>
      <c r="O52" s="36">
        <v>5202.8999999999996</v>
      </c>
      <c r="P52" s="357"/>
      <c r="Q52" s="24">
        <f t="shared" si="27"/>
        <v>83057.8</v>
      </c>
      <c r="R52" s="5">
        <f t="shared" si="28"/>
        <v>76199.816513761471</v>
      </c>
      <c r="S52" s="5">
        <f t="shared" si="29"/>
        <v>6857.9834862385324</v>
      </c>
      <c r="T52" s="21">
        <f t="shared" si="30"/>
        <v>2025.8000000000002</v>
      </c>
      <c r="U52" s="71"/>
      <c r="V52" s="61"/>
      <c r="W52" s="13"/>
      <c r="Y52" s="142"/>
    </row>
    <row r="53" spans="1:25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125.05</v>
      </c>
      <c r="F53" s="13">
        <v>4692.45</v>
      </c>
      <c r="G53" s="13">
        <v>731.85</v>
      </c>
      <c r="H53" s="348">
        <v>237.8</v>
      </c>
      <c r="I53" s="13"/>
      <c r="J53" s="33"/>
      <c r="K53" s="33"/>
      <c r="L53" s="33"/>
      <c r="M53" s="33">
        <v>61.5</v>
      </c>
      <c r="N53" s="127">
        <v>0</v>
      </c>
      <c r="O53" s="36">
        <v>246</v>
      </c>
      <c r="P53" s="357"/>
      <c r="Q53" s="24">
        <f t="shared" si="27"/>
        <v>6094.6500000000005</v>
      </c>
      <c r="R53" s="5">
        <f t="shared" si="28"/>
        <v>5591.4220183486241</v>
      </c>
      <c r="S53" s="5">
        <f t="shared" si="29"/>
        <v>503.22798165137647</v>
      </c>
      <c r="T53" s="21">
        <f t="shared" si="30"/>
        <v>297.3</v>
      </c>
      <c r="U53" s="71"/>
      <c r="V53" s="61">
        <v>20.5</v>
      </c>
      <c r="W53" s="13">
        <f t="shared" ref="W53:W54" si="33">+T53*V53</f>
        <v>6094.6500000000005</v>
      </c>
      <c r="Y53" s="142"/>
    </row>
    <row r="54" spans="1:25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312.42</v>
      </c>
      <c r="F54" s="14">
        <v>7251.26</v>
      </c>
      <c r="G54" s="14">
        <v>970.06</v>
      </c>
      <c r="H54" s="349">
        <v>305.04000000000002</v>
      </c>
      <c r="I54" s="14"/>
      <c r="J54" s="76"/>
      <c r="K54" s="76"/>
      <c r="L54" s="76"/>
      <c r="M54" s="76">
        <v>32.799999999999997</v>
      </c>
      <c r="N54" s="148">
        <v>287.82000000000005</v>
      </c>
      <c r="O54" s="144">
        <v>1299.7</v>
      </c>
      <c r="P54" s="224"/>
      <c r="Q54" s="359">
        <f t="shared" si="27"/>
        <v>10459.1</v>
      </c>
      <c r="R54" s="6">
        <f t="shared" si="28"/>
        <v>9595.5045871559632</v>
      </c>
      <c r="S54" s="6">
        <f t="shared" si="29"/>
        <v>863.59541284403713</v>
      </c>
      <c r="T54" s="22">
        <f t="shared" si="30"/>
        <v>1275.5000000000002</v>
      </c>
      <c r="U54" s="35"/>
      <c r="V54" s="61">
        <v>32.799999999999997</v>
      </c>
      <c r="W54" s="13">
        <f t="shared" si="33"/>
        <v>41836.400000000001</v>
      </c>
      <c r="Y54" s="142"/>
    </row>
    <row r="55" spans="1:25" x14ac:dyDescent="0.25"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6" spans="1:2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</row>
    <row r="58" spans="1:25" x14ac:dyDescent="0.25">
      <c r="O58" s="137"/>
      <c r="P58" s="137"/>
    </row>
    <row r="74" spans="2:2" x14ac:dyDescent="0.25">
      <c r="B74" s="1"/>
    </row>
  </sheetData>
  <mergeCells count="19">
    <mergeCell ref="W4:W5"/>
    <mergeCell ref="N4:N5"/>
    <mergeCell ref="Q4:Q5"/>
    <mergeCell ref="R4:R5"/>
    <mergeCell ref="S4:S5"/>
    <mergeCell ref="T4:T5"/>
    <mergeCell ref="O4:P4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E1" workbookViewId="0">
      <selection activeCell="N18" sqref="N18"/>
    </sheetView>
  </sheetViews>
  <sheetFormatPr defaultRowHeight="14.4" outlineLevelCol="2" x14ac:dyDescent="0.3"/>
  <cols>
    <col min="1" max="1" width="4.88671875" customWidth="1"/>
    <col min="2" max="2" width="10.6640625" customWidth="1"/>
    <col min="3" max="3" width="14.88671875" bestFit="1" customWidth="1"/>
    <col min="5" max="5" width="12.33203125" bestFit="1" customWidth="1"/>
    <col min="6" max="6" width="16.109375" customWidth="1"/>
    <col min="8" max="8" width="14.33203125" bestFit="1" customWidth="1"/>
    <col min="9" max="9" width="14.33203125" customWidth="1"/>
    <col min="10" max="10" width="22.88671875" hidden="1" customWidth="1" outlineLevel="2"/>
    <col min="11" max="11" width="34.88671875" hidden="1" customWidth="1" outlineLevel="2"/>
    <col min="12" max="12" width="55.109375" hidden="1" customWidth="1" outlineLevel="2"/>
    <col min="13" max="13" width="20.109375" hidden="1" customWidth="1" outlineLevel="1"/>
    <col min="14" max="14" width="23.77734375" customWidth="1" collapsed="1"/>
    <col min="15" max="15" width="26.5546875" customWidth="1"/>
    <col min="16" max="16" width="26.21875" customWidth="1"/>
  </cols>
  <sheetData>
    <row r="1" spans="1:16" x14ac:dyDescent="0.3">
      <c r="A1" s="142" t="s">
        <v>308</v>
      </c>
      <c r="B1" s="142"/>
    </row>
    <row r="2" spans="1:16" x14ac:dyDescent="0.3">
      <c r="A2" s="142"/>
      <c r="B2" s="142"/>
    </row>
    <row r="3" spans="1:16" x14ac:dyDescent="0.3">
      <c r="A3" s="568" t="s">
        <v>433</v>
      </c>
      <c r="B3" s="567" t="s">
        <v>434</v>
      </c>
      <c r="C3" s="567" t="s">
        <v>435</v>
      </c>
      <c r="D3" s="567" t="s">
        <v>436</v>
      </c>
      <c r="E3" s="567" t="s">
        <v>437</v>
      </c>
      <c r="F3" s="567" t="s">
        <v>275</v>
      </c>
      <c r="G3" s="567" t="s">
        <v>304</v>
      </c>
      <c r="H3" s="567" t="s">
        <v>307</v>
      </c>
      <c r="I3" s="567" t="s">
        <v>556</v>
      </c>
      <c r="J3" s="566" t="s">
        <v>429</v>
      </c>
      <c r="K3" s="566"/>
      <c r="L3" s="566"/>
      <c r="M3" s="566"/>
      <c r="N3" s="566"/>
      <c r="O3" s="566"/>
      <c r="P3" s="566"/>
    </row>
    <row r="4" spans="1:16" ht="56.25" customHeight="1" x14ac:dyDescent="0.3">
      <c r="A4" s="568"/>
      <c r="B4" s="567"/>
      <c r="C4" s="567"/>
      <c r="D4" s="567"/>
      <c r="E4" s="567"/>
      <c r="F4" s="567"/>
      <c r="G4" s="567"/>
      <c r="H4" s="567"/>
      <c r="I4" s="567"/>
      <c r="J4" s="398" t="s">
        <v>306</v>
      </c>
      <c r="K4" s="503" t="s">
        <v>332</v>
      </c>
      <c r="L4" s="503" t="s">
        <v>384</v>
      </c>
      <c r="M4" s="503" t="s">
        <v>414</v>
      </c>
      <c r="N4" s="503" t="s">
        <v>428</v>
      </c>
      <c r="O4" s="503" t="s">
        <v>557</v>
      </c>
      <c r="P4" s="533" t="s">
        <v>584</v>
      </c>
    </row>
    <row r="5" spans="1:16" x14ac:dyDescent="0.3">
      <c r="A5" s="493">
        <v>1</v>
      </c>
      <c r="B5" s="504" t="s">
        <v>278</v>
      </c>
      <c r="C5" s="505">
        <v>41659</v>
      </c>
      <c r="D5" s="506" t="s">
        <v>279</v>
      </c>
      <c r="E5" s="506" t="s">
        <v>280</v>
      </c>
      <c r="F5" s="505" t="s">
        <v>281</v>
      </c>
      <c r="G5" s="454">
        <v>8.8000000000000007</v>
      </c>
      <c r="H5" s="455">
        <v>3118108374</v>
      </c>
      <c r="I5" s="507" t="s">
        <v>342</v>
      </c>
      <c r="J5" s="502" t="s">
        <v>329</v>
      </c>
      <c r="K5" s="502" t="s">
        <v>333</v>
      </c>
      <c r="L5" s="502" t="s">
        <v>333</v>
      </c>
      <c r="M5" s="502" t="s">
        <v>415</v>
      </c>
      <c r="N5" s="502" t="s">
        <v>445</v>
      </c>
      <c r="O5" s="502" t="s">
        <v>445</v>
      </c>
      <c r="P5" s="502"/>
    </row>
    <row r="6" spans="1:16" x14ac:dyDescent="0.3">
      <c r="A6" s="493">
        <v>2</v>
      </c>
      <c r="B6" s="504" t="s">
        <v>282</v>
      </c>
      <c r="C6" s="505">
        <v>41666</v>
      </c>
      <c r="D6" s="506" t="s">
        <v>283</v>
      </c>
      <c r="E6" s="506" t="s">
        <v>284</v>
      </c>
      <c r="F6" s="505" t="s">
        <v>281</v>
      </c>
      <c r="G6" s="508">
        <v>4.4000000000000004</v>
      </c>
      <c r="H6" s="509">
        <v>3630614994</v>
      </c>
      <c r="I6" s="510" t="s">
        <v>341</v>
      </c>
      <c r="J6" s="502" t="s">
        <v>329</v>
      </c>
      <c r="K6" s="502" t="s">
        <v>334</v>
      </c>
      <c r="L6" s="502" t="s">
        <v>334</v>
      </c>
      <c r="M6" s="502" t="s">
        <v>334</v>
      </c>
      <c r="N6" s="502" t="s">
        <v>446</v>
      </c>
      <c r="O6" s="502" t="s">
        <v>446</v>
      </c>
      <c r="P6" s="502"/>
    </row>
    <row r="7" spans="1:16" x14ac:dyDescent="0.3">
      <c r="A7" s="493">
        <v>3</v>
      </c>
      <c r="B7" s="511" t="s">
        <v>285</v>
      </c>
      <c r="C7" s="505">
        <v>41680</v>
      </c>
      <c r="D7" s="506" t="s">
        <v>286</v>
      </c>
      <c r="E7" s="506" t="s">
        <v>287</v>
      </c>
      <c r="F7" s="505" t="s">
        <v>281</v>
      </c>
      <c r="G7" s="454">
        <v>3.2</v>
      </c>
      <c r="H7" s="455">
        <v>3404425254</v>
      </c>
      <c r="I7" s="507" t="s">
        <v>343</v>
      </c>
      <c r="J7" s="502" t="s">
        <v>329</v>
      </c>
      <c r="K7" s="502" t="s">
        <v>335</v>
      </c>
      <c r="L7" s="502" t="s">
        <v>335</v>
      </c>
      <c r="M7" s="502" t="s">
        <v>416</v>
      </c>
      <c r="N7" s="502" t="s">
        <v>416</v>
      </c>
      <c r="O7" s="502" t="s">
        <v>416</v>
      </c>
      <c r="P7" s="502"/>
    </row>
    <row r="8" spans="1:16" x14ac:dyDescent="0.3">
      <c r="A8" s="493">
        <v>4</v>
      </c>
      <c r="B8" s="499" t="s">
        <v>288</v>
      </c>
      <c r="C8" s="499">
        <v>41691</v>
      </c>
      <c r="D8" s="512" t="s">
        <v>289</v>
      </c>
      <c r="E8" s="512" t="s">
        <v>290</v>
      </c>
      <c r="F8" s="499" t="s">
        <v>281</v>
      </c>
      <c r="G8" s="454">
        <v>4.4000000000000004</v>
      </c>
      <c r="H8" s="455">
        <v>3623796770</v>
      </c>
      <c r="I8" s="507" t="s">
        <v>342</v>
      </c>
      <c r="J8" s="502" t="s">
        <v>329</v>
      </c>
      <c r="K8" s="502" t="s">
        <v>336</v>
      </c>
      <c r="L8" s="502" t="s">
        <v>336</v>
      </c>
      <c r="M8" s="502" t="s">
        <v>417</v>
      </c>
      <c r="N8" s="502" t="s">
        <v>417</v>
      </c>
      <c r="O8" s="502" t="s">
        <v>417</v>
      </c>
      <c r="P8" s="502"/>
    </row>
    <row r="9" spans="1:16" x14ac:dyDescent="0.3">
      <c r="A9" s="493">
        <v>6</v>
      </c>
      <c r="B9" s="496" t="s">
        <v>291</v>
      </c>
      <c r="C9" s="513">
        <v>41718</v>
      </c>
      <c r="D9" s="496" t="s">
        <v>292</v>
      </c>
      <c r="E9" s="496" t="s">
        <v>293</v>
      </c>
      <c r="F9" s="499" t="s">
        <v>281</v>
      </c>
      <c r="G9" s="454">
        <v>6.6</v>
      </c>
      <c r="H9" s="455">
        <v>2416471062</v>
      </c>
      <c r="I9" s="507" t="s">
        <v>344</v>
      </c>
      <c r="J9" s="514" t="s">
        <v>330</v>
      </c>
      <c r="K9" s="502" t="s">
        <v>337</v>
      </c>
      <c r="L9" s="502" t="s">
        <v>337</v>
      </c>
      <c r="M9" s="502" t="s">
        <v>418</v>
      </c>
      <c r="N9" s="502" t="s">
        <v>418</v>
      </c>
      <c r="O9" s="502" t="s">
        <v>418</v>
      </c>
      <c r="P9" s="502"/>
    </row>
    <row r="10" spans="1:16" x14ac:dyDescent="0.3">
      <c r="A10" s="493">
        <v>7</v>
      </c>
      <c r="B10" s="496" t="s">
        <v>294</v>
      </c>
      <c r="C10" s="513">
        <v>41724</v>
      </c>
      <c r="D10" s="496" t="s">
        <v>295</v>
      </c>
      <c r="E10" s="496" t="s">
        <v>296</v>
      </c>
      <c r="F10" s="499" t="s">
        <v>281</v>
      </c>
      <c r="G10" s="454">
        <v>11</v>
      </c>
      <c r="H10" s="455">
        <v>2834941138</v>
      </c>
      <c r="I10" s="507" t="s">
        <v>340</v>
      </c>
      <c r="J10" s="502" t="s">
        <v>331</v>
      </c>
      <c r="K10" s="515" t="s">
        <v>338</v>
      </c>
      <c r="L10" s="515" t="s">
        <v>338</v>
      </c>
      <c r="M10" s="515" t="s">
        <v>419</v>
      </c>
      <c r="N10" s="515" t="s">
        <v>419</v>
      </c>
      <c r="O10" s="515" t="s">
        <v>419</v>
      </c>
      <c r="P10" s="515"/>
    </row>
    <row r="11" spans="1:16" x14ac:dyDescent="0.3">
      <c r="A11" s="493">
        <v>8</v>
      </c>
      <c r="B11" s="496" t="s">
        <v>403</v>
      </c>
      <c r="C11" s="513">
        <v>41757</v>
      </c>
      <c r="D11" s="496" t="s">
        <v>404</v>
      </c>
      <c r="E11" s="496" t="s">
        <v>405</v>
      </c>
      <c r="F11" s="499" t="s">
        <v>281</v>
      </c>
      <c r="G11" s="454">
        <v>4.4000000000000004</v>
      </c>
      <c r="H11" s="455">
        <v>2420023098</v>
      </c>
      <c r="I11" s="507" t="s">
        <v>406</v>
      </c>
      <c r="J11" s="502"/>
      <c r="K11" s="515"/>
      <c r="L11" s="515"/>
      <c r="M11" s="515" t="s">
        <v>420</v>
      </c>
      <c r="N11" s="515" t="s">
        <v>420</v>
      </c>
      <c r="O11" s="515" t="s">
        <v>420</v>
      </c>
      <c r="P11" s="515"/>
    </row>
    <row r="12" spans="1:16" x14ac:dyDescent="0.3">
      <c r="A12" s="493">
        <v>9</v>
      </c>
      <c r="B12" s="496" t="s">
        <v>408</v>
      </c>
      <c r="C12" s="513">
        <v>41829</v>
      </c>
      <c r="D12" s="496" t="s">
        <v>409</v>
      </c>
      <c r="E12" s="496" t="s">
        <v>410</v>
      </c>
      <c r="F12" s="499" t="s">
        <v>281</v>
      </c>
      <c r="G12" s="454">
        <v>4.4000000000000004</v>
      </c>
      <c r="H12" s="455">
        <v>3403903654</v>
      </c>
      <c r="I12" s="507" t="s">
        <v>411</v>
      </c>
      <c r="J12" s="502"/>
      <c r="K12" s="515"/>
      <c r="L12" s="515"/>
      <c r="M12" s="515" t="s">
        <v>421</v>
      </c>
      <c r="N12" s="515" t="s">
        <v>447</v>
      </c>
      <c r="O12" s="515" t="s">
        <v>447</v>
      </c>
      <c r="P12" s="515"/>
    </row>
    <row r="13" spans="1:16" x14ac:dyDescent="0.3">
      <c r="A13" s="493">
        <v>10</v>
      </c>
      <c r="B13" s="496" t="s">
        <v>430</v>
      </c>
      <c r="C13" s="497">
        <v>41888</v>
      </c>
      <c r="D13" s="498" t="s">
        <v>431</v>
      </c>
      <c r="E13" s="498" t="s">
        <v>432</v>
      </c>
      <c r="F13" s="499" t="s">
        <v>281</v>
      </c>
      <c r="G13" s="500">
        <v>6.6</v>
      </c>
      <c r="H13" s="501">
        <v>2835815442</v>
      </c>
      <c r="I13" s="502" t="s">
        <v>548</v>
      </c>
      <c r="J13" s="448"/>
      <c r="K13" s="448"/>
      <c r="L13" s="448"/>
      <c r="M13" s="448"/>
      <c r="N13" s="502" t="s">
        <v>448</v>
      </c>
      <c r="O13" s="502" t="s">
        <v>448</v>
      </c>
      <c r="P13" s="502"/>
    </row>
    <row r="14" spans="1:16" x14ac:dyDescent="0.3">
      <c r="A14" s="493">
        <v>11</v>
      </c>
      <c r="B14" s="496" t="s">
        <v>528</v>
      </c>
      <c r="C14" s="497">
        <v>41921</v>
      </c>
      <c r="D14" s="498" t="s">
        <v>531</v>
      </c>
      <c r="E14" s="498" t="s">
        <v>532</v>
      </c>
      <c r="F14" s="499" t="s">
        <v>281</v>
      </c>
      <c r="G14" s="500">
        <v>12.8</v>
      </c>
      <c r="H14" s="501">
        <v>3623817442</v>
      </c>
      <c r="I14" s="502" t="s">
        <v>549</v>
      </c>
      <c r="J14" s="448"/>
      <c r="K14" s="448"/>
      <c r="L14" s="448"/>
      <c r="M14" s="448"/>
      <c r="N14" s="448"/>
      <c r="O14" s="502" t="s">
        <v>549</v>
      </c>
      <c r="P14" s="502"/>
    </row>
    <row r="15" spans="1:16" x14ac:dyDescent="0.3">
      <c r="A15" s="493">
        <v>12</v>
      </c>
      <c r="B15" s="496" t="s">
        <v>529</v>
      </c>
      <c r="C15" s="497">
        <v>41935</v>
      </c>
      <c r="D15" s="498" t="s">
        <v>533</v>
      </c>
      <c r="E15" s="498" t="s">
        <v>534</v>
      </c>
      <c r="F15" s="499" t="s">
        <v>281</v>
      </c>
      <c r="G15" s="500">
        <v>6.6</v>
      </c>
      <c r="H15" s="501">
        <v>865153414</v>
      </c>
      <c r="I15" s="502" t="s">
        <v>550</v>
      </c>
      <c r="J15" s="448"/>
      <c r="K15" s="448"/>
      <c r="L15" s="448"/>
      <c r="M15" s="448"/>
      <c r="N15" s="448"/>
      <c r="O15" s="502" t="s">
        <v>550</v>
      </c>
      <c r="P15" s="502"/>
    </row>
    <row r="16" spans="1:16" x14ac:dyDescent="0.3">
      <c r="A16" s="493">
        <v>13</v>
      </c>
      <c r="B16" s="496" t="s">
        <v>530</v>
      </c>
      <c r="C16" s="497">
        <v>41936</v>
      </c>
      <c r="D16" s="498" t="s">
        <v>535</v>
      </c>
      <c r="E16" s="498" t="s">
        <v>536</v>
      </c>
      <c r="F16" s="499" t="s">
        <v>281</v>
      </c>
      <c r="G16" s="500">
        <v>4.4000000000000004</v>
      </c>
      <c r="H16" s="501">
        <v>2071974348</v>
      </c>
      <c r="I16" s="502" t="s">
        <v>551</v>
      </c>
      <c r="J16" s="448"/>
      <c r="K16" s="448"/>
      <c r="L16" s="448"/>
      <c r="M16" s="448"/>
      <c r="N16" s="448"/>
      <c r="O16" s="502" t="s">
        <v>551</v>
      </c>
      <c r="P16" s="502"/>
    </row>
    <row r="17" spans="1:16" x14ac:dyDescent="0.3">
      <c r="A17" s="493">
        <v>14</v>
      </c>
      <c r="B17" s="496" t="s">
        <v>537</v>
      </c>
      <c r="C17" s="497">
        <v>41968</v>
      </c>
      <c r="D17" s="498" t="s">
        <v>289</v>
      </c>
      <c r="E17" s="498" t="s">
        <v>541</v>
      </c>
      <c r="F17" s="499" t="s">
        <v>281</v>
      </c>
      <c r="G17" s="500">
        <v>4.4000000000000004</v>
      </c>
      <c r="H17" s="501">
        <v>3126195670</v>
      </c>
      <c r="I17" s="502" t="s">
        <v>552</v>
      </c>
      <c r="J17" s="448"/>
      <c r="K17" s="448"/>
      <c r="L17" s="448"/>
      <c r="M17" s="448"/>
      <c r="N17" s="448"/>
      <c r="O17" s="502" t="s">
        <v>552</v>
      </c>
      <c r="P17" s="502"/>
    </row>
    <row r="18" spans="1:16" x14ac:dyDescent="0.3">
      <c r="A18" s="493">
        <v>15</v>
      </c>
      <c r="B18" s="496" t="s">
        <v>538</v>
      </c>
      <c r="C18" s="497">
        <v>41968</v>
      </c>
      <c r="D18" s="498" t="s">
        <v>542</v>
      </c>
      <c r="E18" s="498" t="s">
        <v>543</v>
      </c>
      <c r="F18" s="499" t="s">
        <v>281</v>
      </c>
      <c r="G18" s="500">
        <v>6.6</v>
      </c>
      <c r="H18" s="501">
        <v>3565004038</v>
      </c>
      <c r="I18" s="502" t="s">
        <v>553</v>
      </c>
      <c r="J18" s="448"/>
      <c r="K18" s="448"/>
      <c r="L18" s="448"/>
      <c r="M18" s="448"/>
      <c r="N18" s="448"/>
      <c r="O18" s="502" t="s">
        <v>553</v>
      </c>
      <c r="P18" s="502"/>
    </row>
    <row r="19" spans="1:16" x14ac:dyDescent="0.3">
      <c r="A19" s="494">
        <v>16</v>
      </c>
      <c r="B19" s="495" t="s">
        <v>539</v>
      </c>
      <c r="C19" s="497">
        <v>41968</v>
      </c>
      <c r="D19" s="516" t="s">
        <v>544</v>
      </c>
      <c r="E19" s="516" t="s">
        <v>545</v>
      </c>
      <c r="F19" s="499" t="s">
        <v>281</v>
      </c>
      <c r="G19" s="448">
        <v>4.4000000000000004</v>
      </c>
      <c r="H19" s="448">
        <v>764114050</v>
      </c>
      <c r="I19" s="502" t="s">
        <v>554</v>
      </c>
      <c r="J19" s="448"/>
      <c r="K19" s="448"/>
      <c r="L19" s="448"/>
      <c r="M19" s="448"/>
      <c r="N19" s="448"/>
      <c r="O19" s="502" t="s">
        <v>554</v>
      </c>
      <c r="P19" s="502"/>
    </row>
    <row r="20" spans="1:16" x14ac:dyDescent="0.3">
      <c r="A20" s="494">
        <v>17</v>
      </c>
      <c r="B20" s="495" t="s">
        <v>540</v>
      </c>
      <c r="C20" s="497">
        <v>41969</v>
      </c>
      <c r="D20" s="516" t="s">
        <v>546</v>
      </c>
      <c r="E20" s="516" t="s">
        <v>547</v>
      </c>
      <c r="F20" s="499" t="s">
        <v>281</v>
      </c>
      <c r="G20" s="448">
        <v>8.8000000000000007</v>
      </c>
      <c r="H20" s="448">
        <v>764275442</v>
      </c>
      <c r="I20" s="502" t="s">
        <v>555</v>
      </c>
      <c r="J20" s="448"/>
      <c r="K20" s="448"/>
      <c r="L20" s="448"/>
      <c r="M20" s="448"/>
      <c r="N20" s="448"/>
      <c r="O20" s="502" t="s">
        <v>555</v>
      </c>
      <c r="P20" s="502"/>
    </row>
  </sheetData>
  <mergeCells count="10">
    <mergeCell ref="J3:P3"/>
    <mergeCell ref="G3:G4"/>
    <mergeCell ref="H3:H4"/>
    <mergeCell ref="I3:I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Y66"/>
  <sheetViews>
    <sheetView zoomScaleNormal="100" workbookViewId="0">
      <pane xSplit="4" ySplit="4" topLeftCell="M5" activePane="bottomRight" state="frozen"/>
      <selection pane="topRight" activeCell="E1" sqref="E1"/>
      <selection pane="bottomLeft" activeCell="A5" sqref="A5"/>
      <selection pane="bottomRight" activeCell="N15" sqref="N15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47" style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10937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2.109375" style="1" customWidth="1"/>
    <col min="16" max="16" width="11.6640625" style="1" hidden="1" customWidth="1" outlineLevel="1"/>
    <col min="17" max="17" width="12.33203125" style="1" bestFit="1" customWidth="1" collapsed="1"/>
    <col min="18" max="19" width="12.33203125" style="1" customWidth="1"/>
    <col min="20" max="20" width="11.33203125" style="1" customWidth="1" outlineLevel="1"/>
    <col min="21" max="21" width="3.109375" style="1" customWidth="1"/>
    <col min="22" max="22" width="5.109375" style="1" customWidth="1"/>
    <col min="23" max="23" width="13.33203125" style="2" customWidth="1"/>
    <col min="24" max="24" width="9.88671875" style="1" bestFit="1" customWidth="1"/>
    <col min="25" max="16384" width="8.88671875" style="1"/>
  </cols>
  <sheetData>
    <row r="1" spans="1:23" ht="15.6" customHeight="1" x14ac:dyDescent="0.3">
      <c r="A1" s="40" t="s">
        <v>452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"/>
    </row>
    <row r="2" spans="1:23" ht="18" customHeight="1" x14ac:dyDescent="0.25">
      <c r="A2" s="198" t="s">
        <v>168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9"/>
      <c r="R2" s="2"/>
      <c r="S2" s="2"/>
    </row>
    <row r="3" spans="1:23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3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7"/>
      <c r="R4" s="597"/>
      <c r="S4" s="597"/>
      <c r="T4" s="597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90737.139634703184</v>
      </c>
      <c r="F5" s="187">
        <f t="shared" si="0"/>
        <v>1981385.1972602548</v>
      </c>
      <c r="G5" s="82">
        <f t="shared" si="0"/>
        <v>279345.63045662112</v>
      </c>
      <c r="H5" s="82">
        <f t="shared" si="0"/>
        <v>46576.200000000004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29671.945707762548</v>
      </c>
      <c r="N5" s="192">
        <f>+N6+N18+N44</f>
        <v>10053.736666666666</v>
      </c>
      <c r="O5" s="42">
        <f>+O6+O18+O44</f>
        <v>220997.02134201088</v>
      </c>
      <c r="P5" s="42">
        <f>+P6+P18+P44</f>
        <v>0</v>
      </c>
      <c r="Q5" s="42">
        <f t="shared" ref="Q5:Q10" si="1">+SUM(E5:P5)</f>
        <v>2658766.8710680194</v>
      </c>
      <c r="R5" s="42">
        <f>+R6+R18+R44</f>
        <v>2439235.6615302935</v>
      </c>
      <c r="S5" s="42">
        <f>+S6+S18+S44</f>
        <v>219531.20953772648</v>
      </c>
      <c r="T5" s="44">
        <f>+T6+T18+T44</f>
        <v>49541.973510940115</v>
      </c>
      <c r="U5" s="71"/>
      <c r="V5" s="87"/>
      <c r="W5" s="135">
        <f>+W7+W18+W44</f>
        <v>2155401.8168592867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42">
        <f>+O7+O11</f>
        <v>0</v>
      </c>
      <c r="P6" s="42">
        <f>+P7+P11</f>
        <v>0</v>
      </c>
      <c r="Q6" s="42">
        <f t="shared" si="1"/>
        <v>0</v>
      </c>
      <c r="R6" s="42">
        <f>+R7+R11</f>
        <v>0</v>
      </c>
      <c r="S6" s="42">
        <f>+S7+S11</f>
        <v>0</v>
      </c>
      <c r="T6" s="44">
        <f>+T7+T11</f>
        <v>0</v>
      </c>
      <c r="V6" s="61"/>
      <c r="W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354">
        <f t="shared" si="4"/>
        <v>0</v>
      </c>
      <c r="P7" s="354">
        <f t="shared" si="4"/>
        <v>0</v>
      </c>
      <c r="Q7" s="43">
        <f t="shared" si="1"/>
        <v>0</v>
      </c>
      <c r="R7" s="354">
        <f t="shared" si="4"/>
        <v>0</v>
      </c>
      <c r="S7" s="354">
        <f t="shared" si="4"/>
        <v>0</v>
      </c>
      <c r="T7" s="240">
        <f t="shared" si="4"/>
        <v>0</v>
      </c>
      <c r="U7" s="71"/>
      <c r="V7" s="134"/>
      <c r="W7" s="105">
        <f>+SUM(W8:W17)</f>
        <v>0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64"/>
      <c r="Q8" s="24">
        <f t="shared" si="1"/>
        <v>0</v>
      </c>
      <c r="R8" s="127">
        <f t="shared" ref="R8:R53" si="5">+Q8/1.09</f>
        <v>0</v>
      </c>
      <c r="S8" s="24">
        <f t="shared" ref="S8:S17" si="6">+Q8-R8</f>
        <v>0</v>
      </c>
      <c r="T8" s="94">
        <f>+Q8/D8</f>
        <v>0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64"/>
      <c r="Q9" s="24">
        <f t="shared" si="1"/>
        <v>0</v>
      </c>
      <c r="R9" s="127">
        <f t="shared" si="5"/>
        <v>0</v>
      </c>
      <c r="S9" s="26">
        <f t="shared" si="6"/>
        <v>0</v>
      </c>
      <c r="T9" s="94">
        <f>+Q9/D9</f>
        <v>0</v>
      </c>
      <c r="U9" s="71"/>
      <c r="V9" s="61">
        <v>1.75</v>
      </c>
      <c r="W9" s="13">
        <f>+T9*V9</f>
        <v>0</v>
      </c>
    </row>
    <row r="10" spans="1:23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44"/>
      <c r="P10" s="350"/>
      <c r="Q10" s="24">
        <f t="shared" si="1"/>
        <v>0</v>
      </c>
      <c r="R10" s="26">
        <f t="shared" si="5"/>
        <v>0</v>
      </c>
      <c r="S10" s="26">
        <f t="shared" si="6"/>
        <v>0</v>
      </c>
      <c r="T10" s="39">
        <f>Q10/D10</f>
        <v>0</v>
      </c>
      <c r="U10" s="71"/>
      <c r="V10" s="107">
        <v>2.8</v>
      </c>
      <c r="W10" s="13">
        <f>+T10*V10</f>
        <v>0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" si="9">+SUM(N12:N17)</f>
        <v>0</v>
      </c>
      <c r="O11" s="101">
        <f t="shared" si="8"/>
        <v>0</v>
      </c>
      <c r="P11" s="101">
        <f t="shared" si="8"/>
        <v>0</v>
      </c>
      <c r="Q11" s="43">
        <f t="shared" si="8"/>
        <v>0</v>
      </c>
      <c r="R11" s="72">
        <f t="shared" si="8"/>
        <v>0</v>
      </c>
      <c r="S11" s="43">
        <f t="shared" si="8"/>
        <v>0</v>
      </c>
      <c r="T11" s="45">
        <f t="shared" si="8"/>
        <v>0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64"/>
      <c r="Q12" s="24">
        <f t="shared" ref="Q12:Q17" si="10">+SUM(E12:P12)</f>
        <v>0</v>
      </c>
      <c r="R12" s="127">
        <f t="shared" si="5"/>
        <v>0</v>
      </c>
      <c r="S12" s="5">
        <f t="shared" si="6"/>
        <v>0</v>
      </c>
      <c r="T12" s="94">
        <f t="shared" ref="T12:T17" si="11">+Q12/D12</f>
        <v>0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64"/>
      <c r="Q13" s="24">
        <f t="shared" si="10"/>
        <v>0</v>
      </c>
      <c r="R13" s="127">
        <f t="shared" si="5"/>
        <v>0</v>
      </c>
      <c r="S13" s="5">
        <f t="shared" si="6"/>
        <v>0</v>
      </c>
      <c r="T13" s="94">
        <f t="shared" si="11"/>
        <v>0</v>
      </c>
      <c r="U13" s="71"/>
      <c r="V13" s="107">
        <v>1.1000000000000001</v>
      </c>
      <c r="W13" s="13">
        <f t="shared" ref="W13:W14" si="12">+T13*V13</f>
        <v>0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64"/>
      <c r="Q14" s="24">
        <f t="shared" si="10"/>
        <v>0</v>
      </c>
      <c r="R14" s="127">
        <f t="shared" si="5"/>
        <v>0</v>
      </c>
      <c r="S14" s="5">
        <f t="shared" si="6"/>
        <v>0</v>
      </c>
      <c r="T14" s="94">
        <f t="shared" si="11"/>
        <v>0</v>
      </c>
      <c r="U14" s="71"/>
      <c r="V14" s="61">
        <v>1.76</v>
      </c>
      <c r="W14" s="13">
        <f t="shared" si="12"/>
        <v>0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64"/>
      <c r="Q15" s="24">
        <f t="shared" si="10"/>
        <v>0</v>
      </c>
      <c r="R15" s="127">
        <f t="shared" si="5"/>
        <v>0</v>
      </c>
      <c r="S15" s="5">
        <f t="shared" si="6"/>
        <v>0</v>
      </c>
      <c r="T15" s="94">
        <f t="shared" si="11"/>
        <v>0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64"/>
      <c r="Q16" s="24">
        <f t="shared" si="10"/>
        <v>0</v>
      </c>
      <c r="R16" s="127">
        <f t="shared" si="5"/>
        <v>0</v>
      </c>
      <c r="S16" s="5">
        <f t="shared" si="6"/>
        <v>0</v>
      </c>
      <c r="T16" s="94">
        <f t="shared" si="11"/>
        <v>0</v>
      </c>
      <c r="U16" s="71"/>
      <c r="V16" s="61">
        <v>1.6</v>
      </c>
      <c r="W16" s="13">
        <f t="shared" ref="W16:W17" si="13">+T16*V16</f>
        <v>0</v>
      </c>
    </row>
    <row r="17" spans="1:25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64"/>
      <c r="Q17" s="24">
        <f t="shared" si="10"/>
        <v>0</v>
      </c>
      <c r="R17" s="127">
        <f t="shared" si="5"/>
        <v>0</v>
      </c>
      <c r="S17" s="5">
        <f t="shared" si="6"/>
        <v>0</v>
      </c>
      <c r="T17" s="94">
        <f t="shared" si="11"/>
        <v>0</v>
      </c>
      <c r="U17" s="71"/>
      <c r="V17" s="61">
        <v>2.56</v>
      </c>
      <c r="W17" s="13">
        <f t="shared" si="13"/>
        <v>0</v>
      </c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89865.749634703185</v>
      </c>
      <c r="F18" s="231">
        <f t="shared" ref="F18:P18" si="14">+SUM(F19:F43)</f>
        <v>1967581.2672602548</v>
      </c>
      <c r="G18" s="231">
        <f t="shared" si="14"/>
        <v>277513.00045662111</v>
      </c>
      <c r="H18" s="231">
        <f t="shared" si="14"/>
        <v>46323.66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29503.02570776255</v>
      </c>
      <c r="N18" s="231">
        <f t="shared" si="14"/>
        <v>9699.0666666666657</v>
      </c>
      <c r="O18" s="238">
        <f t="shared" si="14"/>
        <v>219310.73134201087</v>
      </c>
      <c r="P18" s="238">
        <f t="shared" si="14"/>
        <v>0</v>
      </c>
      <c r="Q18" s="42">
        <f>+SUM(Q19:Q43)</f>
        <v>2639796.5010680193</v>
      </c>
      <c r="R18" s="42">
        <f t="shared" ref="R18:T18" si="15">+SUM(R19:R43)</f>
        <v>2421831.6523559815</v>
      </c>
      <c r="S18" s="42">
        <f t="shared" si="15"/>
        <v>217964.84871203839</v>
      </c>
      <c r="T18" s="42">
        <f t="shared" si="15"/>
        <v>48823.940177606783</v>
      </c>
      <c r="U18" s="71"/>
      <c r="V18" s="61"/>
      <c r="W18" s="105">
        <f>+SUM(W19:W42)</f>
        <v>2147619.4868592867</v>
      </c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50289.999999999978</v>
      </c>
      <c r="F19" s="127">
        <v>1144916.6666666449</v>
      </c>
      <c r="G19" s="127">
        <v>158326.66666666674</v>
      </c>
      <c r="H19" s="127">
        <v>23593.33</v>
      </c>
      <c r="I19" s="127"/>
      <c r="J19" s="127"/>
      <c r="K19" s="127"/>
      <c r="L19" s="127"/>
      <c r="M19" s="127">
        <v>16663.333333333332</v>
      </c>
      <c r="N19" s="127">
        <v>5946.6666666666661</v>
      </c>
      <c r="O19" s="423">
        <f>110533.336423035-8433.34</f>
        <v>102099.996423035</v>
      </c>
      <c r="P19" s="164"/>
      <c r="Q19" s="24">
        <f t="shared" ref="Q19:Q43" si="16">+SUM(E19:P19)</f>
        <v>1501836.6597563466</v>
      </c>
      <c r="R19" s="127">
        <f t="shared" si="5"/>
        <v>1377831.7979416023</v>
      </c>
      <c r="S19" s="24">
        <f>+Q19-R19</f>
        <v>124004.8618147443</v>
      </c>
      <c r="T19" s="94">
        <f t="shared" ref="T19:T43" si="17">+Q19/D19</f>
        <v>15018.366597563467</v>
      </c>
      <c r="U19" s="71"/>
      <c r="V19" s="61"/>
      <c r="W19" s="106"/>
      <c r="X19" s="2"/>
      <c r="Y19" s="2"/>
    </row>
    <row r="20" spans="1:25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9826.6666666666679</v>
      </c>
      <c r="F20" s="127">
        <v>328970.0000000032</v>
      </c>
      <c r="G20" s="127">
        <v>44011.666666666701</v>
      </c>
      <c r="H20" s="127">
        <v>8383.33</v>
      </c>
      <c r="I20" s="127"/>
      <c r="J20" s="127"/>
      <c r="K20" s="127"/>
      <c r="L20" s="127"/>
      <c r="M20" s="127">
        <v>6388.3333333333321</v>
      </c>
      <c r="N20" s="127">
        <v>206.66666666666666</v>
      </c>
      <c r="O20" s="127">
        <v>6271.6668507385257</v>
      </c>
      <c r="P20" s="164"/>
      <c r="Q20" s="24">
        <f t="shared" si="16"/>
        <v>404058.33018407511</v>
      </c>
      <c r="R20" s="127">
        <f t="shared" si="5"/>
        <v>370695.71576520649</v>
      </c>
      <c r="S20" s="5">
        <f t="shared" ref="S20:S43" si="18">+Q20-R20</f>
        <v>33362.614418868616</v>
      </c>
      <c r="T20" s="94">
        <f t="shared" si="17"/>
        <v>8081.1666036815022</v>
      </c>
      <c r="U20" s="71"/>
      <c r="V20" s="61">
        <v>50</v>
      </c>
      <c r="W20" s="13">
        <f t="shared" ref="W20:W21" si="19">+T20*V20</f>
        <v>404058.33018407511</v>
      </c>
      <c r="X20" s="2"/>
      <c r="Y20" s="2"/>
    </row>
    <row r="21" spans="1:25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18678</v>
      </c>
      <c r="F21" s="127">
        <v>294537.33</v>
      </c>
      <c r="G21" s="127">
        <v>44365.33</v>
      </c>
      <c r="H21" s="127">
        <v>4854</v>
      </c>
      <c r="I21" s="13"/>
      <c r="J21" s="127"/>
      <c r="K21" s="127"/>
      <c r="L21" s="127"/>
      <c r="M21" s="127">
        <v>3284.67</v>
      </c>
      <c r="N21" s="127">
        <v>2353.3333333333335</v>
      </c>
      <c r="O21" s="127">
        <v>38342</v>
      </c>
      <c r="P21" s="164"/>
      <c r="Q21" s="24">
        <f t="shared" si="16"/>
        <v>406414.66333333333</v>
      </c>
      <c r="R21" s="127">
        <f t="shared" si="5"/>
        <v>372857.48929663608</v>
      </c>
      <c r="S21" s="5">
        <f t="shared" si="18"/>
        <v>33557.174036697252</v>
      </c>
      <c r="T21" s="94">
        <f t="shared" si="17"/>
        <v>20320.733166666665</v>
      </c>
      <c r="U21" s="71"/>
      <c r="V21" s="61">
        <v>80</v>
      </c>
      <c r="W21" s="13">
        <f t="shared" si="19"/>
        <v>1625658.6533333333</v>
      </c>
      <c r="X21" s="2"/>
      <c r="Y21" s="2"/>
    </row>
    <row r="22" spans="1:25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8889</v>
      </c>
      <c r="F22" s="127">
        <v>160347</v>
      </c>
      <c r="G22" s="127">
        <v>25818</v>
      </c>
      <c r="H22" s="127">
        <v>4911</v>
      </c>
      <c r="I22" s="96"/>
      <c r="J22" s="127"/>
      <c r="K22" s="127"/>
      <c r="L22" s="127"/>
      <c r="M22" s="127">
        <v>2574</v>
      </c>
      <c r="N22" s="127">
        <v>942</v>
      </c>
      <c r="O22" s="423">
        <f>48948-570</f>
        <v>48378</v>
      </c>
      <c r="P22" s="164"/>
      <c r="Q22" s="24">
        <f t="shared" si="16"/>
        <v>251859</v>
      </c>
      <c r="R22" s="127">
        <f t="shared" si="5"/>
        <v>231063.30275229356</v>
      </c>
      <c r="S22" s="5">
        <f t="shared" si="18"/>
        <v>20795.697247706441</v>
      </c>
      <c r="T22" s="94">
        <f t="shared" si="17"/>
        <v>2798.4333333333334</v>
      </c>
      <c r="U22" s="71"/>
      <c r="V22" s="61"/>
      <c r="W22" s="13"/>
      <c r="X22" s="2"/>
      <c r="Y22" s="2"/>
    </row>
    <row r="23" spans="1:25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v>295.5</v>
      </c>
      <c r="F23" s="127">
        <v>9109.5</v>
      </c>
      <c r="G23" s="127">
        <v>1654.5</v>
      </c>
      <c r="H23" s="127">
        <v>309</v>
      </c>
      <c r="I23" s="127"/>
      <c r="J23" s="127"/>
      <c r="K23" s="127"/>
      <c r="L23" s="127"/>
      <c r="M23" s="127">
        <v>187.5</v>
      </c>
      <c r="N23" s="127">
        <v>0</v>
      </c>
      <c r="O23" s="127">
        <v>1732.5</v>
      </c>
      <c r="P23" s="164"/>
      <c r="Q23" s="24">
        <f t="shared" si="16"/>
        <v>13288.5</v>
      </c>
      <c r="R23" s="127">
        <f t="shared" si="5"/>
        <v>12191.284403669724</v>
      </c>
      <c r="S23" s="5">
        <f t="shared" si="18"/>
        <v>1097.2155963302757</v>
      </c>
      <c r="T23" s="94">
        <f t="shared" si="17"/>
        <v>295.3</v>
      </c>
      <c r="U23" s="71"/>
      <c r="V23" s="61">
        <v>45</v>
      </c>
      <c r="W23" s="13">
        <f t="shared" ref="W23:W24" si="20">+T23*V23</f>
        <v>13288.5</v>
      </c>
      <c r="X23" s="2"/>
      <c r="Y23" s="2"/>
    </row>
    <row r="24" spans="1:25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570.6</v>
      </c>
      <c r="F24" s="127">
        <v>3703.2</v>
      </c>
      <c r="G24" s="127">
        <v>686.4</v>
      </c>
      <c r="H24" s="127">
        <v>248.4</v>
      </c>
      <c r="I24" s="127"/>
      <c r="J24" s="127"/>
      <c r="K24" s="127"/>
      <c r="L24" s="127"/>
      <c r="M24" s="127">
        <v>177</v>
      </c>
      <c r="N24" s="127">
        <v>74.399999999999977</v>
      </c>
      <c r="O24" s="127">
        <v>1911</v>
      </c>
      <c r="P24" s="164"/>
      <c r="Q24" s="24">
        <f t="shared" si="16"/>
        <v>7370.9999999999991</v>
      </c>
      <c r="R24" s="127">
        <f t="shared" si="5"/>
        <v>6762.3853211009164</v>
      </c>
      <c r="S24" s="5">
        <f t="shared" si="18"/>
        <v>608.61467889908272</v>
      </c>
      <c r="T24" s="94">
        <f t="shared" si="17"/>
        <v>409.49999999999994</v>
      </c>
      <c r="U24" s="71"/>
      <c r="V24" s="61">
        <v>72</v>
      </c>
      <c r="W24" s="13">
        <f t="shared" si="20"/>
        <v>29483.999999999996</v>
      </c>
      <c r="X24" s="2"/>
      <c r="Y24" s="2"/>
    </row>
    <row r="25" spans="1:25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146.66666666666666</v>
      </c>
      <c r="F25" s="127">
        <v>2753.3333333333339</v>
      </c>
      <c r="G25" s="127">
        <v>76.666666666666657</v>
      </c>
      <c r="H25" s="127">
        <v>43.33</v>
      </c>
      <c r="I25" s="127"/>
      <c r="J25" s="127"/>
      <c r="K25" s="127"/>
      <c r="L25" s="127"/>
      <c r="M25" s="127">
        <v>100</v>
      </c>
      <c r="N25" s="127">
        <v>0</v>
      </c>
      <c r="O25" s="127">
        <v>4366.6666900634764</v>
      </c>
      <c r="P25" s="164"/>
      <c r="Q25" s="24">
        <f t="shared" si="16"/>
        <v>7486.6633567301433</v>
      </c>
      <c r="R25" s="127">
        <f t="shared" si="5"/>
        <v>6868.4984924129749</v>
      </c>
      <c r="S25" s="5">
        <f t="shared" si="18"/>
        <v>618.16486431716839</v>
      </c>
      <c r="T25" s="94">
        <f t="shared" si="17"/>
        <v>24.955544522433811</v>
      </c>
      <c r="U25" s="71"/>
      <c r="V25" s="61"/>
      <c r="W25" s="13"/>
    </row>
    <row r="26" spans="1:25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v>50</v>
      </c>
      <c r="F26" s="127">
        <v>3110.0000000000005</v>
      </c>
      <c r="G26" s="127">
        <v>188.33333333333331</v>
      </c>
      <c r="H26" s="127">
        <f>200+140</f>
        <v>340</v>
      </c>
      <c r="I26" s="127"/>
      <c r="J26" s="127"/>
      <c r="K26" s="127"/>
      <c r="L26" s="127"/>
      <c r="M26" s="127"/>
      <c r="N26" s="127">
        <v>0</v>
      </c>
      <c r="O26" s="127">
        <v>556.66667358398433</v>
      </c>
      <c r="P26" s="164"/>
      <c r="Q26" s="24">
        <f t="shared" si="16"/>
        <v>4245.0000069173184</v>
      </c>
      <c r="R26" s="127">
        <f t="shared" si="5"/>
        <v>3894.4954191902002</v>
      </c>
      <c r="S26" s="5">
        <f t="shared" si="18"/>
        <v>350.50458772711818</v>
      </c>
      <c r="T26" s="94">
        <f t="shared" si="17"/>
        <v>28.300000046115457</v>
      </c>
      <c r="U26" s="71"/>
      <c r="V26" s="61">
        <v>150</v>
      </c>
      <c r="W26" s="13">
        <f t="shared" ref="W26:W42" si="21">+T26*V26</f>
        <v>4245.0000069173184</v>
      </c>
    </row>
    <row r="27" spans="1:2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329.33</v>
      </c>
      <c r="F27" s="127">
        <v>5268.67</v>
      </c>
      <c r="G27" s="127">
        <v>492.67</v>
      </c>
      <c r="H27" s="127">
        <f>380+0.67+19.33</f>
        <v>400</v>
      </c>
      <c r="I27" s="127"/>
      <c r="J27" s="127"/>
      <c r="K27" s="127"/>
      <c r="L27" s="127"/>
      <c r="M27" s="127">
        <v>40.000000000000007</v>
      </c>
      <c r="N27" s="127">
        <v>140</v>
      </c>
      <c r="O27" s="127">
        <v>5844.67</v>
      </c>
      <c r="P27" s="164"/>
      <c r="Q27" s="24">
        <f t="shared" si="16"/>
        <v>12515.34</v>
      </c>
      <c r="R27" s="127">
        <f t="shared" si="5"/>
        <v>11481.963302752292</v>
      </c>
      <c r="S27" s="5">
        <f t="shared" si="18"/>
        <v>1033.3766972477079</v>
      </c>
      <c r="T27" s="94">
        <f t="shared" si="17"/>
        <v>208.589</v>
      </c>
      <c r="U27" s="71"/>
      <c r="V27" s="61">
        <v>240</v>
      </c>
      <c r="W27" s="13">
        <f t="shared" si="21"/>
        <v>50061.36</v>
      </c>
    </row>
    <row r="28" spans="1:25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828</v>
      </c>
      <c r="G28" s="127"/>
      <c r="H28" s="127">
        <f>90+180</f>
        <v>270</v>
      </c>
      <c r="I28" s="127"/>
      <c r="J28" s="127"/>
      <c r="K28" s="127"/>
      <c r="L28" s="127"/>
      <c r="M28" s="127"/>
      <c r="N28" s="127">
        <v>0</v>
      </c>
      <c r="O28" s="127">
        <v>5721</v>
      </c>
      <c r="P28" s="164"/>
      <c r="Q28" s="24">
        <f t="shared" si="16"/>
        <v>6819</v>
      </c>
      <c r="R28" s="127">
        <f t="shared" si="5"/>
        <v>6255.9633027522932</v>
      </c>
      <c r="S28" s="5">
        <f t="shared" si="18"/>
        <v>563.0366972477068</v>
      </c>
      <c r="T28" s="94">
        <f t="shared" si="17"/>
        <v>25.255555555555556</v>
      </c>
      <c r="U28" s="71"/>
      <c r="V28" s="61"/>
      <c r="W28" s="13"/>
    </row>
    <row r="29" spans="1:25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/>
      <c r="F29" s="127">
        <v>85.5</v>
      </c>
      <c r="G29" s="127"/>
      <c r="H29" s="127">
        <v>90</v>
      </c>
      <c r="I29" s="127"/>
      <c r="J29" s="127"/>
      <c r="K29" s="127"/>
      <c r="L29" s="127"/>
      <c r="M29" s="127"/>
      <c r="N29" s="127">
        <v>0</v>
      </c>
      <c r="O29" s="127"/>
      <c r="P29" s="164"/>
      <c r="Q29" s="24">
        <f t="shared" si="16"/>
        <v>175.5</v>
      </c>
      <c r="R29" s="127">
        <f t="shared" si="5"/>
        <v>161.00917431192659</v>
      </c>
      <c r="S29" s="5">
        <f t="shared" si="18"/>
        <v>14.490825688073414</v>
      </c>
      <c r="T29" s="94">
        <f t="shared" si="17"/>
        <v>1.3</v>
      </c>
      <c r="U29" s="71"/>
      <c r="V29" s="61">
        <v>135</v>
      </c>
      <c r="W29" s="13">
        <f t="shared" si="21"/>
        <v>175.5</v>
      </c>
    </row>
    <row r="30" spans="1:25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/>
      <c r="F30" s="127">
        <v>90</v>
      </c>
      <c r="G30" s="127">
        <v>54</v>
      </c>
      <c r="H30" s="127">
        <v>18</v>
      </c>
      <c r="I30" s="127"/>
      <c r="J30" s="127"/>
      <c r="K30" s="127"/>
      <c r="L30" s="127"/>
      <c r="M30" s="127">
        <v>18.600000000000001</v>
      </c>
      <c r="N30" s="127">
        <v>18</v>
      </c>
      <c r="O30" s="127">
        <v>429.6</v>
      </c>
      <c r="P30" s="164"/>
      <c r="Q30" s="24">
        <f t="shared" si="16"/>
        <v>628.20000000000005</v>
      </c>
      <c r="R30" s="127">
        <f t="shared" si="5"/>
        <v>576.33027522935777</v>
      </c>
      <c r="S30" s="5">
        <f t="shared" si="18"/>
        <v>51.869724770642279</v>
      </c>
      <c r="T30" s="94">
        <f t="shared" si="17"/>
        <v>11.633333333333335</v>
      </c>
      <c r="U30" s="71"/>
      <c r="V30" s="61">
        <v>216</v>
      </c>
      <c r="W30" s="13">
        <f t="shared" si="21"/>
        <v>2512.8000000000002</v>
      </c>
    </row>
    <row r="31" spans="1:2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100</v>
      </c>
      <c r="F31" s="127">
        <v>200</v>
      </c>
      <c r="G31" s="127"/>
      <c r="H31" s="127">
        <v>100</v>
      </c>
      <c r="I31" s="127"/>
      <c r="J31" s="127"/>
      <c r="K31" s="127"/>
      <c r="L31" s="127"/>
      <c r="M31" s="127"/>
      <c r="N31" s="127">
        <v>0</v>
      </c>
      <c r="O31" s="127">
        <v>100</v>
      </c>
      <c r="P31" s="164"/>
      <c r="Q31" s="24">
        <f t="shared" si="16"/>
        <v>500</v>
      </c>
      <c r="R31" s="127">
        <f t="shared" si="5"/>
        <v>458.71559633027522</v>
      </c>
      <c r="S31" s="5">
        <f t="shared" si="18"/>
        <v>41.284403669724782</v>
      </c>
      <c r="T31" s="94">
        <f t="shared" si="17"/>
        <v>0.83333333333333337</v>
      </c>
      <c r="U31" s="71"/>
      <c r="V31" s="61"/>
      <c r="W31" s="13"/>
    </row>
    <row r="32" spans="1:2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390</v>
      </c>
      <c r="G32" s="127">
        <v>150</v>
      </c>
      <c r="H32" s="127">
        <f>50+38.33+50+150</f>
        <v>288.33</v>
      </c>
      <c r="I32" s="127"/>
      <c r="J32" s="127"/>
      <c r="K32" s="127"/>
      <c r="L32" s="127"/>
      <c r="M32" s="127"/>
      <c r="N32" s="127">
        <v>0</v>
      </c>
      <c r="O32" s="127">
        <v>93.333334960937506</v>
      </c>
      <c r="P32" s="164"/>
      <c r="Q32" s="24">
        <f t="shared" si="16"/>
        <v>921.66333496093739</v>
      </c>
      <c r="R32" s="127">
        <f t="shared" si="5"/>
        <v>845.56269262471312</v>
      </c>
      <c r="S32" s="5">
        <f t="shared" si="18"/>
        <v>76.100642336224269</v>
      </c>
      <c r="T32" s="94">
        <f t="shared" si="17"/>
        <v>3.0722111165364581</v>
      </c>
      <c r="U32" s="71"/>
      <c r="V32" s="61">
        <v>300</v>
      </c>
      <c r="W32" s="13">
        <f t="shared" si="21"/>
        <v>921.66333496093739</v>
      </c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80</v>
      </c>
      <c r="F33" s="127">
        <v>698.67</v>
      </c>
      <c r="G33" s="127">
        <v>60.000000000000007</v>
      </c>
      <c r="H33" s="127">
        <v>20</v>
      </c>
      <c r="I33" s="127"/>
      <c r="J33" s="127"/>
      <c r="K33" s="127"/>
      <c r="L33" s="127"/>
      <c r="M33" s="127">
        <v>20.000000000000004</v>
      </c>
      <c r="N33" s="127">
        <v>0</v>
      </c>
      <c r="O33" s="127">
        <v>969.33</v>
      </c>
      <c r="P33" s="164"/>
      <c r="Q33" s="24">
        <f t="shared" si="16"/>
        <v>1848</v>
      </c>
      <c r="R33" s="127">
        <f t="shared" si="5"/>
        <v>1695.4128440366972</v>
      </c>
      <c r="S33" s="5">
        <f t="shared" si="18"/>
        <v>152.58715596330285</v>
      </c>
      <c r="T33" s="94">
        <f t="shared" si="17"/>
        <v>15.4</v>
      </c>
      <c r="U33" s="71"/>
      <c r="V33" s="61">
        <v>480</v>
      </c>
      <c r="W33" s="13">
        <f t="shared" si="21"/>
        <v>7392</v>
      </c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0</v>
      </c>
      <c r="O34" s="127">
        <v>378</v>
      </c>
      <c r="P34" s="164"/>
      <c r="Q34" s="24">
        <f t="shared" si="16"/>
        <v>378</v>
      </c>
      <c r="R34" s="127">
        <f t="shared" si="5"/>
        <v>346.78899082568807</v>
      </c>
      <c r="S34" s="5">
        <f t="shared" si="18"/>
        <v>31.211009174311926</v>
      </c>
      <c r="T34" s="94">
        <f t="shared" si="17"/>
        <v>0.7</v>
      </c>
      <c r="U34" s="71"/>
      <c r="V34" s="61"/>
      <c r="W34" s="13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>
        <v>0</v>
      </c>
      <c r="O35" s="127"/>
      <c r="P35" s="164"/>
      <c r="Q35" s="24">
        <f t="shared" si="16"/>
        <v>0</v>
      </c>
      <c r="R35" s="127">
        <f t="shared" si="5"/>
        <v>0</v>
      </c>
      <c r="S35" s="5">
        <f t="shared" si="18"/>
        <v>0</v>
      </c>
      <c r="T35" s="94">
        <f t="shared" si="17"/>
        <v>0</v>
      </c>
      <c r="U35" s="71"/>
      <c r="V35" s="61">
        <v>270</v>
      </c>
      <c r="W35" s="13">
        <f t="shared" si="21"/>
        <v>0</v>
      </c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/>
      <c r="F36" s="127"/>
      <c r="G36" s="127"/>
      <c r="H36" s="127"/>
      <c r="I36" s="127"/>
      <c r="J36" s="127"/>
      <c r="K36" s="127"/>
      <c r="L36" s="127"/>
      <c r="M36" s="127"/>
      <c r="N36" s="127">
        <v>0</v>
      </c>
      <c r="O36" s="127">
        <v>36</v>
      </c>
      <c r="P36" s="164"/>
      <c r="Q36" s="24">
        <f t="shared" si="16"/>
        <v>36</v>
      </c>
      <c r="R36" s="127">
        <f t="shared" si="5"/>
        <v>33.027522935779814</v>
      </c>
      <c r="S36" s="5">
        <f t="shared" si="18"/>
        <v>2.9724770642201861</v>
      </c>
      <c r="T36" s="94">
        <f t="shared" si="17"/>
        <v>0.33333333333333331</v>
      </c>
      <c r="U36" s="71"/>
      <c r="V36" s="61">
        <v>432</v>
      </c>
      <c r="W36" s="13">
        <f t="shared" si="21"/>
        <v>144</v>
      </c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v>270</v>
      </c>
      <c r="F37" s="127"/>
      <c r="G37" s="127"/>
      <c r="H37" s="127">
        <v>200</v>
      </c>
      <c r="I37" s="127"/>
      <c r="J37" s="127"/>
      <c r="K37" s="127"/>
      <c r="L37" s="127"/>
      <c r="M37" s="127"/>
      <c r="N37" s="127">
        <v>0</v>
      </c>
      <c r="O37" s="127">
        <v>100</v>
      </c>
      <c r="P37" s="164"/>
      <c r="Q37" s="24">
        <f t="shared" si="16"/>
        <v>570</v>
      </c>
      <c r="R37" s="127">
        <f t="shared" si="5"/>
        <v>522.93577981651367</v>
      </c>
      <c r="S37" s="5">
        <f t="shared" si="18"/>
        <v>47.064220183486327</v>
      </c>
      <c r="T37" s="94">
        <f t="shared" si="17"/>
        <v>0.6333333333333333</v>
      </c>
      <c r="U37" s="71"/>
      <c r="V37" s="61"/>
      <c r="W37" s="13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v>45</v>
      </c>
      <c r="F38" s="127">
        <v>150</v>
      </c>
      <c r="G38" s="127"/>
      <c r="H38" s="127"/>
      <c r="I38" s="127"/>
      <c r="J38" s="127"/>
      <c r="K38" s="127"/>
      <c r="L38" s="127"/>
      <c r="M38" s="127"/>
      <c r="N38" s="127">
        <v>0</v>
      </c>
      <c r="O38" s="127"/>
      <c r="P38" s="164"/>
      <c r="Q38" s="24">
        <f t="shared" si="16"/>
        <v>195</v>
      </c>
      <c r="R38" s="127">
        <f t="shared" si="5"/>
        <v>178.89908256880733</v>
      </c>
      <c r="S38" s="5">
        <f t="shared" si="18"/>
        <v>16.10091743119267</v>
      </c>
      <c r="T38" s="94">
        <f t="shared" si="17"/>
        <v>0.43333333333333335</v>
      </c>
      <c r="U38" s="71"/>
      <c r="V38" s="61">
        <v>450</v>
      </c>
      <c r="W38" s="13">
        <f t="shared" si="21"/>
        <v>195</v>
      </c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138</v>
      </c>
      <c r="F39" s="127">
        <v>620</v>
      </c>
      <c r="G39" s="127">
        <v>100</v>
      </c>
      <c r="H39" s="127">
        <f>40+14.67+20+20+20</f>
        <v>114.67</v>
      </c>
      <c r="I39" s="127"/>
      <c r="J39" s="127"/>
      <c r="K39" s="127"/>
      <c r="L39" s="127"/>
      <c r="M39" s="127">
        <v>20</v>
      </c>
      <c r="N39" s="127">
        <v>0</v>
      </c>
      <c r="O39" s="127">
        <v>1180</v>
      </c>
      <c r="P39" s="164"/>
      <c r="Q39" s="24">
        <f t="shared" si="16"/>
        <v>2172.67</v>
      </c>
      <c r="R39" s="127">
        <f t="shared" si="5"/>
        <v>1993.275229357798</v>
      </c>
      <c r="S39" s="5">
        <f t="shared" si="18"/>
        <v>179.39477064220205</v>
      </c>
      <c r="T39" s="94">
        <f t="shared" si="17"/>
        <v>12.070388888888889</v>
      </c>
      <c r="U39" s="71"/>
      <c r="V39" s="61">
        <v>720</v>
      </c>
      <c r="W39" s="13">
        <f t="shared" si="21"/>
        <v>8690.68</v>
      </c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0</v>
      </c>
      <c r="O40" s="127">
        <v>630</v>
      </c>
      <c r="P40" s="164"/>
      <c r="Q40" s="24">
        <f t="shared" si="16"/>
        <v>630</v>
      </c>
      <c r="R40" s="127">
        <f t="shared" si="5"/>
        <v>577.98165137614671</v>
      </c>
      <c r="S40" s="5">
        <f t="shared" si="18"/>
        <v>52.018348623853285</v>
      </c>
      <c r="T40" s="94">
        <f t="shared" si="17"/>
        <v>0.77777777777777779</v>
      </c>
      <c r="U40" s="71"/>
      <c r="V40" s="61"/>
      <c r="W40" s="13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>
        <v>0</v>
      </c>
      <c r="O41" s="127"/>
      <c r="P41" s="164"/>
      <c r="Q41" s="24">
        <f t="shared" si="16"/>
        <v>0</v>
      </c>
      <c r="R41" s="127">
        <f t="shared" si="5"/>
        <v>0</v>
      </c>
      <c r="S41" s="5">
        <f t="shared" si="18"/>
        <v>0</v>
      </c>
      <c r="T41" s="94">
        <f t="shared" si="17"/>
        <v>0</v>
      </c>
      <c r="U41" s="71"/>
      <c r="V41" s="61">
        <v>405</v>
      </c>
      <c r="W41" s="13">
        <f t="shared" si="21"/>
        <v>0</v>
      </c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>
        <v>36</v>
      </c>
      <c r="G42" s="221"/>
      <c r="H42" s="221"/>
      <c r="I42" s="221"/>
      <c r="J42" s="221"/>
      <c r="K42" s="221"/>
      <c r="L42" s="221"/>
      <c r="M42" s="221"/>
      <c r="N42" s="221">
        <v>18</v>
      </c>
      <c r="O42" s="221">
        <v>144</v>
      </c>
      <c r="P42" s="351"/>
      <c r="Q42" s="24">
        <f t="shared" si="16"/>
        <v>198</v>
      </c>
      <c r="R42" s="221">
        <f t="shared" si="5"/>
        <v>181.65137614678898</v>
      </c>
      <c r="S42" s="26">
        <f t="shared" si="18"/>
        <v>16.348623853211024</v>
      </c>
      <c r="T42" s="244">
        <f t="shared" si="17"/>
        <v>1.2222222222222223</v>
      </c>
      <c r="U42" s="71"/>
      <c r="V42" s="61">
        <v>648</v>
      </c>
      <c r="W42" s="13">
        <f t="shared" si="21"/>
        <v>792.00000000000011</v>
      </c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156.98630136986293</v>
      </c>
      <c r="F43" s="124">
        <v>11767.397260273683</v>
      </c>
      <c r="G43" s="124">
        <v>1528.7671232876799</v>
      </c>
      <c r="H43" s="124">
        <f>45.21+1371.78+253.97+163.56+110.96+70.68+64.93+59.18</f>
        <v>2140.27</v>
      </c>
      <c r="I43" s="124"/>
      <c r="J43" s="124"/>
      <c r="K43" s="124"/>
      <c r="L43" s="124"/>
      <c r="M43" s="124">
        <v>29.589041095890408</v>
      </c>
      <c r="N43" s="124">
        <v>0</v>
      </c>
      <c r="O43" s="124">
        <v>26.301369628906251</v>
      </c>
      <c r="P43" s="352"/>
      <c r="Q43" s="24">
        <f t="shared" si="16"/>
        <v>15649.311095656023</v>
      </c>
      <c r="R43" s="124">
        <f t="shared" si="5"/>
        <v>14357.16614280369</v>
      </c>
      <c r="S43" s="6">
        <f t="shared" si="18"/>
        <v>1292.1449528523335</v>
      </c>
      <c r="T43" s="22">
        <f t="shared" si="17"/>
        <v>1564.9311095656024</v>
      </c>
      <c r="U43" s="71"/>
      <c r="V43" s="61"/>
      <c r="W43" s="13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871.39</v>
      </c>
      <c r="F44" s="82">
        <f>+SUM(F45:F53)</f>
        <v>13803.930000000002</v>
      </c>
      <c r="G44" s="82">
        <f t="shared" ref="G44:T44" si="22">+SUM(G45:G53)</f>
        <v>1832.63</v>
      </c>
      <c r="H44" s="82">
        <f t="shared" si="22"/>
        <v>252.54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168.92</v>
      </c>
      <c r="N44" s="100">
        <f t="shared" si="22"/>
        <v>354.67</v>
      </c>
      <c r="O44" s="100">
        <f t="shared" si="22"/>
        <v>1686.29</v>
      </c>
      <c r="P44" s="100">
        <f t="shared" si="22"/>
        <v>0</v>
      </c>
      <c r="Q44" s="42">
        <f t="shared" si="22"/>
        <v>18970.370000000003</v>
      </c>
      <c r="R44" s="82">
        <f t="shared" si="22"/>
        <v>17404.009174311926</v>
      </c>
      <c r="S44" s="77">
        <f t="shared" si="22"/>
        <v>1566.3608256880746</v>
      </c>
      <c r="T44" s="44">
        <f t="shared" si="22"/>
        <v>718.03333333333342</v>
      </c>
      <c r="U44" s="71"/>
      <c r="V44" s="61"/>
      <c r="W44" s="105">
        <f>+SUM(W45:W61)</f>
        <v>7782.33</v>
      </c>
    </row>
    <row r="45" spans="1:25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64"/>
      <c r="Q45" s="24">
        <f t="shared" ref="Q45:Q53" si="23">+SUM(E45:P45)</f>
        <v>0</v>
      </c>
      <c r="R45" s="127">
        <f t="shared" si="5"/>
        <v>0</v>
      </c>
      <c r="S45" s="24">
        <f t="shared" ref="S45:S53" si="24">+Q45-R45</f>
        <v>0</v>
      </c>
      <c r="T45" s="94">
        <f t="shared" ref="T45:T53" si="25">+Q45/D45</f>
        <v>0</v>
      </c>
      <c r="U45" s="71"/>
      <c r="V45" s="61"/>
      <c r="W45" s="13"/>
      <c r="X45" s="2"/>
      <c r="Y45" s="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64"/>
      <c r="Q46" s="24">
        <f t="shared" si="23"/>
        <v>0</v>
      </c>
      <c r="R46" s="127">
        <f t="shared" si="5"/>
        <v>0</v>
      </c>
      <c r="S46" s="5">
        <f t="shared" si="24"/>
        <v>0</v>
      </c>
      <c r="T46" s="94">
        <f t="shared" si="25"/>
        <v>0</v>
      </c>
      <c r="U46" s="71"/>
      <c r="V46" s="61">
        <v>6</v>
      </c>
      <c r="W46" s="13">
        <f t="shared" ref="W46:W47" si="26">+T46*V46</f>
        <v>0</v>
      </c>
      <c r="X46" s="2"/>
      <c r="Y46" s="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64"/>
      <c r="Q47" s="24">
        <f t="shared" si="23"/>
        <v>0</v>
      </c>
      <c r="R47" s="127">
        <f t="shared" si="5"/>
        <v>0</v>
      </c>
      <c r="S47" s="5">
        <f t="shared" si="24"/>
        <v>0</v>
      </c>
      <c r="T47" s="94">
        <f t="shared" si="25"/>
        <v>0</v>
      </c>
      <c r="U47" s="71"/>
      <c r="V47" s="61">
        <v>9.6</v>
      </c>
      <c r="W47" s="13">
        <f t="shared" si="26"/>
        <v>0</v>
      </c>
      <c r="X47" s="2"/>
      <c r="Y47" s="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91</v>
      </c>
      <c r="F48" s="127">
        <v>651</v>
      </c>
      <c r="G48" s="127">
        <v>63</v>
      </c>
      <c r="H48" s="127"/>
      <c r="I48" s="127"/>
      <c r="J48" s="127"/>
      <c r="K48" s="127"/>
      <c r="L48" s="127"/>
      <c r="M48" s="127"/>
      <c r="N48" s="127">
        <v>14</v>
      </c>
      <c r="O48" s="127">
        <v>126</v>
      </c>
      <c r="P48" s="164"/>
      <c r="Q48" s="24">
        <f t="shared" si="23"/>
        <v>945</v>
      </c>
      <c r="R48" s="127">
        <f t="shared" si="5"/>
        <v>866.97247706422013</v>
      </c>
      <c r="S48" s="5">
        <f t="shared" si="24"/>
        <v>78.027522935779871</v>
      </c>
      <c r="T48" s="94">
        <f t="shared" si="25"/>
        <v>45</v>
      </c>
      <c r="U48" s="71"/>
      <c r="V48" s="61"/>
      <c r="W48" s="13"/>
      <c r="X48" s="2"/>
      <c r="Y48" s="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35</v>
      </c>
      <c r="G49" s="127">
        <v>3.5</v>
      </c>
      <c r="H49" s="127">
        <v>3.5</v>
      </c>
      <c r="I49" s="127"/>
      <c r="J49" s="127"/>
      <c r="K49" s="127"/>
      <c r="L49" s="127"/>
      <c r="M49" s="127"/>
      <c r="N49" s="127">
        <v>0</v>
      </c>
      <c r="O49" s="127">
        <v>21</v>
      </c>
      <c r="P49" s="164"/>
      <c r="Q49" s="24">
        <f t="shared" si="23"/>
        <v>63</v>
      </c>
      <c r="R49" s="127">
        <f t="shared" si="5"/>
        <v>57.798165137614674</v>
      </c>
      <c r="S49" s="5">
        <f t="shared" si="24"/>
        <v>5.2018348623853257</v>
      </c>
      <c r="T49" s="94">
        <f t="shared" si="25"/>
        <v>6</v>
      </c>
      <c r="U49" s="71"/>
      <c r="V49" s="61">
        <v>10.5</v>
      </c>
      <c r="W49" s="13">
        <f t="shared" ref="W49:W50" si="27">+T49*V49</f>
        <v>63</v>
      </c>
      <c r="X49" s="2"/>
      <c r="Y49" s="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18.2</v>
      </c>
      <c r="F50" s="127">
        <v>263.2</v>
      </c>
      <c r="G50" s="127">
        <v>22.4</v>
      </c>
      <c r="H50" s="127">
        <v>1.4</v>
      </c>
      <c r="I50" s="127"/>
      <c r="J50" s="127"/>
      <c r="K50" s="127"/>
      <c r="L50" s="127"/>
      <c r="M50" s="127"/>
      <c r="N50" s="127">
        <v>9.8000000000000007</v>
      </c>
      <c r="O50" s="127">
        <v>35</v>
      </c>
      <c r="P50" s="164"/>
      <c r="Q50" s="24">
        <f t="shared" si="23"/>
        <v>349.99999999999994</v>
      </c>
      <c r="R50" s="127">
        <f t="shared" si="5"/>
        <v>321.10091743119261</v>
      </c>
      <c r="S50" s="5">
        <f t="shared" si="24"/>
        <v>28.89908256880733</v>
      </c>
      <c r="T50" s="94">
        <f t="shared" si="25"/>
        <v>83.333333333333314</v>
      </c>
      <c r="U50" s="71"/>
      <c r="V50" s="61">
        <v>16.8</v>
      </c>
      <c r="W50" s="13">
        <f t="shared" si="27"/>
        <v>1399.9999999999998</v>
      </c>
      <c r="X50" s="2"/>
      <c r="Y50" s="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692.9</v>
      </c>
      <c r="F51" s="127">
        <v>11078.2</v>
      </c>
      <c r="G51" s="127">
        <v>1517</v>
      </c>
      <c r="H51" s="127">
        <v>213.2</v>
      </c>
      <c r="I51" s="127"/>
      <c r="J51" s="127"/>
      <c r="K51" s="127"/>
      <c r="L51" s="127"/>
      <c r="M51" s="127">
        <v>164</v>
      </c>
      <c r="N51" s="127">
        <v>291.10000000000002</v>
      </c>
      <c r="O51" s="127">
        <v>1299.7</v>
      </c>
      <c r="P51" s="164"/>
      <c r="Q51" s="24">
        <f t="shared" si="23"/>
        <v>15256.100000000002</v>
      </c>
      <c r="R51" s="127">
        <f t="shared" si="5"/>
        <v>13996.422018348625</v>
      </c>
      <c r="S51" s="5">
        <f t="shared" si="24"/>
        <v>1259.6779816513772</v>
      </c>
      <c r="T51" s="94">
        <f t="shared" si="25"/>
        <v>372.10000000000008</v>
      </c>
      <c r="U51" s="71"/>
      <c r="V51" s="61"/>
      <c r="W51" s="13"/>
      <c r="X51" s="2"/>
      <c r="Y51" s="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22.55</v>
      </c>
      <c r="F52" s="123">
        <v>834.35</v>
      </c>
      <c r="G52" s="123">
        <v>112.75</v>
      </c>
      <c r="H52" s="123">
        <v>8.1999999999999993</v>
      </c>
      <c r="I52" s="123"/>
      <c r="J52" s="123"/>
      <c r="K52" s="123"/>
      <c r="L52" s="127"/>
      <c r="M52" s="127"/>
      <c r="N52" s="127">
        <v>18.450000000000003</v>
      </c>
      <c r="O52" s="123">
        <v>38.950000000000003</v>
      </c>
      <c r="P52" s="164"/>
      <c r="Q52" s="24">
        <f t="shared" si="23"/>
        <v>1035.25</v>
      </c>
      <c r="R52" s="127">
        <f t="shared" si="5"/>
        <v>949.77064220183479</v>
      </c>
      <c r="S52" s="5">
        <f t="shared" si="24"/>
        <v>85.479357798165211</v>
      </c>
      <c r="T52" s="94">
        <f t="shared" si="25"/>
        <v>50.5</v>
      </c>
      <c r="U52" s="71"/>
      <c r="V52" s="61">
        <v>20.5</v>
      </c>
      <c r="W52" s="13">
        <f t="shared" ref="W52:W53" si="28">+T52*V52</f>
        <v>1035.25</v>
      </c>
      <c r="X52" s="2"/>
      <c r="Y52" s="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46.74</v>
      </c>
      <c r="F53" s="199">
        <v>942.18</v>
      </c>
      <c r="G53" s="199">
        <v>113.98</v>
      </c>
      <c r="H53" s="199">
        <v>26.24</v>
      </c>
      <c r="I53" s="199"/>
      <c r="J53" s="199"/>
      <c r="K53" s="199"/>
      <c r="L53" s="199"/>
      <c r="M53" s="148">
        <v>4.92</v>
      </c>
      <c r="N53" s="148">
        <v>21.32</v>
      </c>
      <c r="O53" s="199">
        <v>165.64</v>
      </c>
      <c r="P53" s="353"/>
      <c r="Q53" s="359">
        <f t="shared" si="23"/>
        <v>1321.02</v>
      </c>
      <c r="R53" s="140">
        <f t="shared" si="5"/>
        <v>1211.9449541284403</v>
      </c>
      <c r="S53" s="6">
        <f t="shared" si="24"/>
        <v>109.07504587155972</v>
      </c>
      <c r="T53" s="22">
        <f t="shared" si="25"/>
        <v>161.10000000000002</v>
      </c>
      <c r="U53" s="71"/>
      <c r="V53" s="61">
        <v>32.799999999999997</v>
      </c>
      <c r="W53" s="13">
        <f t="shared" si="28"/>
        <v>5284.08</v>
      </c>
      <c r="X53" s="2"/>
      <c r="Y53" s="2"/>
    </row>
    <row r="54" spans="1:25" x14ac:dyDescent="0.25"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</row>
    <row r="66" spans="2:2" x14ac:dyDescent="0.25">
      <c r="B66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Z73"/>
  <sheetViews>
    <sheetView zoomScaleNormal="100" workbookViewId="0">
      <pane xSplit="4" ySplit="4" topLeftCell="N5" activePane="bottomRight" state="frozen"/>
      <selection pane="topRight" activeCell="E1" sqref="E1"/>
      <selection pane="bottomLeft" activeCell="A5" sqref="A5"/>
      <selection pane="bottomRight" activeCell="O14" sqref="O14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3" style="1" customWidth="1"/>
    <col min="16" max="16" width="12.6640625" style="1" customWidth="1" outlineLevel="1"/>
    <col min="17" max="17" width="12.33203125" style="1" bestFit="1" customWidth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3320312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4" ht="21.6" customHeight="1" x14ac:dyDescent="0.3">
      <c r="A1" s="40" t="s">
        <v>452</v>
      </c>
      <c r="F1" s="104"/>
      <c r="K1" s="2"/>
      <c r="L1" s="2"/>
      <c r="M1" s="2"/>
      <c r="N1" s="2"/>
      <c r="O1" s="2"/>
      <c r="P1" s="2"/>
    </row>
    <row r="2" spans="1:24" ht="18" customHeight="1" x14ac:dyDescent="0.25">
      <c r="A2" s="1" t="s">
        <v>169</v>
      </c>
      <c r="D2" s="3"/>
      <c r="E2" s="3"/>
      <c r="F2" s="2"/>
      <c r="G2" s="2"/>
      <c r="H2" s="2"/>
      <c r="I2" s="3"/>
      <c r="J2" s="3"/>
      <c r="R2" s="3"/>
      <c r="T2" s="3"/>
    </row>
    <row r="3" spans="1:24" ht="25.8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4" ht="25.8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111998.74904109589</v>
      </c>
      <c r="F5" s="82">
        <f t="shared" si="0"/>
        <v>2234559.2931963494</v>
      </c>
      <c r="G5" s="82">
        <f t="shared" si="0"/>
        <v>332522.05255707778</v>
      </c>
      <c r="H5" s="82">
        <f t="shared" si="0"/>
        <v>60918.909999999996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T5" si="1">+M6+M18+M44</f>
        <v>37302.405662100464</v>
      </c>
      <c r="N5" s="192">
        <f>+N6+N18+N44</f>
        <v>19086.673607305933</v>
      </c>
      <c r="O5" s="187">
        <f t="shared" si="1"/>
        <v>266264.27801215212</v>
      </c>
      <c r="P5" s="77">
        <f t="shared" si="1"/>
        <v>0</v>
      </c>
      <c r="Q5" s="42">
        <f t="shared" ref="Q5:Q10" si="2">+SUM(E5:P5)</f>
        <v>3062652.3620760818</v>
      </c>
      <c r="R5" s="42">
        <f t="shared" si="1"/>
        <v>2809772.8092441121</v>
      </c>
      <c r="S5" s="42">
        <f t="shared" si="1"/>
        <v>252879.55283197021</v>
      </c>
      <c r="T5" s="42">
        <f t="shared" si="1"/>
        <v>56205.592258021134</v>
      </c>
      <c r="U5" s="71"/>
      <c r="V5" s="87"/>
      <c r="W5" s="135">
        <f>+W7+W18+W44</f>
        <v>2735206.0132993087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 t="shared" ref="M6:T6" si="4">+M7+M11</f>
        <v>0</v>
      </c>
      <c r="N6" s="192">
        <f>+N7+N11</f>
        <v>0</v>
      </c>
      <c r="O6" s="187">
        <f t="shared" si="4"/>
        <v>0</v>
      </c>
      <c r="P6" s="77">
        <f t="shared" si="4"/>
        <v>0</v>
      </c>
      <c r="Q6" s="42">
        <f t="shared" si="2"/>
        <v>0</v>
      </c>
      <c r="R6" s="42">
        <f t="shared" si="4"/>
        <v>0</v>
      </c>
      <c r="S6" s="42">
        <f t="shared" si="4"/>
        <v>0</v>
      </c>
      <c r="T6" s="44">
        <f t="shared" si="4"/>
        <v>0</v>
      </c>
      <c r="V6" s="61"/>
      <c r="W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:T7" si="6">+SUM(M8:M10)</f>
        <v>0</v>
      </c>
      <c r="N7" s="79">
        <f t="shared" si="6"/>
        <v>0</v>
      </c>
      <c r="O7" s="219">
        <f t="shared" si="6"/>
        <v>0</v>
      </c>
      <c r="P7" s="109">
        <f t="shared" si="6"/>
        <v>0</v>
      </c>
      <c r="Q7" s="43">
        <f t="shared" si="2"/>
        <v>0</v>
      </c>
      <c r="R7" s="79">
        <f t="shared" si="6"/>
        <v>0</v>
      </c>
      <c r="S7" s="79">
        <f t="shared" si="6"/>
        <v>0</v>
      </c>
      <c r="T7" s="226">
        <f t="shared" si="6"/>
        <v>0</v>
      </c>
      <c r="U7" s="71"/>
      <c r="V7" s="134"/>
      <c r="W7" s="105">
        <f>+SUM(W8:W17)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27"/>
      <c r="O8" s="17"/>
      <c r="P8" s="355"/>
      <c r="Q8" s="24">
        <f t="shared" si="2"/>
        <v>0</v>
      </c>
      <c r="R8" s="5">
        <f t="shared" ref="R8:R10" si="7">+Q8/1.09</f>
        <v>0</v>
      </c>
      <c r="S8" s="5">
        <f t="shared" ref="S8:S10" si="8">+Q8-R8</f>
        <v>0</v>
      </c>
      <c r="T8" s="21">
        <f>Q8/D8</f>
        <v>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9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27"/>
      <c r="O9" s="196"/>
      <c r="P9" s="350"/>
      <c r="Q9" s="24">
        <f t="shared" si="2"/>
        <v>0</v>
      </c>
      <c r="R9" s="26">
        <f t="shared" si="7"/>
        <v>0</v>
      </c>
      <c r="S9" s="26">
        <f t="shared" si="8"/>
        <v>0</v>
      </c>
      <c r="T9" s="39">
        <f>Q9/D9</f>
        <v>0</v>
      </c>
      <c r="U9" s="71"/>
      <c r="V9" s="61">
        <v>1.75</v>
      </c>
      <c r="W9" s="13">
        <f>+T9*V9</f>
        <v>0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8"/>
      <c r="P10" s="360"/>
      <c r="Q10" s="24">
        <f t="shared" si="2"/>
        <v>0</v>
      </c>
      <c r="R10" s="6">
        <f t="shared" si="7"/>
        <v>0</v>
      </c>
      <c r="S10" s="6">
        <f t="shared" si="8"/>
        <v>0</v>
      </c>
      <c r="T10" s="22">
        <f>Q10/D10</f>
        <v>0</v>
      </c>
      <c r="U10" s="71"/>
      <c r="V10" s="107">
        <v>2.8</v>
      </c>
      <c r="W10" s="13">
        <f>+T10*V10</f>
        <v>0</v>
      </c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0">+SUM(E12:E17)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74">
        <f t="shared" si="10"/>
        <v>0</v>
      </c>
      <c r="K11" s="101">
        <f t="shared" si="10"/>
        <v>0</v>
      </c>
      <c r="L11" s="101"/>
      <c r="M11" s="101">
        <f t="shared" ref="M11:T11" si="11">+SUM(M12:M17)</f>
        <v>0</v>
      </c>
      <c r="N11" s="101">
        <f t="shared" si="11"/>
        <v>0</v>
      </c>
      <c r="O11" s="16">
        <f t="shared" si="11"/>
        <v>0</v>
      </c>
      <c r="P11" s="74">
        <f t="shared" si="11"/>
        <v>0</v>
      </c>
      <c r="Q11" s="43">
        <f t="shared" si="11"/>
        <v>0</v>
      </c>
      <c r="R11" s="43">
        <f t="shared" si="11"/>
        <v>0</v>
      </c>
      <c r="S11" s="43">
        <f t="shared" si="11"/>
        <v>0</v>
      </c>
      <c r="T11" s="45">
        <f t="shared" si="11"/>
        <v>0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27"/>
      <c r="O12" s="13"/>
      <c r="P12" s="357"/>
      <c r="Q12" s="24">
        <f t="shared" ref="Q12:Q17" si="12">+SUM(E12:P12)</f>
        <v>0</v>
      </c>
      <c r="R12" s="5">
        <f t="shared" ref="R12:R17" si="13">+Q12/1.09</f>
        <v>0</v>
      </c>
      <c r="S12" s="5">
        <f t="shared" ref="S12:S17" si="14">+Q12-R12</f>
        <v>0</v>
      </c>
      <c r="T12" s="21">
        <f t="shared" ref="T12:T17" si="15">Q12/D12</f>
        <v>0</v>
      </c>
      <c r="U12" s="2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27"/>
      <c r="O13" s="13"/>
      <c r="P13" s="357"/>
      <c r="Q13" s="24">
        <f t="shared" si="12"/>
        <v>0</v>
      </c>
      <c r="R13" s="5">
        <f t="shared" si="13"/>
        <v>0</v>
      </c>
      <c r="S13" s="5">
        <f t="shared" si="14"/>
        <v>0</v>
      </c>
      <c r="T13" s="21">
        <f t="shared" si="15"/>
        <v>0</v>
      </c>
      <c r="U13" s="71"/>
      <c r="V13" s="107">
        <v>1.1000000000000001</v>
      </c>
      <c r="W13" s="13">
        <f t="shared" ref="W13:W14" si="16">+T13*V13</f>
        <v>0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27"/>
      <c r="O14" s="13"/>
      <c r="P14" s="357"/>
      <c r="Q14" s="24">
        <f t="shared" si="12"/>
        <v>0</v>
      </c>
      <c r="R14" s="5">
        <f t="shared" si="13"/>
        <v>0</v>
      </c>
      <c r="S14" s="5">
        <f t="shared" si="14"/>
        <v>0</v>
      </c>
      <c r="T14" s="21">
        <f t="shared" si="15"/>
        <v>0</v>
      </c>
      <c r="U14" s="71"/>
      <c r="V14" s="61">
        <v>1.76</v>
      </c>
      <c r="W14" s="13">
        <f t="shared" si="16"/>
        <v>0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27"/>
      <c r="O15" s="13"/>
      <c r="P15" s="357"/>
      <c r="Q15" s="24">
        <f t="shared" si="12"/>
        <v>0</v>
      </c>
      <c r="R15" s="5">
        <f t="shared" si="13"/>
        <v>0</v>
      </c>
      <c r="S15" s="5">
        <f t="shared" si="14"/>
        <v>0</v>
      </c>
      <c r="T15" s="21">
        <f t="shared" si="15"/>
        <v>0</v>
      </c>
      <c r="U15" s="71"/>
      <c r="V15" s="61"/>
      <c r="W15" s="13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27"/>
      <c r="O16" s="13"/>
      <c r="P16" s="357"/>
      <c r="Q16" s="24">
        <f t="shared" si="12"/>
        <v>0</v>
      </c>
      <c r="R16" s="5">
        <f t="shared" si="13"/>
        <v>0</v>
      </c>
      <c r="S16" s="5">
        <f t="shared" si="14"/>
        <v>0</v>
      </c>
      <c r="T16" s="21">
        <f t="shared" si="15"/>
        <v>0</v>
      </c>
      <c r="U16" s="71"/>
      <c r="V16" s="107">
        <v>1.6</v>
      </c>
      <c r="W16" s="13">
        <f t="shared" ref="W16:W17" si="17">+T16*V16</f>
        <v>0</v>
      </c>
    </row>
    <row r="17" spans="1:26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27"/>
      <c r="O17" s="14"/>
      <c r="P17" s="358"/>
      <c r="Q17" s="24">
        <f t="shared" si="12"/>
        <v>0</v>
      </c>
      <c r="R17" s="5">
        <f t="shared" si="13"/>
        <v>0</v>
      </c>
      <c r="S17" s="5">
        <f t="shared" si="14"/>
        <v>0</v>
      </c>
      <c r="T17" s="22">
        <f t="shared" si="15"/>
        <v>0</v>
      </c>
      <c r="U17" s="71"/>
      <c r="V17" s="61">
        <v>2.56</v>
      </c>
      <c r="W17" s="13">
        <f t="shared" si="17"/>
        <v>0</v>
      </c>
    </row>
    <row r="18" spans="1:26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111346.91904109588</v>
      </c>
      <c r="F18" s="118">
        <f t="shared" ref="F18:T18" si="18">+SUM(F19:F43)</f>
        <v>2223118.1031963495</v>
      </c>
      <c r="G18" s="118">
        <f t="shared" si="18"/>
        <v>330631.7625570778</v>
      </c>
      <c r="H18" s="118">
        <f t="shared" si="18"/>
        <v>60669.049999999996</v>
      </c>
      <c r="I18" s="118">
        <f t="shared" si="18"/>
        <v>0</v>
      </c>
      <c r="J18" s="118">
        <f t="shared" si="18"/>
        <v>0</v>
      </c>
      <c r="K18" s="118">
        <f t="shared" si="18"/>
        <v>0</v>
      </c>
      <c r="L18" s="118"/>
      <c r="M18" s="118">
        <f t="shared" si="18"/>
        <v>37190.105662100461</v>
      </c>
      <c r="N18" s="231">
        <f t="shared" ref="N18" si="19">+SUM(N19:N43)</f>
        <v>18820.393607305934</v>
      </c>
      <c r="O18" s="231">
        <f t="shared" si="18"/>
        <v>265301.67801215214</v>
      </c>
      <c r="P18" s="118">
        <f t="shared" si="18"/>
        <v>0</v>
      </c>
      <c r="Q18" s="42">
        <f>+SUM(Q19:Q43)</f>
        <v>3047078.0120760826</v>
      </c>
      <c r="R18" s="415">
        <f t="shared" si="18"/>
        <v>2795484.4147486994</v>
      </c>
      <c r="S18" s="118">
        <f t="shared" si="18"/>
        <v>251593.59732738306</v>
      </c>
      <c r="T18" s="117">
        <f t="shared" si="18"/>
        <v>55555.192258021132</v>
      </c>
      <c r="U18" s="71"/>
      <c r="V18" s="61"/>
      <c r="W18" s="105">
        <f>+SUM(W19:W42)</f>
        <v>2726873.9632993089</v>
      </c>
    </row>
    <row r="19" spans="1:26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66106.666666666657</v>
      </c>
      <c r="F19" s="92">
        <v>1256583.3333333344</v>
      </c>
      <c r="G19" s="92">
        <v>181623.33333333355</v>
      </c>
      <c r="H19" s="92">
        <v>30256.67</v>
      </c>
      <c r="I19" s="23"/>
      <c r="J19" s="34"/>
      <c r="K19" s="34"/>
      <c r="L19" s="34"/>
      <c r="M19" s="34">
        <v>21480.000000000004</v>
      </c>
      <c r="N19" s="127">
        <v>10170</v>
      </c>
      <c r="O19" s="419">
        <f>116853.330375977-56.71</f>
        <v>116796.620375977</v>
      </c>
      <c r="P19" s="356"/>
      <c r="Q19" s="24">
        <f t="shared" ref="Q19:Q43" si="20">+SUM(E19:P19)</f>
        <v>1683016.6237093115</v>
      </c>
      <c r="R19" s="99">
        <f t="shared" ref="R19:R43" si="21">+Q19/1.09</f>
        <v>1544051.9483571665</v>
      </c>
      <c r="S19" s="153">
        <f>+Q19-R19</f>
        <v>138964.67535214499</v>
      </c>
      <c r="T19" s="94">
        <f t="shared" ref="T19:T42" si="22">Q19/D19</f>
        <v>16830.166237093115</v>
      </c>
      <c r="U19" s="41"/>
      <c r="V19" s="61"/>
      <c r="W19" s="106"/>
      <c r="X19"/>
      <c r="Y19" s="142"/>
      <c r="Z19"/>
    </row>
    <row r="20" spans="1:26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13001.666666666664</v>
      </c>
      <c r="F20" s="48">
        <v>350978.33333333529</v>
      </c>
      <c r="G20" s="48">
        <v>49536.666666666613</v>
      </c>
      <c r="H20" s="48">
        <v>9880</v>
      </c>
      <c r="I20" s="13"/>
      <c r="J20" s="33"/>
      <c r="K20" s="33"/>
      <c r="L20" s="33"/>
      <c r="M20" s="33">
        <v>8208.3333333333321</v>
      </c>
      <c r="N20" s="127">
        <v>181.66666666666663</v>
      </c>
      <c r="O20" s="417">
        <f>6741.66649841309-23.33</f>
        <v>6718.3364984130903</v>
      </c>
      <c r="P20" s="357"/>
      <c r="Q20" s="24">
        <f t="shared" si="20"/>
        <v>438505.00316508173</v>
      </c>
      <c r="R20" s="5">
        <f t="shared" si="21"/>
        <v>402298.16804135934</v>
      </c>
      <c r="S20" s="152">
        <f t="shared" ref="S20:S43" si="23">+Q20-R20</f>
        <v>36206.835123722383</v>
      </c>
      <c r="T20" s="21">
        <f t="shared" si="22"/>
        <v>8770.1000633016338</v>
      </c>
      <c r="U20" s="41"/>
      <c r="V20" s="61">
        <v>50</v>
      </c>
      <c r="W20" s="13">
        <f t="shared" ref="W20:W21" si="24">+T20*V20</f>
        <v>438505.00316508167</v>
      </c>
      <c r="Y20" s="142"/>
    </row>
    <row r="21" spans="1:26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17475.330000000002</v>
      </c>
      <c r="F21" s="95">
        <v>357685.33</v>
      </c>
      <c r="G21" s="95">
        <v>58614</v>
      </c>
      <c r="H21" s="95">
        <v>6877.33</v>
      </c>
      <c r="I21" s="13"/>
      <c r="J21" s="33"/>
      <c r="K21" s="33"/>
      <c r="L21" s="33"/>
      <c r="M21" s="33">
        <v>3917.33</v>
      </c>
      <c r="N21" s="127">
        <v>3444.6666666666665</v>
      </c>
      <c r="O21" s="13">
        <v>39586</v>
      </c>
      <c r="P21" s="357"/>
      <c r="Q21" s="24">
        <f t="shared" si="20"/>
        <v>487599.98666666675</v>
      </c>
      <c r="R21" s="5">
        <f t="shared" si="21"/>
        <v>447339.43730886857</v>
      </c>
      <c r="S21" s="5">
        <f t="shared" si="23"/>
        <v>40260.549357798183</v>
      </c>
      <c r="T21" s="21">
        <f t="shared" si="22"/>
        <v>24379.999333333337</v>
      </c>
      <c r="U21" s="41"/>
      <c r="V21" s="61">
        <v>80</v>
      </c>
      <c r="W21" s="13">
        <f t="shared" si="24"/>
        <v>1950399.946666667</v>
      </c>
      <c r="Y21" s="142"/>
    </row>
    <row r="22" spans="1:26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11544</v>
      </c>
      <c r="F22" s="48">
        <v>192093</v>
      </c>
      <c r="G22" s="95">
        <v>32418</v>
      </c>
      <c r="H22" s="95">
        <v>7020</v>
      </c>
      <c r="I22" s="13"/>
      <c r="J22" s="33"/>
      <c r="K22" s="33"/>
      <c r="L22" s="33"/>
      <c r="M22" s="33">
        <v>2355</v>
      </c>
      <c r="N22" s="127">
        <v>2376</v>
      </c>
      <c r="O22" s="13">
        <v>51378</v>
      </c>
      <c r="P22" s="357"/>
      <c r="Q22" s="24">
        <f t="shared" si="20"/>
        <v>299184</v>
      </c>
      <c r="R22" s="5">
        <f t="shared" si="21"/>
        <v>274480.73394495412</v>
      </c>
      <c r="S22" s="5">
        <f t="shared" si="23"/>
        <v>24703.266055045882</v>
      </c>
      <c r="T22" s="21">
        <f t="shared" si="22"/>
        <v>3324.2666666666669</v>
      </c>
      <c r="U22" s="41"/>
      <c r="V22" s="61"/>
      <c r="W22" s="13"/>
      <c r="Y22" s="142"/>
    </row>
    <row r="23" spans="1:26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388.5</v>
      </c>
      <c r="F23" s="95">
        <v>12114</v>
      </c>
      <c r="G23" s="95">
        <v>1983</v>
      </c>
      <c r="H23" s="95">
        <v>424.5</v>
      </c>
      <c r="I23" s="13"/>
      <c r="J23" s="33"/>
      <c r="K23" s="33"/>
      <c r="L23" s="33"/>
      <c r="M23" s="33">
        <v>222</v>
      </c>
      <c r="N23" s="127">
        <v>30</v>
      </c>
      <c r="O23" s="13">
        <v>1972.5</v>
      </c>
      <c r="P23" s="357"/>
      <c r="Q23" s="24">
        <f t="shared" si="20"/>
        <v>17134.5</v>
      </c>
      <c r="R23" s="5">
        <f t="shared" si="21"/>
        <v>15719.7247706422</v>
      </c>
      <c r="S23" s="5">
        <f t="shared" si="23"/>
        <v>1414.7752293577996</v>
      </c>
      <c r="T23" s="21">
        <f t="shared" si="22"/>
        <v>380.76666666666665</v>
      </c>
      <c r="U23" s="35"/>
      <c r="V23" s="61">
        <v>45</v>
      </c>
      <c r="W23" s="13">
        <f t="shared" ref="W23:W24" si="25">+T23*V23</f>
        <v>17134.5</v>
      </c>
      <c r="Y23" s="142"/>
    </row>
    <row r="24" spans="1:26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537</v>
      </c>
      <c r="F24" s="95">
        <v>5863.2</v>
      </c>
      <c r="G24" s="95">
        <v>963</v>
      </c>
      <c r="H24" s="95">
        <v>193.2</v>
      </c>
      <c r="I24" s="13"/>
      <c r="J24" s="33"/>
      <c r="K24" s="33"/>
      <c r="L24" s="33"/>
      <c r="M24" s="33">
        <v>95.4</v>
      </c>
      <c r="N24" s="127">
        <v>223.79999999999993</v>
      </c>
      <c r="O24" s="13">
        <v>2167.1999999999998</v>
      </c>
      <c r="P24" s="357"/>
      <c r="Q24" s="24">
        <f t="shared" si="20"/>
        <v>10042.799999999999</v>
      </c>
      <c r="R24" s="5">
        <f t="shared" si="21"/>
        <v>9213.577981651375</v>
      </c>
      <c r="S24" s="5">
        <f t="shared" si="23"/>
        <v>829.22201834862426</v>
      </c>
      <c r="T24" s="21">
        <f t="shared" si="22"/>
        <v>557.93333333333328</v>
      </c>
      <c r="U24" s="35"/>
      <c r="V24" s="61">
        <v>72</v>
      </c>
      <c r="W24" s="13">
        <f t="shared" si="25"/>
        <v>40171.199999999997</v>
      </c>
      <c r="Y24" s="142"/>
    </row>
    <row r="25" spans="1:26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>
        <v>236.66666666666669</v>
      </c>
      <c r="F25" s="95">
        <v>5396.6666666666661</v>
      </c>
      <c r="G25" s="95">
        <v>296.66666666666669</v>
      </c>
      <c r="H25" s="95">
        <v>440</v>
      </c>
      <c r="I25" s="13"/>
      <c r="J25" s="33"/>
      <c r="K25" s="33"/>
      <c r="L25" s="33"/>
      <c r="M25" s="33"/>
      <c r="N25" s="127">
        <v>816.66666666666731</v>
      </c>
      <c r="O25" s="13">
        <v>8189.999968261719</v>
      </c>
      <c r="P25" s="357"/>
      <c r="Q25" s="24">
        <f t="shared" si="20"/>
        <v>15376.666634928386</v>
      </c>
      <c r="R25" s="5">
        <f t="shared" si="21"/>
        <v>14107.033610026041</v>
      </c>
      <c r="S25" s="5">
        <f t="shared" si="23"/>
        <v>1269.6330249023449</v>
      </c>
      <c r="T25" s="21">
        <f t="shared" si="22"/>
        <v>51.255555449761289</v>
      </c>
      <c r="U25" s="35"/>
      <c r="V25" s="61"/>
      <c r="W25" s="13"/>
      <c r="Y25" s="142"/>
    </row>
    <row r="26" spans="1:26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5">
        <v>5110</v>
      </c>
      <c r="G26" s="95">
        <v>370</v>
      </c>
      <c r="H26" s="95">
        <v>701.67</v>
      </c>
      <c r="I26" s="13"/>
      <c r="J26" s="33"/>
      <c r="K26" s="33"/>
      <c r="L26" s="33"/>
      <c r="M26" s="33">
        <v>143.33333333333334</v>
      </c>
      <c r="N26" s="127">
        <v>0</v>
      </c>
      <c r="O26" s="13">
        <v>1343.3333259582519</v>
      </c>
      <c r="P26" s="357"/>
      <c r="Q26" s="24">
        <f t="shared" si="20"/>
        <v>7668.3366592915845</v>
      </c>
      <c r="R26" s="5">
        <f t="shared" si="21"/>
        <v>7035.1712470564989</v>
      </c>
      <c r="S26" s="5">
        <f t="shared" si="23"/>
        <v>633.16541223508557</v>
      </c>
      <c r="T26" s="21">
        <f t="shared" si="22"/>
        <v>51.122244395277228</v>
      </c>
      <c r="U26" s="35"/>
      <c r="V26" s="61">
        <v>150</v>
      </c>
      <c r="W26" s="13">
        <f t="shared" ref="W26:W42" si="26">+T26*V26</f>
        <v>7668.3366592915845</v>
      </c>
      <c r="Y26" s="142"/>
    </row>
    <row r="27" spans="1:26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1060</v>
      </c>
      <c r="F27" s="95">
        <v>16192.67</v>
      </c>
      <c r="G27" s="95">
        <v>2152.6666666666665</v>
      </c>
      <c r="H27" s="95">
        <v>2134.67</v>
      </c>
      <c r="I27" s="13"/>
      <c r="J27" s="33"/>
      <c r="K27" s="33"/>
      <c r="L27" s="33"/>
      <c r="M27" s="33">
        <v>415.33</v>
      </c>
      <c r="N27" s="127">
        <v>511.99999999999966</v>
      </c>
      <c r="O27" s="13">
        <v>10646</v>
      </c>
      <c r="P27" s="357"/>
      <c r="Q27" s="24">
        <f t="shared" si="20"/>
        <v>33113.33666666667</v>
      </c>
      <c r="R27" s="5">
        <f t="shared" si="21"/>
        <v>30379.207951070337</v>
      </c>
      <c r="S27" s="5">
        <f t="shared" si="23"/>
        <v>2734.1287155963328</v>
      </c>
      <c r="T27" s="21">
        <f t="shared" si="22"/>
        <v>551.88894444444452</v>
      </c>
      <c r="U27" s="35"/>
      <c r="V27" s="61">
        <v>240</v>
      </c>
      <c r="W27" s="13">
        <f t="shared" si="26"/>
        <v>132453.34666666668</v>
      </c>
      <c r="Y27" s="142"/>
    </row>
    <row r="28" spans="1:26" ht="14.4" x14ac:dyDescent="0.3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5">
        <v>1326</v>
      </c>
      <c r="G28" s="95">
        <v>264</v>
      </c>
      <c r="H28" s="95"/>
      <c r="I28" s="13"/>
      <c r="J28" s="33"/>
      <c r="K28" s="33"/>
      <c r="L28" s="33"/>
      <c r="M28" s="33"/>
      <c r="N28" s="127">
        <v>0</v>
      </c>
      <c r="O28" s="13">
        <v>10863</v>
      </c>
      <c r="P28" s="357"/>
      <c r="Q28" s="24">
        <f t="shared" si="20"/>
        <v>12453</v>
      </c>
      <c r="R28" s="5">
        <f t="shared" si="21"/>
        <v>11424.770642201835</v>
      </c>
      <c r="S28" s="5">
        <f t="shared" si="23"/>
        <v>1028.2293577981654</v>
      </c>
      <c r="T28" s="21">
        <f t="shared" si="22"/>
        <v>46.12222222222222</v>
      </c>
      <c r="U28" s="35"/>
      <c r="V28" s="61"/>
      <c r="W28" s="13"/>
      <c r="Y28" s="142"/>
    </row>
    <row r="29" spans="1:26" ht="14.4" x14ac:dyDescent="0.3">
      <c r="A29" s="46" t="s">
        <v>77</v>
      </c>
      <c r="B29" s="53" t="s">
        <v>125</v>
      </c>
      <c r="C29" s="59" t="s">
        <v>181</v>
      </c>
      <c r="D29" s="60">
        <v>135</v>
      </c>
      <c r="E29" s="120">
        <v>121.5</v>
      </c>
      <c r="F29" s="95">
        <v>129</v>
      </c>
      <c r="G29" s="95"/>
      <c r="H29" s="95">
        <v>91.5</v>
      </c>
      <c r="I29" s="13"/>
      <c r="J29" s="33"/>
      <c r="K29" s="33"/>
      <c r="L29" s="33"/>
      <c r="M29" s="33"/>
      <c r="N29" s="127">
        <v>0</v>
      </c>
      <c r="O29" s="13"/>
      <c r="P29" s="357"/>
      <c r="Q29" s="24">
        <f t="shared" si="20"/>
        <v>342</v>
      </c>
      <c r="R29" s="5">
        <f t="shared" si="21"/>
        <v>313.76146788990826</v>
      </c>
      <c r="S29" s="5">
        <f t="shared" si="23"/>
        <v>28.238532110091739</v>
      </c>
      <c r="T29" s="21">
        <f t="shared" si="22"/>
        <v>2.5333333333333332</v>
      </c>
      <c r="U29" s="35"/>
      <c r="V29" s="61">
        <v>135</v>
      </c>
      <c r="W29" s="13">
        <f t="shared" si="26"/>
        <v>342</v>
      </c>
      <c r="Y29" s="142"/>
    </row>
    <row r="30" spans="1:26" ht="14.4" x14ac:dyDescent="0.3">
      <c r="A30" s="46" t="s">
        <v>78</v>
      </c>
      <c r="B30" s="53" t="s">
        <v>126</v>
      </c>
      <c r="C30" s="59" t="s">
        <v>182</v>
      </c>
      <c r="D30" s="60">
        <v>54</v>
      </c>
      <c r="E30" s="120">
        <v>73.2</v>
      </c>
      <c r="F30" s="95">
        <v>838.8</v>
      </c>
      <c r="G30" s="95">
        <v>72</v>
      </c>
      <c r="H30" s="95">
        <v>72</v>
      </c>
      <c r="I30" s="13"/>
      <c r="J30" s="33"/>
      <c r="K30" s="33"/>
      <c r="L30" s="33"/>
      <c r="M30" s="33"/>
      <c r="N30" s="127">
        <v>94.200000000000131</v>
      </c>
      <c r="O30" s="417">
        <f>1738.8-44.4</f>
        <v>1694.3999999999999</v>
      </c>
      <c r="P30" s="357"/>
      <c r="Q30" s="24">
        <f t="shared" si="20"/>
        <v>2844.6</v>
      </c>
      <c r="R30" s="5">
        <f t="shared" si="21"/>
        <v>2609.7247706422017</v>
      </c>
      <c r="S30" s="5">
        <f t="shared" si="23"/>
        <v>234.87522935779816</v>
      </c>
      <c r="T30" s="21">
        <f t="shared" si="22"/>
        <v>52.677777777777777</v>
      </c>
      <c r="U30" s="35"/>
      <c r="V30" s="61">
        <v>216</v>
      </c>
      <c r="W30" s="13">
        <f t="shared" si="26"/>
        <v>11378.4</v>
      </c>
      <c r="Y30" s="142"/>
    </row>
    <row r="31" spans="1:26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5">
        <v>556.66666666666663</v>
      </c>
      <c r="G31" s="95"/>
      <c r="H31" s="95"/>
      <c r="I31" s="13"/>
      <c r="J31" s="33"/>
      <c r="K31" s="33"/>
      <c r="L31" s="33"/>
      <c r="M31" s="33"/>
      <c r="N31" s="127">
        <v>0</v>
      </c>
      <c r="O31" s="13">
        <v>500</v>
      </c>
      <c r="P31" s="357"/>
      <c r="Q31" s="24">
        <f t="shared" si="20"/>
        <v>1056.6666666666665</v>
      </c>
      <c r="R31" s="5">
        <f t="shared" si="21"/>
        <v>969.41896024464813</v>
      </c>
      <c r="S31" s="5">
        <f t="shared" si="23"/>
        <v>87.247706422018382</v>
      </c>
      <c r="T31" s="21">
        <f t="shared" si="22"/>
        <v>1.7611111111111108</v>
      </c>
      <c r="U31" s="35"/>
      <c r="V31" s="61"/>
      <c r="W31" s="13"/>
      <c r="Y31" s="142"/>
    </row>
    <row r="32" spans="1:26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5">
        <v>290</v>
      </c>
      <c r="G32" s="95"/>
      <c r="H32" s="95">
        <v>273.33</v>
      </c>
      <c r="I32" s="13"/>
      <c r="J32" s="33"/>
      <c r="K32" s="33"/>
      <c r="L32" s="33"/>
      <c r="M32" s="33"/>
      <c r="N32" s="127">
        <v>0</v>
      </c>
      <c r="O32" s="13">
        <v>571.66666656494135</v>
      </c>
      <c r="P32" s="357"/>
      <c r="Q32" s="24">
        <f t="shared" si="20"/>
        <v>1134.9966665649413</v>
      </c>
      <c r="R32" s="5">
        <f t="shared" si="21"/>
        <v>1041.281345472423</v>
      </c>
      <c r="S32" s="5">
        <f t="shared" si="23"/>
        <v>93.715321092518252</v>
      </c>
      <c r="T32" s="21">
        <f t="shared" si="22"/>
        <v>3.7833222218831377</v>
      </c>
      <c r="U32" s="35"/>
      <c r="V32" s="61">
        <v>300</v>
      </c>
      <c r="W32" s="13">
        <f t="shared" si="26"/>
        <v>1134.9966665649413</v>
      </c>
      <c r="Y32" s="142"/>
    </row>
    <row r="33" spans="1:26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448</v>
      </c>
      <c r="F33" s="95">
        <v>2508</v>
      </c>
      <c r="G33" s="95">
        <v>428</v>
      </c>
      <c r="H33" s="95">
        <v>199.33</v>
      </c>
      <c r="I33" s="13"/>
      <c r="J33" s="33"/>
      <c r="K33" s="33"/>
      <c r="L33" s="33"/>
      <c r="M33" s="33">
        <v>106.66666666666666</v>
      </c>
      <c r="N33" s="127">
        <v>104.00000000000018</v>
      </c>
      <c r="O33" s="13">
        <v>1452.67</v>
      </c>
      <c r="P33" s="357"/>
      <c r="Q33" s="24">
        <f t="shared" si="20"/>
        <v>5246.6666666666661</v>
      </c>
      <c r="R33" s="5">
        <f t="shared" si="21"/>
        <v>4813.4556574923536</v>
      </c>
      <c r="S33" s="5">
        <f t="shared" si="23"/>
        <v>433.21100917431249</v>
      </c>
      <c r="T33" s="21">
        <f t="shared" si="22"/>
        <v>43.722222222222214</v>
      </c>
      <c r="U33" s="35"/>
      <c r="V33" s="61">
        <v>480</v>
      </c>
      <c r="W33" s="13">
        <f t="shared" si="26"/>
        <v>20986.666666666664</v>
      </c>
      <c r="Y33" s="142"/>
    </row>
    <row r="34" spans="1:26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5"/>
      <c r="G34" s="95"/>
      <c r="H34" s="95"/>
      <c r="I34" s="13"/>
      <c r="J34" s="33"/>
      <c r="K34" s="33"/>
      <c r="L34" s="33"/>
      <c r="M34" s="33"/>
      <c r="N34" s="127">
        <v>0</v>
      </c>
      <c r="O34" s="13"/>
      <c r="P34" s="357"/>
      <c r="Q34" s="24">
        <f t="shared" si="20"/>
        <v>0</v>
      </c>
      <c r="R34" s="5">
        <f t="shared" si="21"/>
        <v>0</v>
      </c>
      <c r="S34" s="5">
        <f t="shared" si="23"/>
        <v>0</v>
      </c>
      <c r="T34" s="21">
        <f t="shared" si="22"/>
        <v>0</v>
      </c>
      <c r="U34" s="35"/>
      <c r="V34" s="61"/>
      <c r="W34" s="13"/>
      <c r="Y34" s="142"/>
    </row>
    <row r="35" spans="1:26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5"/>
      <c r="G35" s="95"/>
      <c r="H35" s="95"/>
      <c r="I35" s="13"/>
      <c r="J35" s="33"/>
      <c r="K35" s="33"/>
      <c r="L35" s="33"/>
      <c r="M35" s="33"/>
      <c r="N35" s="127">
        <v>0</v>
      </c>
      <c r="O35" s="13"/>
      <c r="P35" s="357"/>
      <c r="Q35" s="24">
        <f t="shared" si="20"/>
        <v>0</v>
      </c>
      <c r="R35" s="5">
        <f t="shared" si="21"/>
        <v>0</v>
      </c>
      <c r="S35" s="5">
        <f t="shared" si="23"/>
        <v>0</v>
      </c>
      <c r="T35" s="21">
        <f t="shared" si="22"/>
        <v>0</v>
      </c>
      <c r="U35" s="35"/>
      <c r="V35" s="61">
        <v>270</v>
      </c>
      <c r="W35" s="13">
        <f t="shared" si="26"/>
        <v>0</v>
      </c>
      <c r="Y35" s="142"/>
    </row>
    <row r="36" spans="1:26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>
        <v>184.8</v>
      </c>
      <c r="F36" s="95">
        <v>90.6</v>
      </c>
      <c r="G36" s="95"/>
      <c r="H36" s="95">
        <v>90</v>
      </c>
      <c r="I36" s="13"/>
      <c r="J36" s="33"/>
      <c r="K36" s="33"/>
      <c r="L36" s="33"/>
      <c r="M36" s="33"/>
      <c r="N36" s="127">
        <v>89.999999999999858</v>
      </c>
      <c r="O36" s="13"/>
      <c r="P36" s="357"/>
      <c r="Q36" s="24">
        <f t="shared" si="20"/>
        <v>455.39999999999986</v>
      </c>
      <c r="R36" s="5">
        <f t="shared" si="21"/>
        <v>417.79816513761455</v>
      </c>
      <c r="S36" s="5">
        <f t="shared" si="23"/>
        <v>37.601834862385317</v>
      </c>
      <c r="T36" s="21">
        <f t="shared" si="22"/>
        <v>4.216666666666665</v>
      </c>
      <c r="U36" s="35"/>
      <c r="V36" s="61">
        <v>432</v>
      </c>
      <c r="W36" s="13">
        <f t="shared" si="26"/>
        <v>1821.5999999999992</v>
      </c>
      <c r="Y36" s="142"/>
    </row>
    <row r="37" spans="1:26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5">
        <v>836.66666666666674</v>
      </c>
      <c r="G37" s="95"/>
      <c r="H37" s="95"/>
      <c r="I37" s="13"/>
      <c r="J37" s="33"/>
      <c r="K37" s="33"/>
      <c r="L37" s="33"/>
      <c r="M37" s="33"/>
      <c r="N37" s="127">
        <v>0</v>
      </c>
      <c r="O37" s="13"/>
      <c r="P37" s="357"/>
      <c r="Q37" s="24">
        <f t="shared" si="20"/>
        <v>836.66666666666674</v>
      </c>
      <c r="R37" s="5">
        <f t="shared" si="21"/>
        <v>767.58409785932724</v>
      </c>
      <c r="S37" s="5">
        <f t="shared" si="23"/>
        <v>69.082568807339499</v>
      </c>
      <c r="T37" s="21">
        <f t="shared" si="22"/>
        <v>0.92962962962962969</v>
      </c>
      <c r="U37" s="35"/>
      <c r="V37" s="61"/>
      <c r="W37" s="13"/>
      <c r="Y37" s="142"/>
    </row>
    <row r="38" spans="1:26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5">
        <v>420</v>
      </c>
      <c r="G38" s="95"/>
      <c r="H38" s="95"/>
      <c r="I38" s="13"/>
      <c r="J38" s="33"/>
      <c r="K38" s="33"/>
      <c r="L38" s="33"/>
      <c r="M38" s="33"/>
      <c r="N38" s="127">
        <v>0</v>
      </c>
      <c r="O38" s="13"/>
      <c r="P38" s="357"/>
      <c r="Q38" s="24">
        <f t="shared" si="20"/>
        <v>420</v>
      </c>
      <c r="R38" s="5">
        <f t="shared" si="21"/>
        <v>385.32110091743118</v>
      </c>
      <c r="S38" s="5">
        <f t="shared" si="23"/>
        <v>34.678899082568819</v>
      </c>
      <c r="T38" s="21">
        <f t="shared" si="22"/>
        <v>0.93333333333333335</v>
      </c>
      <c r="U38" s="35"/>
      <c r="V38" s="61">
        <v>450</v>
      </c>
      <c r="W38" s="13">
        <f t="shared" si="26"/>
        <v>420</v>
      </c>
      <c r="Y38" s="142"/>
    </row>
    <row r="39" spans="1:26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>
        <v>160</v>
      </c>
      <c r="F39" s="95">
        <v>10954.666666666668</v>
      </c>
      <c r="G39" s="95">
        <v>1473.3333333333335</v>
      </c>
      <c r="H39" s="95">
        <v>1166</v>
      </c>
      <c r="I39" s="13"/>
      <c r="J39" s="33"/>
      <c r="K39" s="33"/>
      <c r="L39" s="33"/>
      <c r="M39" s="33">
        <v>160</v>
      </c>
      <c r="N39" s="127">
        <v>325.33333333333303</v>
      </c>
      <c r="O39" s="13">
        <v>8391.3333687591548</v>
      </c>
      <c r="P39" s="357"/>
      <c r="Q39" s="24">
        <f t="shared" si="20"/>
        <v>22630.666702092491</v>
      </c>
      <c r="R39" s="5">
        <f t="shared" si="21"/>
        <v>20762.07954320412</v>
      </c>
      <c r="S39" s="5">
        <f t="shared" si="23"/>
        <v>1868.5871588883711</v>
      </c>
      <c r="T39" s="21">
        <f t="shared" si="22"/>
        <v>125.72592612273606</v>
      </c>
      <c r="U39" s="35"/>
      <c r="V39" s="61">
        <v>720</v>
      </c>
      <c r="W39" s="13">
        <f t="shared" si="26"/>
        <v>90522.666808369962</v>
      </c>
      <c r="Y39" s="142"/>
    </row>
    <row r="40" spans="1:26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5"/>
      <c r="G40" s="95"/>
      <c r="H40" s="95"/>
      <c r="I40" s="13"/>
      <c r="J40" s="33"/>
      <c r="K40" s="33"/>
      <c r="L40" s="33"/>
      <c r="M40" s="33"/>
      <c r="N40" s="127">
        <v>0</v>
      </c>
      <c r="O40" s="13">
        <v>729</v>
      </c>
      <c r="P40" s="357"/>
      <c r="Q40" s="24">
        <f t="shared" si="20"/>
        <v>729</v>
      </c>
      <c r="R40" s="5">
        <f t="shared" si="21"/>
        <v>668.80733944954125</v>
      </c>
      <c r="S40" s="5">
        <f t="shared" si="23"/>
        <v>60.192660550458754</v>
      </c>
      <c r="T40" s="21">
        <f t="shared" si="22"/>
        <v>0.9</v>
      </c>
      <c r="U40" s="71"/>
      <c r="V40" s="61"/>
      <c r="W40" s="13"/>
      <c r="Y40" s="142"/>
    </row>
    <row r="41" spans="1:26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5"/>
      <c r="G41" s="95"/>
      <c r="H41" s="95"/>
      <c r="I41" s="13"/>
      <c r="J41" s="33"/>
      <c r="K41" s="33"/>
      <c r="L41" s="33"/>
      <c r="M41" s="33"/>
      <c r="N41" s="127">
        <v>0</v>
      </c>
      <c r="O41" s="13">
        <v>370.5</v>
      </c>
      <c r="P41" s="357"/>
      <c r="Q41" s="24">
        <f t="shared" si="20"/>
        <v>370.5</v>
      </c>
      <c r="R41" s="5">
        <f t="shared" si="21"/>
        <v>339.90825688073392</v>
      </c>
      <c r="S41" s="5">
        <f t="shared" si="23"/>
        <v>30.591743119266084</v>
      </c>
      <c r="T41" s="21">
        <f t="shared" si="22"/>
        <v>0.91481481481481486</v>
      </c>
      <c r="U41" s="71"/>
      <c r="V41" s="61">
        <v>405</v>
      </c>
      <c r="W41" s="13">
        <f t="shared" si="26"/>
        <v>370.5</v>
      </c>
      <c r="Y41" s="142"/>
    </row>
    <row r="42" spans="1:26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250">
        <v>883.8</v>
      </c>
      <c r="G42" s="250"/>
      <c r="H42" s="250">
        <v>143.4</v>
      </c>
      <c r="I42" s="25"/>
      <c r="J42" s="239"/>
      <c r="K42" s="239"/>
      <c r="L42" s="239"/>
      <c r="M42" s="239"/>
      <c r="N42" s="221">
        <v>442.79999999999791</v>
      </c>
      <c r="O42" s="25">
        <v>1921.2</v>
      </c>
      <c r="P42" s="358"/>
      <c r="Q42" s="24">
        <f t="shared" si="20"/>
        <v>3391.199999999998</v>
      </c>
      <c r="R42" s="26">
        <f t="shared" si="21"/>
        <v>3111.1926605504568</v>
      </c>
      <c r="S42" s="26">
        <f t="shared" si="23"/>
        <v>280.00733944954118</v>
      </c>
      <c r="T42" s="39">
        <f t="shared" si="22"/>
        <v>20.933333333333319</v>
      </c>
      <c r="U42" s="71"/>
      <c r="V42" s="61">
        <v>648</v>
      </c>
      <c r="W42" s="13">
        <f t="shared" si="26"/>
        <v>13564.79999999999</v>
      </c>
      <c r="Y42" s="14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9.589041095890412</v>
      </c>
      <c r="F43" s="124">
        <v>2267.3698630136987</v>
      </c>
      <c r="G43" s="124">
        <v>437.09589041095887</v>
      </c>
      <c r="H43" s="124">
        <v>705.45</v>
      </c>
      <c r="I43" s="124"/>
      <c r="J43" s="124"/>
      <c r="K43" s="124"/>
      <c r="L43" s="124"/>
      <c r="M43" s="124">
        <v>86.712328767123296</v>
      </c>
      <c r="N43" s="124">
        <v>9.2602739726027306</v>
      </c>
      <c r="O43" s="148">
        <v>9.9178082180023193</v>
      </c>
      <c r="P43" s="352"/>
      <c r="Q43" s="24">
        <f t="shared" si="20"/>
        <v>3525.3952054782762</v>
      </c>
      <c r="R43" s="124">
        <f t="shared" si="21"/>
        <v>3234.307527961721</v>
      </c>
      <c r="S43" s="6">
        <f t="shared" si="23"/>
        <v>291.08767751655523</v>
      </c>
      <c r="T43" s="22">
        <f>+Q43/D43</f>
        <v>352.53952054782764</v>
      </c>
      <c r="U43" s="71"/>
      <c r="V43" s="61"/>
      <c r="W43" s="13"/>
      <c r="X43" s="2"/>
      <c r="Y43" s="1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651.83000000000015</v>
      </c>
      <c r="F44" s="82">
        <f>+SUM(F45:F53)</f>
        <v>11441.189999999999</v>
      </c>
      <c r="G44" s="82">
        <f>+SUM(G45:G53)</f>
        <v>1890.29</v>
      </c>
      <c r="H44" s="82">
        <f>+SUM(H45:H53)</f>
        <v>249.85999999999999</v>
      </c>
      <c r="I44" s="82">
        <f t="shared" ref="I44:T44" si="27">+SUM(I45:I53)</f>
        <v>0</v>
      </c>
      <c r="J44" s="82">
        <f t="shared" si="27"/>
        <v>0</v>
      </c>
      <c r="K44" s="187">
        <f t="shared" si="27"/>
        <v>0</v>
      </c>
      <c r="L44" s="187"/>
      <c r="M44" s="187">
        <f t="shared" si="27"/>
        <v>112.3</v>
      </c>
      <c r="N44" s="187">
        <f t="shared" si="27"/>
        <v>266.28000000000003</v>
      </c>
      <c r="O44" s="187">
        <f t="shared" si="27"/>
        <v>962.6</v>
      </c>
      <c r="P44" s="100">
        <f t="shared" si="27"/>
        <v>0</v>
      </c>
      <c r="Q44" s="42">
        <f>+SUM(Q45:Q53)</f>
        <v>15574.350000000002</v>
      </c>
      <c r="R44" s="82">
        <f t="shared" si="27"/>
        <v>14288.394495412846</v>
      </c>
      <c r="S44" s="82">
        <f t="shared" si="27"/>
        <v>1285.9555045871571</v>
      </c>
      <c r="T44" s="19">
        <f t="shared" si="27"/>
        <v>650.40000000000009</v>
      </c>
      <c r="U44" s="71"/>
      <c r="V44" s="61"/>
      <c r="W44" s="105">
        <f>+SUM(W45:W68)</f>
        <v>8332.0499999999993</v>
      </c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127"/>
      <c r="O45" s="308"/>
      <c r="P45" s="356"/>
      <c r="Q45" s="24">
        <f t="shared" ref="Q45:Q53" si="28">+SUM(E45:P45)</f>
        <v>0</v>
      </c>
      <c r="R45" s="99">
        <f t="shared" ref="R45:R53" si="29">+Q45/1.09</f>
        <v>0</v>
      </c>
      <c r="S45" s="64">
        <f t="shared" ref="S45:S53" si="30">+Q45-R45</f>
        <v>0</v>
      </c>
      <c r="T45" s="85">
        <f t="shared" ref="T45:T53" si="31">Q45/D45</f>
        <v>0</v>
      </c>
      <c r="U45" s="71"/>
      <c r="V45" s="61"/>
      <c r="W45" s="13"/>
      <c r="X45"/>
      <c r="Y45" s="142"/>
      <c r="Z45"/>
    </row>
    <row r="46" spans="1:26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127"/>
      <c r="O46" s="13"/>
      <c r="P46" s="357"/>
      <c r="Q46" s="24">
        <f t="shared" si="28"/>
        <v>0</v>
      </c>
      <c r="R46" s="5">
        <f t="shared" si="29"/>
        <v>0</v>
      </c>
      <c r="S46" s="5">
        <f t="shared" si="30"/>
        <v>0</v>
      </c>
      <c r="T46" s="31">
        <f t="shared" si="31"/>
        <v>0</v>
      </c>
      <c r="U46" s="71"/>
      <c r="V46" s="61">
        <v>6</v>
      </c>
      <c r="W46" s="13">
        <f t="shared" ref="W46:W47" si="32">+T46*V46</f>
        <v>0</v>
      </c>
      <c r="Y46" s="142"/>
    </row>
    <row r="47" spans="1:26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127"/>
      <c r="O47" s="13"/>
      <c r="P47" s="357"/>
      <c r="Q47" s="24">
        <f t="shared" si="28"/>
        <v>0</v>
      </c>
      <c r="R47" s="5">
        <f t="shared" si="29"/>
        <v>0</v>
      </c>
      <c r="S47" s="5">
        <f t="shared" si="30"/>
        <v>0</v>
      </c>
      <c r="T47" s="31">
        <f t="shared" si="31"/>
        <v>0</v>
      </c>
      <c r="U47" s="71"/>
      <c r="V47" s="61">
        <v>9.6</v>
      </c>
      <c r="W47" s="13">
        <f t="shared" si="32"/>
        <v>0</v>
      </c>
      <c r="Y47" s="142"/>
    </row>
    <row r="48" spans="1:26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49</v>
      </c>
      <c r="F48" s="13">
        <v>553</v>
      </c>
      <c r="G48" s="13">
        <v>49</v>
      </c>
      <c r="H48" s="13"/>
      <c r="I48" s="13"/>
      <c r="J48" s="33"/>
      <c r="K48" s="33"/>
      <c r="L48" s="33"/>
      <c r="M48" s="33">
        <v>28</v>
      </c>
      <c r="N48" s="127">
        <v>14</v>
      </c>
      <c r="O48" s="13">
        <v>42</v>
      </c>
      <c r="P48" s="357"/>
      <c r="Q48" s="24">
        <f t="shared" si="28"/>
        <v>735</v>
      </c>
      <c r="R48" s="5">
        <f t="shared" si="29"/>
        <v>674.31192660550448</v>
      </c>
      <c r="S48" s="5">
        <f t="shared" si="30"/>
        <v>60.688073394495518</v>
      </c>
      <c r="T48" s="31">
        <f t="shared" si="31"/>
        <v>35</v>
      </c>
      <c r="U48" s="71"/>
      <c r="V48" s="61"/>
      <c r="W48" s="13"/>
      <c r="Y48" s="142"/>
    </row>
    <row r="49" spans="1:25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70</v>
      </c>
      <c r="G49" s="13">
        <v>17.5</v>
      </c>
      <c r="H49" s="13"/>
      <c r="I49" s="13"/>
      <c r="J49" s="33"/>
      <c r="K49" s="33"/>
      <c r="L49" s="33"/>
      <c r="M49" s="33">
        <v>10.5</v>
      </c>
      <c r="N49" s="127">
        <v>0</v>
      </c>
      <c r="O49" s="13"/>
      <c r="P49" s="357"/>
      <c r="Q49" s="24">
        <f t="shared" si="28"/>
        <v>98</v>
      </c>
      <c r="R49" s="5">
        <f t="shared" si="29"/>
        <v>89.908256880733944</v>
      </c>
      <c r="S49" s="5">
        <f t="shared" si="30"/>
        <v>8.0917431192660558</v>
      </c>
      <c r="T49" s="21">
        <f t="shared" si="31"/>
        <v>9.3333333333333339</v>
      </c>
      <c r="U49" s="71"/>
      <c r="V49" s="61">
        <v>10.5</v>
      </c>
      <c r="W49" s="13">
        <f t="shared" ref="W49:W50" si="33">+T49*V49</f>
        <v>98</v>
      </c>
      <c r="Y49" s="142"/>
    </row>
    <row r="50" spans="1:25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11.2</v>
      </c>
      <c r="F50" s="13">
        <v>289.8</v>
      </c>
      <c r="G50" s="13">
        <v>44.8</v>
      </c>
      <c r="H50" s="13">
        <v>1.4</v>
      </c>
      <c r="I50" s="13"/>
      <c r="J50" s="33"/>
      <c r="K50" s="33"/>
      <c r="L50" s="33"/>
      <c r="M50" s="33"/>
      <c r="N50" s="127">
        <v>11.200000000000001</v>
      </c>
      <c r="O50" s="13">
        <v>35</v>
      </c>
      <c r="P50" s="357"/>
      <c r="Q50" s="24">
        <f t="shared" si="28"/>
        <v>393.4</v>
      </c>
      <c r="R50" s="5">
        <f t="shared" si="29"/>
        <v>360.9174311926605</v>
      </c>
      <c r="S50" s="5">
        <f t="shared" si="30"/>
        <v>32.482568807339476</v>
      </c>
      <c r="T50" s="21">
        <f t="shared" si="31"/>
        <v>93.666666666666657</v>
      </c>
      <c r="U50" s="71"/>
      <c r="V50" s="61">
        <v>16.8</v>
      </c>
      <c r="W50" s="13">
        <f t="shared" si="33"/>
        <v>1573.6</v>
      </c>
      <c r="Y50" s="142"/>
    </row>
    <row r="51" spans="1:25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492</v>
      </c>
      <c r="F51" s="13">
        <v>8802.7000000000007</v>
      </c>
      <c r="G51" s="13">
        <v>1463.7</v>
      </c>
      <c r="H51" s="13">
        <v>213.2</v>
      </c>
      <c r="I51" s="13"/>
      <c r="J51" s="33"/>
      <c r="K51" s="33"/>
      <c r="L51" s="33"/>
      <c r="M51" s="33">
        <v>73.8</v>
      </c>
      <c r="N51" s="127">
        <v>192.70000000000002</v>
      </c>
      <c r="O51" s="13">
        <v>742.1</v>
      </c>
      <c r="P51" s="357"/>
      <c r="Q51" s="24">
        <f t="shared" si="28"/>
        <v>11980.200000000003</v>
      </c>
      <c r="R51" s="5">
        <f t="shared" si="29"/>
        <v>10991.009174311928</v>
      </c>
      <c r="S51" s="5">
        <f t="shared" si="30"/>
        <v>989.19082568807426</v>
      </c>
      <c r="T51" s="21">
        <f t="shared" si="31"/>
        <v>292.20000000000005</v>
      </c>
      <c r="U51" s="71"/>
      <c r="V51" s="61"/>
      <c r="W51" s="13"/>
      <c r="Y51" s="142"/>
    </row>
    <row r="52" spans="1:25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18.45</v>
      </c>
      <c r="F52" s="13">
        <v>719.55</v>
      </c>
      <c r="G52" s="13">
        <v>170.15</v>
      </c>
      <c r="H52" s="13">
        <v>28.7</v>
      </c>
      <c r="I52" s="13"/>
      <c r="J52" s="33"/>
      <c r="K52" s="33"/>
      <c r="L52" s="33"/>
      <c r="M52" s="33"/>
      <c r="N52" s="127">
        <v>0</v>
      </c>
      <c r="O52" s="13"/>
      <c r="P52" s="357"/>
      <c r="Q52" s="24">
        <f t="shared" si="28"/>
        <v>936.85</v>
      </c>
      <c r="R52" s="5">
        <f t="shared" si="29"/>
        <v>859.49541284403665</v>
      </c>
      <c r="S52" s="5">
        <f t="shared" si="30"/>
        <v>77.354587155963372</v>
      </c>
      <c r="T52" s="21">
        <f t="shared" si="31"/>
        <v>45.7</v>
      </c>
      <c r="U52" s="71"/>
      <c r="V52" s="61">
        <v>20.5</v>
      </c>
      <c r="W52" s="13">
        <f t="shared" ref="W52:W53" si="34">+T52*V52</f>
        <v>936.85</v>
      </c>
      <c r="Y52" s="142"/>
    </row>
    <row r="53" spans="1:25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81.180000000000007</v>
      </c>
      <c r="F53" s="14">
        <v>1006.14</v>
      </c>
      <c r="G53" s="14">
        <v>145.13999999999999</v>
      </c>
      <c r="H53" s="14">
        <v>6.56</v>
      </c>
      <c r="I53" s="14"/>
      <c r="J53" s="76"/>
      <c r="K53" s="76"/>
      <c r="L53" s="76"/>
      <c r="M53" s="76"/>
      <c r="N53" s="148">
        <v>48.38000000000001</v>
      </c>
      <c r="O53" s="14">
        <v>143.5</v>
      </c>
      <c r="P53" s="224"/>
      <c r="Q53" s="359">
        <f t="shared" si="28"/>
        <v>1430.9</v>
      </c>
      <c r="R53" s="6">
        <f t="shared" si="29"/>
        <v>1312.7522935779816</v>
      </c>
      <c r="S53" s="6">
        <f t="shared" si="30"/>
        <v>118.14770642201847</v>
      </c>
      <c r="T53" s="22">
        <f t="shared" si="31"/>
        <v>174.50000000000003</v>
      </c>
      <c r="U53" s="35"/>
      <c r="V53" s="61">
        <v>32.799999999999997</v>
      </c>
      <c r="W53" s="13">
        <f t="shared" si="34"/>
        <v>5723.6</v>
      </c>
      <c r="Y53" s="14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W73"/>
  <sheetViews>
    <sheetView topLeftCell="L1" zoomScaleNormal="100" workbookViewId="0">
      <selection activeCell="W46" sqref="W46:W53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8.33203125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1.88671875" style="1" customWidth="1"/>
    <col min="16" max="16" width="11.88671875" style="1" customWidth="1" outlineLevel="1"/>
    <col min="17" max="17" width="12.33203125" style="1" bestFit="1" customWidth="1"/>
    <col min="18" max="18" width="12.33203125" style="1" customWidth="1"/>
    <col min="19" max="19" width="13.109375" style="1" bestFit="1" customWidth="1"/>
    <col min="20" max="20" width="12.33203125" style="1" bestFit="1" customWidth="1"/>
    <col min="21" max="21" width="7.5546875" style="1" customWidth="1"/>
    <col min="22" max="22" width="6.44140625" style="1" customWidth="1" outlineLevel="1"/>
    <col min="23" max="23" width="13.33203125" style="2" customWidth="1" outlineLevel="1"/>
    <col min="24" max="16384" width="8.88671875" style="1"/>
  </cols>
  <sheetData>
    <row r="1" spans="1:23" ht="16.95" customHeight="1" x14ac:dyDescent="0.3">
      <c r="A1" s="40" t="s">
        <v>452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23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>
        <f>+W5/1.09</f>
        <v>6599333.6087706247</v>
      </c>
    </row>
    <row r="3" spans="1:23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270"/>
      <c r="W3" s="584" t="s">
        <v>449</v>
      </c>
    </row>
    <row r="4" spans="1:23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T5" si="0">+E6+E18+E44</f>
        <v>277152.39059360727</v>
      </c>
      <c r="F5" s="82">
        <f t="shared" si="0"/>
        <v>6476322.724063905</v>
      </c>
      <c r="G5" s="82">
        <f t="shared" si="0"/>
        <v>976653.69789954333</v>
      </c>
      <c r="H5" s="82">
        <f t="shared" si="0"/>
        <v>155926.87</v>
      </c>
      <c r="I5" s="187">
        <f t="shared" si="0"/>
        <v>661839.5</v>
      </c>
      <c r="J5" s="187">
        <f t="shared" si="0"/>
        <v>1089790.8</v>
      </c>
      <c r="K5" s="192">
        <f t="shared" si="0"/>
        <v>1010559.6799999998</v>
      </c>
      <c r="L5" s="192">
        <f t="shared" si="0"/>
        <v>603.03999999993971</v>
      </c>
      <c r="M5" s="187">
        <f t="shared" si="0"/>
        <v>91473.56237442921</v>
      </c>
      <c r="N5" s="187">
        <f t="shared" si="0"/>
        <v>112658.30305936074</v>
      </c>
      <c r="O5" s="187">
        <f t="shared" si="0"/>
        <v>615563.60332985863</v>
      </c>
      <c r="P5" s="187">
        <f t="shared" si="0"/>
        <v>11769</v>
      </c>
      <c r="Q5" s="42">
        <f t="shared" ref="Q5:Q10" si="1">+SUM(E5:P5)</f>
        <v>11480313.171320703</v>
      </c>
      <c r="R5" s="42">
        <f t="shared" si="0"/>
        <v>10532397.40488138</v>
      </c>
      <c r="S5" s="42">
        <f t="shared" si="0"/>
        <v>947915.76643932483</v>
      </c>
      <c r="T5" s="44">
        <f t="shared" si="0"/>
        <v>2563468.3814802403</v>
      </c>
      <c r="U5" s="71"/>
      <c r="V5" s="87"/>
      <c r="W5" s="135">
        <f>+W6+W18+W44</f>
        <v>7193273.6335599814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T6" si="2">+E7+E11</f>
        <v>65490.100000000006</v>
      </c>
      <c r="F6" s="82">
        <f t="shared" si="2"/>
        <v>1746991.22</v>
      </c>
      <c r="G6" s="82">
        <f t="shared" si="2"/>
        <v>262275.82</v>
      </c>
      <c r="H6" s="82">
        <f t="shared" si="2"/>
        <v>33457.58</v>
      </c>
      <c r="I6" s="187">
        <f t="shared" si="2"/>
        <v>661839.5</v>
      </c>
      <c r="J6" s="187">
        <f t="shared" si="2"/>
        <v>1089790.8</v>
      </c>
      <c r="K6" s="192">
        <f t="shared" si="2"/>
        <v>1010559.6799999998</v>
      </c>
      <c r="L6" s="192">
        <f t="shared" si="2"/>
        <v>603.03999999993971</v>
      </c>
      <c r="M6" s="187">
        <f t="shared" si="2"/>
        <v>25776.719999999998</v>
      </c>
      <c r="N6" s="187">
        <f t="shared" si="2"/>
        <v>79670.040000000008</v>
      </c>
      <c r="O6" s="187">
        <f t="shared" si="2"/>
        <v>152224.66000000003</v>
      </c>
      <c r="P6" s="187">
        <f t="shared" si="2"/>
        <v>49</v>
      </c>
      <c r="Q6" s="42">
        <f t="shared" si="1"/>
        <v>5128728.16</v>
      </c>
      <c r="R6" s="42">
        <f t="shared" si="2"/>
        <v>4705255.1926605506</v>
      </c>
      <c r="S6" s="42">
        <f t="shared" si="2"/>
        <v>423472.96733944979</v>
      </c>
      <c r="T6" s="44">
        <f t="shared" si="2"/>
        <v>2411698</v>
      </c>
      <c r="V6" s="61"/>
      <c r="W6" s="105">
        <f>+SUM(W8:W17)</f>
        <v>1061970.3400000001</v>
      </c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T7" si="3">+SUM(E8:E10)</f>
        <v>0</v>
      </c>
      <c r="F7" s="269">
        <f t="shared" si="3"/>
        <v>0</v>
      </c>
      <c r="G7" s="126">
        <f t="shared" si="3"/>
        <v>0</v>
      </c>
      <c r="H7" s="126">
        <f t="shared" si="3"/>
        <v>0</v>
      </c>
      <c r="I7" s="126">
        <f t="shared" si="3"/>
        <v>661839.5</v>
      </c>
      <c r="J7" s="126">
        <f t="shared" si="3"/>
        <v>1089790.8</v>
      </c>
      <c r="K7" s="126">
        <f t="shared" si="3"/>
        <v>0</v>
      </c>
      <c r="L7" s="126">
        <f t="shared" si="3"/>
        <v>0</v>
      </c>
      <c r="M7" s="269">
        <f t="shared" si="3"/>
        <v>0</v>
      </c>
      <c r="N7" s="269">
        <f t="shared" si="3"/>
        <v>0</v>
      </c>
      <c r="O7" s="126">
        <f t="shared" si="3"/>
        <v>0</v>
      </c>
      <c r="P7" s="126">
        <f t="shared" si="3"/>
        <v>0</v>
      </c>
      <c r="Q7" s="43">
        <f>+SUM(E7:P7)</f>
        <v>1751630.3</v>
      </c>
      <c r="R7" s="43">
        <f t="shared" si="3"/>
        <v>1607000.2752293576</v>
      </c>
      <c r="S7" s="43">
        <f t="shared" si="3"/>
        <v>144630.02477064237</v>
      </c>
      <c r="T7" s="45">
        <f t="shared" si="3"/>
        <v>625493</v>
      </c>
      <c r="U7" s="71"/>
      <c r="V7" s="134"/>
      <c r="W7" s="105"/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+R_2014_09_priskirta!E9+'R_2014_09_atkelta(viso)'!E8</f>
        <v>0</v>
      </c>
      <c r="F8" s="127">
        <f>+R_2014_09_priskirta!F9+'R_2014_09_atkelta(viso)'!F8</f>
        <v>0</v>
      </c>
      <c r="G8" s="127">
        <f>+R_2014_09_priskirta!G9+'R_2014_09_atkelta(viso)'!G8</f>
        <v>0</v>
      </c>
      <c r="H8" s="127">
        <f>+R_2014_09_priskirta!H9+'R_2014_09_atkelta(viso)'!H8</f>
        <v>0</v>
      </c>
      <c r="I8" s="127">
        <f>+R_2014_09_priskirta!I9+'R_2014_09_atkelta(viso)'!I8</f>
        <v>499436</v>
      </c>
      <c r="J8" s="127">
        <f>+R_2014_09_priskirta!J9+'R_2014_09_atkelta(viso)'!J8</f>
        <v>827470</v>
      </c>
      <c r="K8" s="127">
        <f>+R_2014_09_priskirta!K9+'R_2014_09_atkelta(viso)'!K8</f>
        <v>0</v>
      </c>
      <c r="L8" s="127">
        <f>+R_2014_09_priskirta!L9+'R_2014_09_atkelta(viso)'!L8</f>
        <v>0</v>
      </c>
      <c r="M8" s="127">
        <f>+R_2014_09_priskirta!M9+'R_2014_09_atkelta(viso)'!M8</f>
        <v>0</v>
      </c>
      <c r="N8" s="127">
        <f>+R_2014_09_priskirta!N9+'R_2014_09_atkelta(viso)'!N8</f>
        <v>0</v>
      </c>
      <c r="O8" s="127">
        <f>+R_2014_09_priskirta!O9+'R_2014_09_atkelta(viso)'!O8</f>
        <v>0</v>
      </c>
      <c r="P8" s="127">
        <f>+R_2014_09_priskirta!P9+'R_2014_09_atkelta(viso)'!P8</f>
        <v>0</v>
      </c>
      <c r="Q8" s="24">
        <f t="shared" si="1"/>
        <v>1326906</v>
      </c>
      <c r="R8" s="229">
        <f>+Q8/1.09</f>
        <v>1217344.9541284402</v>
      </c>
      <c r="S8" s="73">
        <f t="shared" ref="S8:S10" si="4">+Q8-R8</f>
        <v>109561.04587155976</v>
      </c>
      <c r="T8" s="39">
        <f>Q8/D8</f>
        <v>379116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+R_2014_09_priskirta!E10+'R_2014_09_atkelta(viso)'!E9</f>
        <v>0</v>
      </c>
      <c r="F9" s="127">
        <f>+R_2014_09_priskirta!F10+'R_2014_09_atkelta(viso)'!F9</f>
        <v>0</v>
      </c>
      <c r="G9" s="127">
        <f>+R_2014_09_priskirta!G10+'R_2014_09_atkelta(viso)'!G9</f>
        <v>0</v>
      </c>
      <c r="H9" s="127">
        <f>+R_2014_09_priskirta!H10+'R_2014_09_atkelta(viso)'!H9</f>
        <v>0</v>
      </c>
      <c r="I9" s="127">
        <f>+R_2014_09_priskirta!I10+'R_2014_09_atkelta(viso)'!I9</f>
        <v>159757.5</v>
      </c>
      <c r="J9" s="127">
        <f>+R_2014_09_priskirta!J10+'R_2014_09_atkelta(viso)'!J9</f>
        <v>260676.5</v>
      </c>
      <c r="K9" s="127">
        <f>+R_2014_09_priskirta!K10+'R_2014_09_atkelta(viso)'!K9</f>
        <v>0</v>
      </c>
      <c r="L9" s="127">
        <f>+R_2014_09_priskirta!L10+'R_2014_09_atkelta(viso)'!L9</f>
        <v>0</v>
      </c>
      <c r="M9" s="127">
        <f>+R_2014_09_priskirta!M10+'R_2014_09_atkelta(viso)'!M9</f>
        <v>0</v>
      </c>
      <c r="N9" s="127">
        <f>+R_2014_09_priskirta!N10+'R_2014_09_atkelta(viso)'!N9</f>
        <v>0</v>
      </c>
      <c r="O9" s="127">
        <f>+R_2014_09_priskirta!O10+'R_2014_09_atkelta(viso)'!O9</f>
        <v>0</v>
      </c>
      <c r="P9" s="127">
        <f>+R_2014_09_priskirta!P10+'R_2014_09_atkelta(viso)'!P9</f>
        <v>0</v>
      </c>
      <c r="Q9" s="24">
        <f t="shared" si="1"/>
        <v>420434</v>
      </c>
      <c r="R9" s="229">
        <f t="shared" ref="R9:R53" si="6">+Q9/1.09</f>
        <v>385719.26605504582</v>
      </c>
      <c r="S9" s="207">
        <f t="shared" si="4"/>
        <v>34714.733944954176</v>
      </c>
      <c r="T9" s="39">
        <f>Q9/D9</f>
        <v>240248</v>
      </c>
      <c r="U9" s="71"/>
      <c r="V9" s="61">
        <v>1.75</v>
      </c>
      <c r="W9" s="13">
        <f>+T9*V9</f>
        <v>420434</v>
      </c>
    </row>
    <row r="10" spans="1:23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+R_2014_09_priskirta!E11+'R_2014_09_atkelta(viso)'!E10</f>
        <v>0</v>
      </c>
      <c r="F10" s="127">
        <f>+R_2014_09_priskirta!F11+'R_2014_09_atkelta(viso)'!F10</f>
        <v>0</v>
      </c>
      <c r="G10" s="127">
        <f>+R_2014_09_priskirta!G11+'R_2014_09_atkelta(viso)'!G10</f>
        <v>0</v>
      </c>
      <c r="H10" s="127">
        <f>+R_2014_09_priskirta!H11+'R_2014_09_atkelta(viso)'!H10</f>
        <v>0</v>
      </c>
      <c r="I10" s="127">
        <f>+R_2014_09_priskirta!I11+'R_2014_09_atkelta(viso)'!I10</f>
        <v>2646</v>
      </c>
      <c r="J10" s="127">
        <f>+R_2014_09_priskirta!J11+'R_2014_09_atkelta(viso)'!J10</f>
        <v>1644.3</v>
      </c>
      <c r="K10" s="127">
        <f>+R_2014_09_priskirta!K11+'R_2014_09_atkelta(viso)'!K10</f>
        <v>0</v>
      </c>
      <c r="L10" s="127">
        <f>+R_2014_09_priskirta!L11+'R_2014_09_atkelta(viso)'!L10</f>
        <v>0</v>
      </c>
      <c r="M10" s="127">
        <f>+R_2014_09_priskirta!M11+'R_2014_09_atkelta(viso)'!M10</f>
        <v>0</v>
      </c>
      <c r="N10" s="127">
        <f>+R_2014_09_priskirta!N11+'R_2014_09_atkelta(viso)'!N10</f>
        <v>0</v>
      </c>
      <c r="O10" s="127">
        <f>+R_2014_09_priskirta!O11+'R_2014_09_atkelta(viso)'!O10</f>
        <v>0</v>
      </c>
      <c r="P10" s="127">
        <f>+R_2014_09_priskirta!P11+'R_2014_09_atkelta(viso)'!P10</f>
        <v>0</v>
      </c>
      <c r="Q10" s="24">
        <f t="shared" si="1"/>
        <v>4290.3</v>
      </c>
      <c r="R10" s="229">
        <f t="shared" si="6"/>
        <v>3936.0550458715593</v>
      </c>
      <c r="S10" s="207">
        <f t="shared" si="4"/>
        <v>354.2449541284409</v>
      </c>
      <c r="T10" s="39">
        <f>Q10/D10</f>
        <v>6129.0000000000009</v>
      </c>
      <c r="U10" s="71"/>
      <c r="V10" s="107">
        <v>2.8</v>
      </c>
      <c r="W10" s="13">
        <f>+T10*V10</f>
        <v>17161.2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65490.100000000006</v>
      </c>
      <c r="F11" s="84">
        <f t="shared" si="7"/>
        <v>1746991.22</v>
      </c>
      <c r="G11" s="84">
        <f t="shared" si="7"/>
        <v>262275.82</v>
      </c>
      <c r="H11" s="84">
        <f t="shared" si="7"/>
        <v>33457.58</v>
      </c>
      <c r="I11" s="84">
        <f t="shared" si="7"/>
        <v>0</v>
      </c>
      <c r="J11" s="74">
        <f t="shared" si="7"/>
        <v>0</v>
      </c>
      <c r="K11" s="101">
        <f t="shared" si="7"/>
        <v>1010559.6799999998</v>
      </c>
      <c r="L11" s="101">
        <f t="shared" si="7"/>
        <v>603.03999999993971</v>
      </c>
      <c r="M11" s="101">
        <f t="shared" ref="M11:T11" si="8">+SUM(M12:M17)</f>
        <v>25776.719999999998</v>
      </c>
      <c r="N11" s="101">
        <f t="shared" ref="N11" si="9">+SUM(N12:N17)</f>
        <v>79670.040000000008</v>
      </c>
      <c r="O11" s="101">
        <f t="shared" si="8"/>
        <v>152224.66000000003</v>
      </c>
      <c r="P11" s="101">
        <f t="shared" ref="P11:Q11" si="10">+SUM(P12:P17)</f>
        <v>49</v>
      </c>
      <c r="Q11" s="43">
        <f t="shared" si="10"/>
        <v>3377097.8600000003</v>
      </c>
      <c r="R11" s="43">
        <f t="shared" si="8"/>
        <v>3098254.9174311929</v>
      </c>
      <c r="S11" s="72">
        <f t="shared" si="8"/>
        <v>278842.94256880746</v>
      </c>
      <c r="T11" s="45">
        <f t="shared" si="8"/>
        <v>1786205.0000000002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+R_2014_09_priskirta!E13+'R_2014_09_atkelta(viso)'!E12</f>
        <v>53402.8</v>
      </c>
      <c r="F12" s="127">
        <f>+R_2014_09_priskirta!F13+'R_2014_09_atkelta(viso)'!F12</f>
        <v>1333989.8</v>
      </c>
      <c r="G12" s="127">
        <f>+R_2014_09_priskirta!G13+'R_2014_09_atkelta(viso)'!G12</f>
        <v>194222.6</v>
      </c>
      <c r="H12" s="127">
        <f>+R_2014_09_priskirta!H13+'R_2014_09_atkelta(viso)'!H12</f>
        <v>24571.8</v>
      </c>
      <c r="I12" s="127">
        <f>+R_2014_09_priskirta!I13+'R_2014_09_atkelta(viso)'!I12</f>
        <v>0</v>
      </c>
      <c r="J12" s="127">
        <f>+R_2014_09_priskirta!J13+'R_2014_09_atkelta(viso)'!J12</f>
        <v>0</v>
      </c>
      <c r="K12" s="127">
        <f>+R_2014_09_priskirta!K13+'R_2014_09_atkelta(viso)'!K12</f>
        <v>775361.4</v>
      </c>
      <c r="L12" s="127">
        <f>+R_2014_09_priskirta!L13+'R_2014_09_atkelta(viso)'!L12</f>
        <v>475.19999999995343</v>
      </c>
      <c r="M12" s="127">
        <f>+R_2014_09_priskirta!M13+'R_2014_09_atkelta(viso)'!M12</f>
        <v>17426.2</v>
      </c>
      <c r="N12" s="127">
        <f>+R_2014_09_priskirta!N13+'R_2014_09_atkelta(viso)'!N12</f>
        <v>69126.2</v>
      </c>
      <c r="O12" s="127">
        <f>+R_2014_09_priskirta!O13+'R_2014_09_atkelta(viso)'!O12</f>
        <v>132598.40000000002</v>
      </c>
      <c r="P12" s="127">
        <f>+R_2014_09_priskirta!P13+'R_2014_09_atkelta(viso)'!P12</f>
        <v>33</v>
      </c>
      <c r="Q12" s="24">
        <f t="shared" ref="Q12" si="11">+SUM(E12:P12)</f>
        <v>2601207.4000000008</v>
      </c>
      <c r="R12" s="229">
        <f>+Q12/1.09</f>
        <v>2386428.8073394503</v>
      </c>
      <c r="S12" s="73">
        <f t="shared" ref="S12" si="12">+Q12-R12</f>
        <v>214778.59266055049</v>
      </c>
      <c r="T12" s="39">
        <f>Q12/D12</f>
        <v>1182367.0000000002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+R_2014_09_priskirta!E14+'R_2014_09_atkelta(viso)'!E13</f>
        <v>10796.5</v>
      </c>
      <c r="F13" s="127">
        <f>+R_2014_09_priskirta!F14+'R_2014_09_atkelta(viso)'!F13</f>
        <v>382160.9</v>
      </c>
      <c r="G13" s="127">
        <f>+R_2014_09_priskirta!G14+'R_2014_09_atkelta(viso)'!G13</f>
        <v>61986.1</v>
      </c>
      <c r="H13" s="127">
        <f>+R_2014_09_priskirta!H14+'R_2014_09_atkelta(viso)'!H13</f>
        <v>8451.2999999999993</v>
      </c>
      <c r="I13" s="127">
        <f>+R_2014_09_priskirta!I14+'R_2014_09_atkelta(viso)'!I13</f>
        <v>0</v>
      </c>
      <c r="J13" s="127">
        <f>+R_2014_09_priskirta!J14+'R_2014_09_atkelta(viso)'!J13</f>
        <v>0</v>
      </c>
      <c r="K13" s="127">
        <f>+R_2014_09_priskirta!K14+'R_2014_09_atkelta(viso)'!K13</f>
        <v>81615.600000000006</v>
      </c>
      <c r="L13" s="127">
        <f>+R_2014_09_priskirta!L14+'R_2014_09_atkelta(viso)'!L13</f>
        <v>44</v>
      </c>
      <c r="M13" s="127">
        <f>+R_2014_09_priskirta!M14+'R_2014_09_atkelta(viso)'!M13</f>
        <v>7862.8</v>
      </c>
      <c r="N13" s="127">
        <f>+R_2014_09_priskirta!N14+'R_2014_09_atkelta(viso)'!N13</f>
        <v>2217.6000000000004</v>
      </c>
      <c r="O13" s="127">
        <f>+R_2014_09_priskirta!O14+'R_2014_09_atkelta(viso)'!O13</f>
        <v>10242.1</v>
      </c>
      <c r="P13" s="127">
        <f>+R_2014_09_priskirta!P14+'R_2014_09_atkelta(viso)'!P13</f>
        <v>0</v>
      </c>
      <c r="Q13" s="24">
        <f t="shared" ref="Q13:Q17" si="13">+SUM(E13:P13)</f>
        <v>565376.9</v>
      </c>
      <c r="R13" s="229">
        <f t="shared" ref="R13:R17" si="14">+Q13/1.09</f>
        <v>518694.40366972476</v>
      </c>
      <c r="S13" s="73">
        <f t="shared" ref="S13:S17" si="15">+Q13-R13</f>
        <v>46682.496330275259</v>
      </c>
      <c r="T13" s="39">
        <f t="shared" ref="T13:T17" si="16">Q13/D13</f>
        <v>513979</v>
      </c>
      <c r="U13" s="71"/>
      <c r="V13" s="107">
        <v>1.1000000000000001</v>
      </c>
      <c r="W13" s="13">
        <f t="shared" ref="W13:W14" si="17">+T13*V13</f>
        <v>565376.9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+R_2014_09_priskirta!E15+'R_2014_09_atkelta(viso)'!E14</f>
        <v>183.92</v>
      </c>
      <c r="F14" s="127">
        <f>+R_2014_09_priskirta!F15+'R_2014_09_atkelta(viso)'!F14</f>
        <v>4684.68</v>
      </c>
      <c r="G14" s="127">
        <f>+R_2014_09_priskirta!G15+'R_2014_09_atkelta(viso)'!G14</f>
        <v>736.56</v>
      </c>
      <c r="H14" s="127">
        <f>+R_2014_09_priskirta!H15+'R_2014_09_atkelta(viso)'!H14</f>
        <v>106.48</v>
      </c>
      <c r="I14" s="127">
        <f>+R_2014_09_priskirta!I15+'R_2014_09_atkelta(viso)'!I14</f>
        <v>0</v>
      </c>
      <c r="J14" s="127">
        <f>+R_2014_09_priskirta!J15+'R_2014_09_atkelta(viso)'!J14</f>
        <v>0</v>
      </c>
      <c r="K14" s="127">
        <f>+R_2014_09_priskirta!K15+'R_2014_09_atkelta(viso)'!K14</f>
        <v>1434.84</v>
      </c>
      <c r="L14" s="127">
        <f>+R_2014_09_priskirta!L15+'R_2014_09_atkelta(viso)'!L14</f>
        <v>0</v>
      </c>
      <c r="M14" s="127">
        <f>+R_2014_09_priskirta!M15+'R_2014_09_atkelta(viso)'!M14</f>
        <v>142.12</v>
      </c>
      <c r="N14" s="127">
        <f>+R_2014_09_priskirta!N15+'R_2014_09_atkelta(viso)'!N14</f>
        <v>487.52000000000004</v>
      </c>
      <c r="O14" s="127">
        <f>+R_2014_09_priskirta!O15+'R_2014_09_atkelta(viso)'!O14</f>
        <v>160.16</v>
      </c>
      <c r="P14" s="127">
        <f>+R_2014_09_priskirta!P15+'R_2014_09_atkelta(viso)'!P14</f>
        <v>0</v>
      </c>
      <c r="Q14" s="24">
        <f t="shared" si="13"/>
        <v>7936.28</v>
      </c>
      <c r="R14" s="229">
        <f t="shared" si="14"/>
        <v>7280.9908256880726</v>
      </c>
      <c r="S14" s="73">
        <f t="shared" si="15"/>
        <v>655.28917431192713</v>
      </c>
      <c r="T14" s="39">
        <f t="shared" si="16"/>
        <v>18037</v>
      </c>
      <c r="U14" s="71"/>
      <c r="V14" s="61">
        <v>1.76</v>
      </c>
      <c r="W14" s="13">
        <f t="shared" si="17"/>
        <v>31745.119999999999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+R_2014_09_priskirta!E16+'R_2014_09_atkelta(viso)'!E15</f>
        <v>825.6</v>
      </c>
      <c r="F15" s="127">
        <f>+R_2014_09_priskirta!F16+'R_2014_09_atkelta(viso)'!F15</f>
        <v>21312</v>
      </c>
      <c r="G15" s="127">
        <f>+R_2014_09_priskirta!G16+'R_2014_09_atkelta(viso)'!G15</f>
        <v>4352</v>
      </c>
      <c r="H15" s="127">
        <f>+R_2014_09_priskirta!H16+'R_2014_09_atkelta(viso)'!H15</f>
        <v>192</v>
      </c>
      <c r="I15" s="127">
        <f>+R_2014_09_priskirta!I16+'R_2014_09_atkelta(viso)'!I15</f>
        <v>0</v>
      </c>
      <c r="J15" s="127">
        <f>+R_2014_09_priskirta!J16+'R_2014_09_atkelta(viso)'!J15</f>
        <v>0</v>
      </c>
      <c r="K15" s="127">
        <f>+R_2014_09_priskirta!K16+'R_2014_09_atkelta(viso)'!K15</f>
        <v>134044.79999999999</v>
      </c>
      <c r="L15" s="127">
        <f>+R_2014_09_priskirta!L16+'R_2014_09_atkelta(viso)'!L15</f>
        <v>63.999999999985448</v>
      </c>
      <c r="M15" s="127">
        <f>+R_2014_09_priskirta!M16+'R_2014_09_atkelta(viso)'!M15</f>
        <v>176</v>
      </c>
      <c r="N15" s="127">
        <f>+R_2014_09_priskirta!N16+'R_2014_09_atkelta(viso)'!N15</f>
        <v>7424.0000000000009</v>
      </c>
      <c r="O15" s="127">
        <f>+R_2014_09_priskirta!O16+'R_2014_09_atkelta(viso)'!O15</f>
        <v>8592</v>
      </c>
      <c r="P15" s="127">
        <f>+R_2014_09_priskirta!P16+'R_2014_09_atkelta(viso)'!P15</f>
        <v>16</v>
      </c>
      <c r="Q15" s="24">
        <f t="shared" si="13"/>
        <v>176998.39999999997</v>
      </c>
      <c r="R15" s="229">
        <f t="shared" si="14"/>
        <v>162383.85321100912</v>
      </c>
      <c r="S15" s="73">
        <f t="shared" si="15"/>
        <v>14614.546788990847</v>
      </c>
      <c r="T15" s="39">
        <f t="shared" si="16"/>
        <v>55311.999999999985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+R_2014_09_priskirta!E17+'R_2014_09_atkelta(viso)'!E16</f>
        <v>260.8</v>
      </c>
      <c r="F16" s="127">
        <f>+R_2014_09_priskirta!F17+'R_2014_09_atkelta(viso)'!F16</f>
        <v>4731.2</v>
      </c>
      <c r="G16" s="127">
        <f>+R_2014_09_priskirta!G17+'R_2014_09_atkelta(viso)'!G16</f>
        <v>972.8</v>
      </c>
      <c r="H16" s="127">
        <f>+R_2014_09_priskirta!H17+'R_2014_09_atkelta(viso)'!H16</f>
        <v>126.4</v>
      </c>
      <c r="I16" s="127">
        <f>+R_2014_09_priskirta!I17+'R_2014_09_atkelta(viso)'!I16</f>
        <v>0</v>
      </c>
      <c r="J16" s="127">
        <f>+R_2014_09_priskirta!J17+'R_2014_09_atkelta(viso)'!J16</f>
        <v>0</v>
      </c>
      <c r="K16" s="127">
        <f>+R_2014_09_priskirta!K17+'R_2014_09_atkelta(viso)'!K16</f>
        <v>17817.599999999999</v>
      </c>
      <c r="L16" s="127">
        <f>+R_2014_09_priskirta!L17+'R_2014_09_atkelta(viso)'!L16</f>
        <v>19.200000000000728</v>
      </c>
      <c r="M16" s="127">
        <f>+R_2014_09_priskirta!M17+'R_2014_09_atkelta(viso)'!M16</f>
        <v>169.6</v>
      </c>
      <c r="N16" s="127">
        <f>+R_2014_09_priskirta!N17+'R_2014_09_atkelta(viso)'!N16</f>
        <v>316.8</v>
      </c>
      <c r="O16" s="127">
        <f>+R_2014_09_priskirta!O17+'R_2014_09_atkelta(viso)'!O16</f>
        <v>606.4</v>
      </c>
      <c r="P16" s="127">
        <f>+R_2014_09_priskirta!P17+'R_2014_09_atkelta(viso)'!P16</f>
        <v>0</v>
      </c>
      <c r="Q16" s="24">
        <f t="shared" si="13"/>
        <v>25020.799999999999</v>
      </c>
      <c r="R16" s="229">
        <f t="shared" si="14"/>
        <v>22954.862385321099</v>
      </c>
      <c r="S16" s="73">
        <f t="shared" si="15"/>
        <v>2065.9376146789</v>
      </c>
      <c r="T16" s="39">
        <f t="shared" si="16"/>
        <v>15637.999999999998</v>
      </c>
      <c r="U16" s="71"/>
      <c r="V16" s="13">
        <v>1.6</v>
      </c>
      <c r="W16" s="13">
        <f t="shared" ref="W16:W17" si="18">+T16*V16</f>
        <v>25020.799999999999</v>
      </c>
    </row>
    <row r="17" spans="1:23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+R_2014_09_priskirta!E18+'R_2014_09_atkelta(viso)'!E17</f>
        <v>20.48</v>
      </c>
      <c r="F17" s="127">
        <f>+R_2014_09_priskirta!F18+'R_2014_09_atkelta(viso)'!F17</f>
        <v>112.64</v>
      </c>
      <c r="G17" s="127">
        <f>+R_2014_09_priskirta!G18+'R_2014_09_atkelta(viso)'!G17</f>
        <v>5.76</v>
      </c>
      <c r="H17" s="127">
        <f>+R_2014_09_priskirta!H18+'R_2014_09_atkelta(viso)'!H17</f>
        <v>9.6</v>
      </c>
      <c r="I17" s="127">
        <f>+R_2014_09_priskirta!I18+'R_2014_09_atkelta(viso)'!I17</f>
        <v>0</v>
      </c>
      <c r="J17" s="127">
        <f>+R_2014_09_priskirta!J18+'R_2014_09_atkelta(viso)'!J17</f>
        <v>0</v>
      </c>
      <c r="K17" s="127">
        <f>+R_2014_09_priskirta!K18+'R_2014_09_atkelta(viso)'!K17</f>
        <v>285.44</v>
      </c>
      <c r="L17" s="127">
        <f>+R_2014_09_priskirta!L18+'R_2014_09_atkelta(viso)'!L17</f>
        <v>0.6400000000000432</v>
      </c>
      <c r="M17" s="127">
        <f>+R_2014_09_priskirta!M18+'R_2014_09_atkelta(viso)'!M17</f>
        <v>0</v>
      </c>
      <c r="N17" s="127">
        <f>+R_2014_09_priskirta!N18+'R_2014_09_atkelta(viso)'!N17</f>
        <v>97.920000000000016</v>
      </c>
      <c r="O17" s="127">
        <f>+R_2014_09_priskirta!O18+'R_2014_09_atkelta(viso)'!O17</f>
        <v>25.6</v>
      </c>
      <c r="P17" s="127">
        <f>+R_2014_09_priskirta!P18+'R_2014_09_atkelta(viso)'!P17</f>
        <v>0</v>
      </c>
      <c r="Q17" s="24">
        <f t="shared" si="13"/>
        <v>558.08000000000004</v>
      </c>
      <c r="R17" s="229">
        <f t="shared" si="14"/>
        <v>512</v>
      </c>
      <c r="S17" s="73">
        <f t="shared" si="15"/>
        <v>46.080000000000041</v>
      </c>
      <c r="T17" s="39">
        <f t="shared" si="16"/>
        <v>872</v>
      </c>
      <c r="U17" s="71"/>
      <c r="V17" s="61">
        <v>2.56</v>
      </c>
      <c r="W17" s="13">
        <f t="shared" si="18"/>
        <v>2232.3200000000002</v>
      </c>
    </row>
    <row r="18" spans="1:23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204101.83059360727</v>
      </c>
      <c r="F18" s="118">
        <f t="shared" ref="F18:T18" si="19">+SUM(F19:F43)</f>
        <v>4557531.1640639054</v>
      </c>
      <c r="G18" s="118">
        <f t="shared" si="19"/>
        <v>686704.23789954337</v>
      </c>
      <c r="H18" s="118">
        <f t="shared" si="19"/>
        <v>117013.61000000002</v>
      </c>
      <c r="I18" s="118">
        <f t="shared" si="19"/>
        <v>0</v>
      </c>
      <c r="J18" s="118">
        <f t="shared" si="19"/>
        <v>0</v>
      </c>
      <c r="K18" s="118">
        <f t="shared" si="19"/>
        <v>0</v>
      </c>
      <c r="L18" s="118">
        <f t="shared" ref="L18" si="20">+SUM(L19:L43)</f>
        <v>0</v>
      </c>
      <c r="M18" s="118">
        <f t="shared" si="19"/>
        <v>63783.92237442921</v>
      </c>
      <c r="N18" s="118">
        <f t="shared" ref="N18" si="21">+SUM(N19:N43)</f>
        <v>29247.673059360728</v>
      </c>
      <c r="O18" s="118">
        <f t="shared" si="19"/>
        <v>446419.05332985858</v>
      </c>
      <c r="P18" s="118">
        <f t="shared" ref="P18" si="22">+SUM(P19:P43)</f>
        <v>11720</v>
      </c>
      <c r="Q18" s="42">
        <f>+SUM(Q19:Q43)</f>
        <v>6116521.4913207032</v>
      </c>
      <c r="R18" s="118">
        <f t="shared" si="19"/>
        <v>5611487.6067162426</v>
      </c>
      <c r="S18" s="118">
        <f t="shared" si="19"/>
        <v>505033.88460446225</v>
      </c>
      <c r="T18" s="253">
        <f t="shared" si="19"/>
        <v>120370.74814690682</v>
      </c>
      <c r="U18" s="71"/>
      <c r="V18" s="61"/>
      <c r="W18" s="105">
        <f>+SUM(W19:W43)</f>
        <v>5829932.5135599812</v>
      </c>
    </row>
    <row r="19" spans="1:23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+R_2014_09_priskirta!E20+'R_2014_09_atkelta(viso)'!E19</f>
        <v>115483.33333333331</v>
      </c>
      <c r="F19" s="127">
        <f>+R_2014_09_priskirta!F20+'R_2014_09_atkelta(viso)'!F19</f>
        <v>2537433.3333333107</v>
      </c>
      <c r="G19" s="127">
        <f>+R_2014_09_priskirta!G20+'R_2014_09_atkelta(viso)'!G19</f>
        <v>371803.3333333332</v>
      </c>
      <c r="H19" s="127">
        <f>+R_2014_09_priskirta!H20+'R_2014_09_atkelta(viso)'!H19</f>
        <v>57236.66</v>
      </c>
      <c r="I19" s="127">
        <f>+R_2014_09_priskirta!I20+'R_2014_09_atkelta(viso)'!I19</f>
        <v>0</v>
      </c>
      <c r="J19" s="127">
        <f>+R_2014_09_priskirta!J20+'R_2014_09_atkelta(viso)'!J19</f>
        <v>0</v>
      </c>
      <c r="K19" s="127">
        <f>+R_2014_09_priskirta!K20+'R_2014_09_atkelta(viso)'!K19</f>
        <v>0</v>
      </c>
      <c r="L19" s="127">
        <f>+R_2014_09_priskirta!L20+'R_2014_09_atkelta(viso)'!L19</f>
        <v>0</v>
      </c>
      <c r="M19" s="127">
        <f>+R_2014_09_priskirta!M20+'R_2014_09_atkelta(viso)'!M19</f>
        <v>36183.333333333328</v>
      </c>
      <c r="N19" s="127">
        <f>+R_2014_09_priskirta!N20+'R_2014_09_atkelta(viso)'!N19</f>
        <v>17076.666666666664</v>
      </c>
      <c r="O19" s="127">
        <f>+R_2014_09_priskirta!O20+'R_2014_09_atkelta(viso)'!O19</f>
        <v>216603.376047058</v>
      </c>
      <c r="P19" s="127">
        <f>+R_2014_09_priskirta!P20+'R_2014_09_atkelta(viso)'!P19</f>
        <v>11000</v>
      </c>
      <c r="Q19" s="24">
        <f t="shared" ref="Q19:Q53" si="23">+SUM(E19:P19)</f>
        <v>3362820.0360470354</v>
      </c>
      <c r="R19" s="229">
        <f t="shared" si="6"/>
        <v>3085155.9963734266</v>
      </c>
      <c r="S19" s="93">
        <f>+Q19-R19</f>
        <v>277664.03967360873</v>
      </c>
      <c r="T19" s="94">
        <f t="shared" ref="T19:T43" si="24">Q19/D19</f>
        <v>33628.200360470357</v>
      </c>
      <c r="U19" s="71"/>
      <c r="V19" s="61"/>
      <c r="W19" s="106"/>
    </row>
    <row r="20" spans="1:23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f>+R_2014_09_priskirta!E21+'R_2014_09_atkelta(viso)'!E20</f>
        <v>22875.000000000004</v>
      </c>
      <c r="F20" s="127">
        <f>+R_2014_09_priskirta!F21+'R_2014_09_atkelta(viso)'!F20</f>
        <v>709941.66666666791</v>
      </c>
      <c r="G20" s="127">
        <f>+R_2014_09_priskirta!G21+'R_2014_09_atkelta(viso)'!G20</f>
        <v>101325.00000000009</v>
      </c>
      <c r="H20" s="127">
        <f>+R_2014_09_priskirta!H21+'R_2014_09_atkelta(viso)'!H20</f>
        <v>20153.330000000002</v>
      </c>
      <c r="I20" s="127">
        <f>+R_2014_09_priskirta!I21+'R_2014_09_atkelta(viso)'!I20</f>
        <v>0</v>
      </c>
      <c r="J20" s="127">
        <f>+R_2014_09_priskirta!J21+'R_2014_09_atkelta(viso)'!J20</f>
        <v>0</v>
      </c>
      <c r="K20" s="127">
        <f>+R_2014_09_priskirta!K21+'R_2014_09_atkelta(viso)'!K20</f>
        <v>0</v>
      </c>
      <c r="L20" s="127">
        <f>+R_2014_09_priskirta!L21+'R_2014_09_atkelta(viso)'!L20</f>
        <v>0</v>
      </c>
      <c r="M20" s="127">
        <f>+R_2014_09_priskirta!M21+'R_2014_09_atkelta(viso)'!M20</f>
        <v>12980</v>
      </c>
      <c r="N20" s="127">
        <f>+R_2014_09_priskirta!N21+'R_2014_09_atkelta(viso)'!N20</f>
        <v>425</v>
      </c>
      <c r="O20" s="127">
        <f>+R_2014_09_priskirta!O21+'R_2014_09_atkelta(viso)'!O20</f>
        <v>12753.330352325436</v>
      </c>
      <c r="P20" s="127">
        <f>+R_2014_09_priskirta!P21+'R_2014_09_atkelta(viso)'!P20</f>
        <v>0</v>
      </c>
      <c r="Q20" s="24">
        <f t="shared" si="23"/>
        <v>880453.32701899344</v>
      </c>
      <c r="R20" s="229">
        <f t="shared" si="6"/>
        <v>807755.34588898474</v>
      </c>
      <c r="S20" s="73">
        <f t="shared" ref="S20:S43" si="25">+Q20-R20</f>
        <v>72697.981130008702</v>
      </c>
      <c r="T20" s="21">
        <f t="shared" si="24"/>
        <v>17609.06654037987</v>
      </c>
      <c r="U20" s="71"/>
      <c r="V20" s="61">
        <v>50</v>
      </c>
      <c r="W20" s="13">
        <f t="shared" ref="W20:W21" si="26">+T20*V20</f>
        <v>880453.32701899356</v>
      </c>
    </row>
    <row r="21" spans="1:23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+R_2014_09_priskirta!E22+'R_2014_09_atkelta(viso)'!E21</f>
        <v>42362.67</v>
      </c>
      <c r="F21" s="127">
        <f>+R_2014_09_priskirta!F22+'R_2014_09_atkelta(viso)'!F21</f>
        <v>855492</v>
      </c>
      <c r="G21" s="127">
        <f>+R_2014_09_priskirta!G22+'R_2014_09_atkelta(viso)'!G21</f>
        <v>138771.33000000002</v>
      </c>
      <c r="H21" s="127">
        <f>+R_2014_09_priskirta!H22+'R_2014_09_atkelta(viso)'!H21</f>
        <v>20116.669999999998</v>
      </c>
      <c r="I21" s="127">
        <f>+R_2014_09_priskirta!I22+'R_2014_09_atkelta(viso)'!I21</f>
        <v>0</v>
      </c>
      <c r="J21" s="127">
        <f>+R_2014_09_priskirta!J22+'R_2014_09_atkelta(viso)'!J21</f>
        <v>0</v>
      </c>
      <c r="K21" s="127">
        <f>+R_2014_09_priskirta!K22+'R_2014_09_atkelta(viso)'!K21</f>
        <v>0</v>
      </c>
      <c r="L21" s="127">
        <f>+R_2014_09_priskirta!L22+'R_2014_09_atkelta(viso)'!L21</f>
        <v>0</v>
      </c>
      <c r="M21" s="127">
        <f>+R_2014_09_priskirta!M22+'R_2014_09_atkelta(viso)'!M21</f>
        <v>8747.34</v>
      </c>
      <c r="N21" s="127">
        <f>+R_2014_09_priskirta!N22+'R_2014_09_atkelta(viso)'!N21</f>
        <v>7308.6666666666679</v>
      </c>
      <c r="O21" s="127">
        <f>+R_2014_09_priskirta!O22+'R_2014_09_atkelta(viso)'!O21</f>
        <v>89036</v>
      </c>
      <c r="P21" s="127">
        <f>+R_2014_09_priskirta!P22+'R_2014_09_atkelta(viso)'!P21</f>
        <v>0</v>
      </c>
      <c r="Q21" s="24">
        <f t="shared" si="23"/>
        <v>1161834.6766666668</v>
      </c>
      <c r="R21" s="229">
        <f t="shared" si="6"/>
        <v>1065903.3730886851</v>
      </c>
      <c r="S21" s="73">
        <f t="shared" si="25"/>
        <v>95931.303577981656</v>
      </c>
      <c r="T21" s="21">
        <f t="shared" si="24"/>
        <v>58091.733833333339</v>
      </c>
      <c r="U21" s="71"/>
      <c r="V21" s="61">
        <v>80</v>
      </c>
      <c r="W21" s="13">
        <f t="shared" si="26"/>
        <v>4647338.706666667</v>
      </c>
    </row>
    <row r="22" spans="1:23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f>+R_2014_09_priskirta!E23+'R_2014_09_atkelta(viso)'!E22</f>
        <v>18765</v>
      </c>
      <c r="F22" s="127">
        <f>+R_2014_09_priskirta!F23+'R_2014_09_atkelta(viso)'!F22</f>
        <v>375864</v>
      </c>
      <c r="G22" s="127">
        <f>+R_2014_09_priskirta!G23+'R_2014_09_atkelta(viso)'!G22</f>
        <v>64230</v>
      </c>
      <c r="H22" s="127">
        <f>+R_2014_09_priskirta!H23+'R_2014_09_atkelta(viso)'!H22</f>
        <v>12741</v>
      </c>
      <c r="I22" s="127">
        <f>+R_2014_09_priskirta!I23+'R_2014_09_atkelta(viso)'!I22</f>
        <v>0</v>
      </c>
      <c r="J22" s="127">
        <f>+R_2014_09_priskirta!J23+'R_2014_09_atkelta(viso)'!J22</f>
        <v>0</v>
      </c>
      <c r="K22" s="127">
        <f>+R_2014_09_priskirta!K23+'R_2014_09_atkelta(viso)'!K22</f>
        <v>0</v>
      </c>
      <c r="L22" s="127">
        <f>+R_2014_09_priskirta!L23+'R_2014_09_atkelta(viso)'!L22</f>
        <v>0</v>
      </c>
      <c r="M22" s="127">
        <f>+R_2014_09_priskirta!M23+'R_2014_09_atkelta(viso)'!M22</f>
        <v>4629</v>
      </c>
      <c r="N22" s="127">
        <f>+R_2014_09_priskirta!N23+'R_2014_09_atkelta(viso)'!N22</f>
        <v>3426</v>
      </c>
      <c r="O22" s="127">
        <f>+R_2014_09_priskirta!O23+'R_2014_09_atkelta(viso)'!O22</f>
        <v>86640</v>
      </c>
      <c r="P22" s="127">
        <f>+R_2014_09_priskirta!P23+'R_2014_09_atkelta(viso)'!P22</f>
        <v>720</v>
      </c>
      <c r="Q22" s="24">
        <f t="shared" si="23"/>
        <v>567015</v>
      </c>
      <c r="R22" s="229">
        <f t="shared" si="6"/>
        <v>520197.247706422</v>
      </c>
      <c r="S22" s="73">
        <f t="shared" si="25"/>
        <v>46817.752293578</v>
      </c>
      <c r="T22" s="21">
        <f t="shared" si="24"/>
        <v>6300.166666666667</v>
      </c>
      <c r="U22" s="71"/>
      <c r="V22" s="61"/>
      <c r="W22" s="13"/>
    </row>
    <row r="23" spans="1:23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f>+R_2014_09_priskirta!E24+'R_2014_09_atkelta(viso)'!E23</f>
        <v>807</v>
      </c>
      <c r="F23" s="127">
        <f>+R_2014_09_priskirta!F24+'R_2014_09_atkelta(viso)'!F23</f>
        <v>21880.5</v>
      </c>
      <c r="G23" s="127">
        <f>+R_2014_09_priskirta!G24+'R_2014_09_atkelta(viso)'!G23</f>
        <v>3766.5</v>
      </c>
      <c r="H23" s="127">
        <f>+R_2014_09_priskirta!H24+'R_2014_09_atkelta(viso)'!H23</f>
        <v>874.5</v>
      </c>
      <c r="I23" s="127">
        <f>+R_2014_09_priskirta!I24+'R_2014_09_atkelta(viso)'!I23</f>
        <v>0</v>
      </c>
      <c r="J23" s="127">
        <f>+R_2014_09_priskirta!J24+'R_2014_09_atkelta(viso)'!J23</f>
        <v>0</v>
      </c>
      <c r="K23" s="127">
        <f>+R_2014_09_priskirta!K24+'R_2014_09_atkelta(viso)'!K23</f>
        <v>0</v>
      </c>
      <c r="L23" s="127">
        <f>+R_2014_09_priskirta!L24+'R_2014_09_atkelta(viso)'!L23</f>
        <v>0</v>
      </c>
      <c r="M23" s="127">
        <f>+R_2014_09_priskirta!M24+'R_2014_09_atkelta(viso)'!M23</f>
        <v>370.5</v>
      </c>
      <c r="N23" s="127">
        <f>+R_2014_09_priskirta!N24+'R_2014_09_atkelta(viso)'!N23</f>
        <v>15</v>
      </c>
      <c r="O23" s="127">
        <f>+R_2014_09_priskirta!O24+'R_2014_09_atkelta(viso)'!O23</f>
        <v>2775</v>
      </c>
      <c r="P23" s="127">
        <f>+R_2014_09_priskirta!P24+'R_2014_09_atkelta(viso)'!P23</f>
        <v>0</v>
      </c>
      <c r="Q23" s="24">
        <f t="shared" si="23"/>
        <v>30489</v>
      </c>
      <c r="R23" s="229">
        <f t="shared" si="6"/>
        <v>27971.559633027522</v>
      </c>
      <c r="S23" s="73">
        <f t="shared" si="25"/>
        <v>2517.4403669724779</v>
      </c>
      <c r="T23" s="21">
        <f t="shared" si="24"/>
        <v>677.5333333333333</v>
      </c>
      <c r="U23" s="71"/>
      <c r="V23" s="61">
        <v>45</v>
      </c>
      <c r="W23" s="13">
        <f t="shared" ref="W23:W24" si="27">+T23*V23</f>
        <v>30489</v>
      </c>
    </row>
    <row r="24" spans="1:23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+R_2014_09_priskirta!E25+'R_2014_09_atkelta(viso)'!E24</f>
        <v>1977.6</v>
      </c>
      <c r="F24" s="127">
        <f>+R_2014_09_priskirta!F25+'R_2014_09_atkelta(viso)'!F24</f>
        <v>20970</v>
      </c>
      <c r="G24" s="127">
        <f>+R_2014_09_priskirta!G25+'R_2014_09_atkelta(viso)'!G24</f>
        <v>3143.4</v>
      </c>
      <c r="H24" s="127">
        <f>+R_2014_09_priskirta!H25+'R_2014_09_atkelta(viso)'!H24</f>
        <v>631.20000000000005</v>
      </c>
      <c r="I24" s="127">
        <f>+R_2014_09_priskirta!I25+'R_2014_09_atkelta(viso)'!I24</f>
        <v>0</v>
      </c>
      <c r="J24" s="127">
        <f>+R_2014_09_priskirta!J25+'R_2014_09_atkelta(viso)'!J24</f>
        <v>0</v>
      </c>
      <c r="K24" s="127">
        <f>+R_2014_09_priskirta!K25+'R_2014_09_atkelta(viso)'!K24</f>
        <v>0</v>
      </c>
      <c r="L24" s="127">
        <f>+R_2014_09_priskirta!L25+'R_2014_09_atkelta(viso)'!L24</f>
        <v>0</v>
      </c>
      <c r="M24" s="127">
        <f>+R_2014_09_priskirta!M25+'R_2014_09_atkelta(viso)'!M24</f>
        <v>477.6</v>
      </c>
      <c r="N24" s="127">
        <f>+R_2014_09_priskirta!N25+'R_2014_09_atkelta(viso)'!N24</f>
        <v>462.59999999999991</v>
      </c>
      <c r="O24" s="127">
        <f>+R_2014_09_priskirta!O25+'R_2014_09_atkelta(viso)'!O24</f>
        <v>6493.8</v>
      </c>
      <c r="P24" s="127">
        <f>+R_2014_09_priskirta!P25+'R_2014_09_atkelta(viso)'!P24</f>
        <v>0</v>
      </c>
      <c r="Q24" s="24">
        <f t="shared" si="23"/>
        <v>34156.199999999997</v>
      </c>
      <c r="R24" s="229">
        <f t="shared" si="6"/>
        <v>31335.963302752287</v>
      </c>
      <c r="S24" s="73">
        <f t="shared" si="25"/>
        <v>2820.2366972477103</v>
      </c>
      <c r="T24" s="21">
        <f t="shared" si="24"/>
        <v>1897.5666666666666</v>
      </c>
      <c r="U24" s="71"/>
      <c r="V24" s="61">
        <v>72</v>
      </c>
      <c r="W24" s="13">
        <f t="shared" si="27"/>
        <v>136624.79999999999</v>
      </c>
    </row>
    <row r="25" spans="1:23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+R_2014_09_priskirta!E26+'R_2014_09_atkelta(viso)'!E25</f>
        <v>210</v>
      </c>
      <c r="F25" s="127">
        <f>+R_2014_09_priskirta!F26+'R_2014_09_atkelta(viso)'!F25</f>
        <v>3956.666666666667</v>
      </c>
      <c r="G25" s="127">
        <f>+R_2014_09_priskirta!G26+'R_2014_09_atkelta(viso)'!G25</f>
        <v>79.999999999999986</v>
      </c>
      <c r="H25" s="127">
        <f>+R_2014_09_priskirta!H26+'R_2014_09_atkelta(viso)'!H25</f>
        <v>203.32999999999998</v>
      </c>
      <c r="I25" s="127">
        <f>+R_2014_09_priskirta!I26+'R_2014_09_atkelta(viso)'!I25</f>
        <v>0</v>
      </c>
      <c r="J25" s="127">
        <f>+R_2014_09_priskirta!J26+'R_2014_09_atkelta(viso)'!J25</f>
        <v>0</v>
      </c>
      <c r="K25" s="127">
        <f>+R_2014_09_priskirta!K26+'R_2014_09_atkelta(viso)'!K25</f>
        <v>0</v>
      </c>
      <c r="L25" s="127">
        <f>+R_2014_09_priskirta!L26+'R_2014_09_atkelta(viso)'!L25</f>
        <v>0</v>
      </c>
      <c r="M25" s="127">
        <f>+R_2014_09_priskirta!M26+'R_2014_09_atkelta(viso)'!M25</f>
        <v>100</v>
      </c>
      <c r="N25" s="127">
        <f>+R_2014_09_priskirta!N26+'R_2014_09_atkelta(viso)'!N25</f>
        <v>83.333333333333329</v>
      </c>
      <c r="O25" s="127">
        <f>+R_2014_09_priskirta!O26+'R_2014_09_atkelta(viso)'!O25</f>
        <v>5476.6667218017574</v>
      </c>
      <c r="P25" s="127">
        <f>+R_2014_09_priskirta!P26+'R_2014_09_atkelta(viso)'!P25</f>
        <v>0</v>
      </c>
      <c r="Q25" s="24">
        <f t="shared" si="23"/>
        <v>10109.996721801757</v>
      </c>
      <c r="R25" s="229">
        <f t="shared" si="6"/>
        <v>9275.2263502768401</v>
      </c>
      <c r="S25" s="73">
        <f t="shared" si="25"/>
        <v>834.77037152491721</v>
      </c>
      <c r="T25" s="21">
        <f t="shared" si="24"/>
        <v>33.699989072672523</v>
      </c>
      <c r="U25" s="71"/>
      <c r="V25" s="61"/>
      <c r="W25" s="13"/>
    </row>
    <row r="26" spans="1:23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+R_2014_09_priskirta!E27+'R_2014_09_atkelta(viso)'!E26</f>
        <v>50</v>
      </c>
      <c r="F26" s="127">
        <f>+R_2014_09_priskirta!F27+'R_2014_09_atkelta(viso)'!F26</f>
        <v>4150</v>
      </c>
      <c r="G26" s="127">
        <f>+R_2014_09_priskirta!G27+'R_2014_09_atkelta(viso)'!G26</f>
        <v>268.33333333333331</v>
      </c>
      <c r="H26" s="127">
        <f>+R_2014_09_priskirta!H27+'R_2014_09_atkelta(viso)'!H26</f>
        <v>538.33000000000004</v>
      </c>
      <c r="I26" s="127">
        <f>+R_2014_09_priskirta!I27+'R_2014_09_atkelta(viso)'!I26</f>
        <v>0</v>
      </c>
      <c r="J26" s="127">
        <f>+R_2014_09_priskirta!J27+'R_2014_09_atkelta(viso)'!J26</f>
        <v>0</v>
      </c>
      <c r="K26" s="127">
        <f>+R_2014_09_priskirta!K27+'R_2014_09_atkelta(viso)'!K26</f>
        <v>0</v>
      </c>
      <c r="L26" s="127">
        <f>+R_2014_09_priskirta!L27+'R_2014_09_atkelta(viso)'!L26</f>
        <v>0</v>
      </c>
      <c r="M26" s="127">
        <f>+R_2014_09_priskirta!M27+'R_2014_09_atkelta(viso)'!M26</f>
        <v>6.67</v>
      </c>
      <c r="N26" s="127">
        <f>+R_2014_09_priskirta!N27+'R_2014_09_atkelta(viso)'!N26</f>
        <v>0</v>
      </c>
      <c r="O26" s="127">
        <f>+R_2014_09_priskirta!O27+'R_2014_09_atkelta(viso)'!O26</f>
        <v>863.33334762573236</v>
      </c>
      <c r="P26" s="127">
        <f>+R_2014_09_priskirta!P27+'R_2014_09_atkelta(viso)'!P26</f>
        <v>0</v>
      </c>
      <c r="Q26" s="24">
        <f t="shared" si="23"/>
        <v>5876.6666809590652</v>
      </c>
      <c r="R26" s="229">
        <f t="shared" si="6"/>
        <v>5391.4373219807931</v>
      </c>
      <c r="S26" s="73">
        <f t="shared" si="25"/>
        <v>485.2293589782721</v>
      </c>
      <c r="T26" s="21">
        <f t="shared" si="24"/>
        <v>39.177777873060435</v>
      </c>
      <c r="U26" s="71"/>
      <c r="V26" s="61">
        <v>150</v>
      </c>
      <c r="W26" s="13">
        <f t="shared" ref="W26:W42" si="28">+T26*V26</f>
        <v>5876.6666809590652</v>
      </c>
    </row>
    <row r="27" spans="1:23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+R_2014_09_priskirta!E28+'R_2014_09_atkelta(viso)'!E27</f>
        <v>649.32999999999993</v>
      </c>
      <c r="F27" s="127">
        <f>+R_2014_09_priskirta!F28+'R_2014_09_atkelta(viso)'!F27</f>
        <v>10496</v>
      </c>
      <c r="G27" s="127">
        <f>+R_2014_09_priskirta!G28+'R_2014_09_atkelta(viso)'!G27</f>
        <v>1160.0033333333336</v>
      </c>
      <c r="H27" s="127">
        <f>+R_2014_09_priskirta!H28+'R_2014_09_atkelta(viso)'!H27</f>
        <v>965.33</v>
      </c>
      <c r="I27" s="127">
        <f>+R_2014_09_priskirta!I28+'R_2014_09_atkelta(viso)'!I27</f>
        <v>0</v>
      </c>
      <c r="J27" s="127">
        <f>+R_2014_09_priskirta!J28+'R_2014_09_atkelta(viso)'!J27</f>
        <v>0</v>
      </c>
      <c r="K27" s="127">
        <f>+R_2014_09_priskirta!K28+'R_2014_09_atkelta(viso)'!K27</f>
        <v>0</v>
      </c>
      <c r="L27" s="127">
        <f>+R_2014_09_priskirta!L28+'R_2014_09_atkelta(viso)'!L27</f>
        <v>0</v>
      </c>
      <c r="M27" s="127">
        <f>+R_2014_09_priskirta!M28+'R_2014_09_atkelta(viso)'!M27</f>
        <v>164.67000000000002</v>
      </c>
      <c r="N27" s="127">
        <f>+R_2014_09_priskirta!N28+'R_2014_09_atkelta(viso)'!N27</f>
        <v>288</v>
      </c>
      <c r="O27" s="127">
        <f>+R_2014_09_priskirta!O28+'R_2014_09_atkelta(viso)'!O27</f>
        <v>8938.67</v>
      </c>
      <c r="P27" s="127">
        <f>+R_2014_09_priskirta!P28+'R_2014_09_atkelta(viso)'!P27</f>
        <v>0</v>
      </c>
      <c r="Q27" s="24">
        <f t="shared" si="23"/>
        <v>22662.003333333334</v>
      </c>
      <c r="R27" s="229">
        <f t="shared" si="6"/>
        <v>20790.828746177369</v>
      </c>
      <c r="S27" s="73">
        <f t="shared" si="25"/>
        <v>1871.1745871559651</v>
      </c>
      <c r="T27" s="21">
        <f t="shared" si="24"/>
        <v>377.70005555555559</v>
      </c>
      <c r="U27" s="71"/>
      <c r="V27" s="61">
        <v>240</v>
      </c>
      <c r="W27" s="13">
        <f t="shared" si="28"/>
        <v>90648.013333333336</v>
      </c>
    </row>
    <row r="28" spans="1:23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+R_2014_09_priskirta!E29+'R_2014_09_atkelta(viso)'!E28</f>
        <v>0</v>
      </c>
      <c r="F28" s="127">
        <f>+R_2014_09_priskirta!F29+'R_2014_09_atkelta(viso)'!F28</f>
        <v>1122</v>
      </c>
      <c r="G28" s="127">
        <f>+R_2014_09_priskirta!G29+'R_2014_09_atkelta(viso)'!G28</f>
        <v>6</v>
      </c>
      <c r="H28" s="127">
        <f>+R_2014_09_priskirta!H29+'R_2014_09_atkelta(viso)'!H28</f>
        <v>270</v>
      </c>
      <c r="I28" s="127">
        <f>+R_2014_09_priskirta!I29+'R_2014_09_atkelta(viso)'!I28</f>
        <v>0</v>
      </c>
      <c r="J28" s="127">
        <f>+R_2014_09_priskirta!J29+'R_2014_09_atkelta(viso)'!J28</f>
        <v>0</v>
      </c>
      <c r="K28" s="127">
        <f>+R_2014_09_priskirta!K29+'R_2014_09_atkelta(viso)'!K28</f>
        <v>0</v>
      </c>
      <c r="L28" s="127">
        <f>+R_2014_09_priskirta!L29+'R_2014_09_atkelta(viso)'!L28</f>
        <v>0</v>
      </c>
      <c r="M28" s="127">
        <f>+R_2014_09_priskirta!M29+'R_2014_09_atkelta(viso)'!M28</f>
        <v>0</v>
      </c>
      <c r="N28" s="127">
        <f>+R_2014_09_priskirta!N29+'R_2014_09_atkelta(viso)'!N28</f>
        <v>0</v>
      </c>
      <c r="O28" s="127">
        <f>+R_2014_09_priskirta!O29+'R_2014_09_atkelta(viso)'!O28</f>
        <v>10788</v>
      </c>
      <c r="P28" s="127">
        <f>+R_2014_09_priskirta!P29+'R_2014_09_atkelta(viso)'!P28</f>
        <v>0</v>
      </c>
      <c r="Q28" s="24">
        <f t="shared" si="23"/>
        <v>12186</v>
      </c>
      <c r="R28" s="229">
        <f t="shared" si="6"/>
        <v>11179.816513761467</v>
      </c>
      <c r="S28" s="73">
        <f t="shared" si="25"/>
        <v>1006.1834862385331</v>
      </c>
      <c r="T28" s="21">
        <f t="shared" si="24"/>
        <v>45.133333333333333</v>
      </c>
      <c r="U28" s="71"/>
      <c r="V28" s="61"/>
      <c r="W28" s="13"/>
    </row>
    <row r="29" spans="1:23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+R_2014_09_priskirta!E30+'R_2014_09_atkelta(viso)'!E29</f>
        <v>13.5</v>
      </c>
      <c r="F29" s="127">
        <f>+R_2014_09_priskirta!F30+'R_2014_09_atkelta(viso)'!F29</f>
        <v>91.5</v>
      </c>
      <c r="G29" s="127">
        <f>+R_2014_09_priskirta!G30+'R_2014_09_atkelta(viso)'!G29</f>
        <v>0</v>
      </c>
      <c r="H29" s="127">
        <f>+R_2014_09_priskirta!H30+'R_2014_09_atkelta(viso)'!H29</f>
        <v>133.5</v>
      </c>
      <c r="I29" s="127">
        <f>+R_2014_09_priskirta!I30+'R_2014_09_atkelta(viso)'!I29</f>
        <v>0</v>
      </c>
      <c r="J29" s="127">
        <f>+R_2014_09_priskirta!J30+'R_2014_09_atkelta(viso)'!J29</f>
        <v>0</v>
      </c>
      <c r="K29" s="127">
        <f>+R_2014_09_priskirta!K30+'R_2014_09_atkelta(viso)'!K29</f>
        <v>0</v>
      </c>
      <c r="L29" s="127">
        <f>+R_2014_09_priskirta!L30+'R_2014_09_atkelta(viso)'!L29</f>
        <v>0</v>
      </c>
      <c r="M29" s="127">
        <f>+R_2014_09_priskirta!M30+'R_2014_09_atkelta(viso)'!M29</f>
        <v>0</v>
      </c>
      <c r="N29" s="127">
        <f>+R_2014_09_priskirta!N30+'R_2014_09_atkelta(viso)'!N29</f>
        <v>0</v>
      </c>
      <c r="O29" s="127">
        <f>+R_2014_09_priskirta!O30+'R_2014_09_atkelta(viso)'!O29</f>
        <v>0</v>
      </c>
      <c r="P29" s="127">
        <f>+R_2014_09_priskirta!P30+'R_2014_09_atkelta(viso)'!P29</f>
        <v>0</v>
      </c>
      <c r="Q29" s="24">
        <f t="shared" si="23"/>
        <v>238.5</v>
      </c>
      <c r="R29" s="229">
        <f t="shared" si="6"/>
        <v>218.80733944954127</v>
      </c>
      <c r="S29" s="73">
        <f t="shared" si="25"/>
        <v>19.692660550458726</v>
      </c>
      <c r="T29" s="21">
        <f t="shared" si="24"/>
        <v>1.7666666666666666</v>
      </c>
      <c r="U29" s="71"/>
      <c r="V29" s="61">
        <v>135</v>
      </c>
      <c r="W29" s="13">
        <f t="shared" si="28"/>
        <v>238.5</v>
      </c>
    </row>
    <row r="30" spans="1:23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+R_2014_09_priskirta!E31+'R_2014_09_atkelta(viso)'!E30</f>
        <v>34.799999999999997</v>
      </c>
      <c r="F30" s="127">
        <f>+R_2014_09_priskirta!F31+'R_2014_09_atkelta(viso)'!F30</f>
        <v>439.2</v>
      </c>
      <c r="G30" s="127">
        <f>+R_2014_09_priskirta!G31+'R_2014_09_atkelta(viso)'!G30</f>
        <v>90</v>
      </c>
      <c r="H30" s="127">
        <f>+R_2014_09_priskirta!H31+'R_2014_09_atkelta(viso)'!H30</f>
        <v>54</v>
      </c>
      <c r="I30" s="127">
        <f>+R_2014_09_priskirta!I31+'R_2014_09_atkelta(viso)'!I30</f>
        <v>0</v>
      </c>
      <c r="J30" s="127">
        <f>+R_2014_09_priskirta!J31+'R_2014_09_atkelta(viso)'!J30</f>
        <v>0</v>
      </c>
      <c r="K30" s="127">
        <f>+R_2014_09_priskirta!K31+'R_2014_09_atkelta(viso)'!K30</f>
        <v>0</v>
      </c>
      <c r="L30" s="127">
        <f>+R_2014_09_priskirta!L31+'R_2014_09_atkelta(viso)'!L30</f>
        <v>0</v>
      </c>
      <c r="M30" s="127">
        <f>+R_2014_09_priskirta!M31+'R_2014_09_atkelta(viso)'!M30</f>
        <v>18.600000000000001</v>
      </c>
      <c r="N30" s="127">
        <f>+R_2014_09_priskirta!N31+'R_2014_09_atkelta(viso)'!N30</f>
        <v>31.799999999999997</v>
      </c>
      <c r="O30" s="127">
        <f>+R_2014_09_priskirta!O31+'R_2014_09_atkelta(viso)'!O30</f>
        <v>949.2</v>
      </c>
      <c r="P30" s="127">
        <f>+R_2014_09_priskirta!P31+'R_2014_09_atkelta(viso)'!P30</f>
        <v>0</v>
      </c>
      <c r="Q30" s="24">
        <f t="shared" si="23"/>
        <v>1617.6</v>
      </c>
      <c r="R30" s="229">
        <f t="shared" si="6"/>
        <v>1484.0366972477063</v>
      </c>
      <c r="S30" s="73">
        <f t="shared" si="25"/>
        <v>133.56330275229357</v>
      </c>
      <c r="T30" s="21">
        <f t="shared" si="24"/>
        <v>29.955555555555552</v>
      </c>
      <c r="U30" s="71"/>
      <c r="V30" s="61">
        <v>216</v>
      </c>
      <c r="W30" s="13">
        <f t="shared" si="28"/>
        <v>6470.4</v>
      </c>
    </row>
    <row r="31" spans="1:23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+R_2014_09_priskirta!E32+'R_2014_09_atkelta(viso)'!E31</f>
        <v>100</v>
      </c>
      <c r="F31" s="127">
        <f>+R_2014_09_priskirta!F32+'R_2014_09_atkelta(viso)'!F31</f>
        <v>243.33333333333331</v>
      </c>
      <c r="G31" s="127">
        <f>+R_2014_09_priskirta!G32+'R_2014_09_atkelta(viso)'!G31</f>
        <v>0</v>
      </c>
      <c r="H31" s="127">
        <f>+R_2014_09_priskirta!H32+'R_2014_09_atkelta(viso)'!H31</f>
        <v>100</v>
      </c>
      <c r="I31" s="127">
        <f>+R_2014_09_priskirta!I32+'R_2014_09_atkelta(viso)'!I31</f>
        <v>0</v>
      </c>
      <c r="J31" s="127">
        <f>+R_2014_09_priskirta!J32+'R_2014_09_atkelta(viso)'!J31</f>
        <v>0</v>
      </c>
      <c r="K31" s="127">
        <f>+R_2014_09_priskirta!K32+'R_2014_09_atkelta(viso)'!K31</f>
        <v>0</v>
      </c>
      <c r="L31" s="127">
        <f>+R_2014_09_priskirta!L32+'R_2014_09_atkelta(viso)'!L31</f>
        <v>0</v>
      </c>
      <c r="M31" s="127">
        <f>+R_2014_09_priskirta!M32+'R_2014_09_atkelta(viso)'!M31</f>
        <v>0</v>
      </c>
      <c r="N31" s="127">
        <f>+R_2014_09_priskirta!N32+'R_2014_09_atkelta(viso)'!N31</f>
        <v>0</v>
      </c>
      <c r="O31" s="127">
        <f>+R_2014_09_priskirta!O32+'R_2014_09_atkelta(viso)'!O31</f>
        <v>200</v>
      </c>
      <c r="P31" s="127">
        <f>+R_2014_09_priskirta!P32+'R_2014_09_atkelta(viso)'!P31</f>
        <v>0</v>
      </c>
      <c r="Q31" s="24">
        <f t="shared" si="23"/>
        <v>643.33333333333326</v>
      </c>
      <c r="R31" s="229">
        <f t="shared" si="6"/>
        <v>590.2140672782873</v>
      </c>
      <c r="S31" s="73">
        <f t="shared" si="25"/>
        <v>53.119266055045955</v>
      </c>
      <c r="T31" s="21">
        <f t="shared" si="24"/>
        <v>1.0722222222222222</v>
      </c>
      <c r="U31" s="71"/>
      <c r="V31" s="61"/>
      <c r="W31" s="13"/>
    </row>
    <row r="32" spans="1:23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+R_2014_09_priskirta!E33+'R_2014_09_atkelta(viso)'!E32</f>
        <v>0</v>
      </c>
      <c r="F32" s="127">
        <f>+R_2014_09_priskirta!F33+'R_2014_09_atkelta(viso)'!F32</f>
        <v>400</v>
      </c>
      <c r="G32" s="127">
        <f>+R_2014_09_priskirta!G33+'R_2014_09_atkelta(viso)'!G32</f>
        <v>150</v>
      </c>
      <c r="H32" s="127">
        <f>+R_2014_09_priskirta!H33+'R_2014_09_atkelta(viso)'!H32</f>
        <v>315</v>
      </c>
      <c r="I32" s="127">
        <f>+R_2014_09_priskirta!I33+'R_2014_09_atkelta(viso)'!I32</f>
        <v>0</v>
      </c>
      <c r="J32" s="127">
        <f>+R_2014_09_priskirta!J33+'R_2014_09_atkelta(viso)'!J32</f>
        <v>0</v>
      </c>
      <c r="K32" s="127">
        <f>+R_2014_09_priskirta!K33+'R_2014_09_atkelta(viso)'!K32</f>
        <v>0</v>
      </c>
      <c r="L32" s="127">
        <f>+R_2014_09_priskirta!L33+'R_2014_09_atkelta(viso)'!L32</f>
        <v>0</v>
      </c>
      <c r="M32" s="127">
        <f>+R_2014_09_priskirta!M33+'R_2014_09_atkelta(viso)'!M32</f>
        <v>0</v>
      </c>
      <c r="N32" s="127">
        <f>+R_2014_09_priskirta!N33+'R_2014_09_atkelta(viso)'!N32</f>
        <v>0</v>
      </c>
      <c r="O32" s="127">
        <f>+R_2014_09_priskirta!O33+'R_2014_09_atkelta(viso)'!O32</f>
        <v>121.6666683959961</v>
      </c>
      <c r="P32" s="127">
        <f>+R_2014_09_priskirta!P33+'R_2014_09_atkelta(viso)'!P32</f>
        <v>0</v>
      </c>
      <c r="Q32" s="24">
        <f t="shared" si="23"/>
        <v>986.66666839599611</v>
      </c>
      <c r="R32" s="229">
        <f t="shared" si="6"/>
        <v>905.19877834495048</v>
      </c>
      <c r="S32" s="73">
        <f t="shared" si="25"/>
        <v>81.467890051045629</v>
      </c>
      <c r="T32" s="21">
        <f t="shared" si="24"/>
        <v>3.2888888946533203</v>
      </c>
      <c r="U32" s="71"/>
      <c r="V32" s="61">
        <v>300</v>
      </c>
      <c r="W32" s="13">
        <f t="shared" si="28"/>
        <v>986.66666839599611</v>
      </c>
    </row>
    <row r="33" spans="1:23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+R_2014_09_priskirta!E34+'R_2014_09_atkelta(viso)'!E33</f>
        <v>112</v>
      </c>
      <c r="F33" s="127">
        <f>+R_2014_09_priskirta!F34+'R_2014_09_atkelta(viso)'!F33</f>
        <v>1070.67</v>
      </c>
      <c r="G33" s="127">
        <f>+R_2014_09_priskirta!G34+'R_2014_09_atkelta(viso)'!G33</f>
        <v>112</v>
      </c>
      <c r="H33" s="127">
        <f>+R_2014_09_priskirta!H34+'R_2014_09_atkelta(viso)'!H33</f>
        <v>60.67</v>
      </c>
      <c r="I33" s="127">
        <f>+R_2014_09_priskirta!I34+'R_2014_09_atkelta(viso)'!I33</f>
        <v>0</v>
      </c>
      <c r="J33" s="127">
        <f>+R_2014_09_priskirta!J34+'R_2014_09_atkelta(viso)'!J33</f>
        <v>0</v>
      </c>
      <c r="K33" s="127">
        <f>+R_2014_09_priskirta!K34+'R_2014_09_atkelta(viso)'!K33</f>
        <v>0</v>
      </c>
      <c r="L33" s="127">
        <f>+R_2014_09_priskirta!L34+'R_2014_09_atkelta(viso)'!L33</f>
        <v>0</v>
      </c>
      <c r="M33" s="127">
        <f>+R_2014_09_priskirta!M34+'R_2014_09_atkelta(viso)'!M33</f>
        <v>33.330000000000005</v>
      </c>
      <c r="N33" s="127">
        <f>+R_2014_09_priskirta!N34+'R_2014_09_atkelta(viso)'!N33</f>
        <v>15.999999999999995</v>
      </c>
      <c r="O33" s="127">
        <f>+R_2014_09_priskirta!O34+'R_2014_09_atkelta(viso)'!O33</f>
        <v>1196.6600000000001</v>
      </c>
      <c r="P33" s="127">
        <f>+R_2014_09_priskirta!P34+'R_2014_09_atkelta(viso)'!P33</f>
        <v>0</v>
      </c>
      <c r="Q33" s="24">
        <f t="shared" si="23"/>
        <v>2601.33</v>
      </c>
      <c r="R33" s="229">
        <f t="shared" si="6"/>
        <v>2386.5412844036696</v>
      </c>
      <c r="S33" s="73">
        <f t="shared" si="25"/>
        <v>214.78871559633035</v>
      </c>
      <c r="T33" s="21">
        <f t="shared" si="24"/>
        <v>21.67775</v>
      </c>
      <c r="U33" s="71"/>
      <c r="V33" s="61">
        <v>480</v>
      </c>
      <c r="W33" s="13">
        <f t="shared" si="28"/>
        <v>10405.32</v>
      </c>
    </row>
    <row r="34" spans="1:23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+R_2014_09_priskirta!E35+'R_2014_09_atkelta(viso)'!E34</f>
        <v>0</v>
      </c>
      <c r="F34" s="127">
        <f>+R_2014_09_priskirta!F35+'R_2014_09_atkelta(viso)'!F34</f>
        <v>0</v>
      </c>
      <c r="G34" s="127">
        <f>+R_2014_09_priskirta!G35+'R_2014_09_atkelta(viso)'!G34</f>
        <v>0</v>
      </c>
      <c r="H34" s="127">
        <f>+R_2014_09_priskirta!H35+'R_2014_09_atkelta(viso)'!H34</f>
        <v>0</v>
      </c>
      <c r="I34" s="127">
        <f>+R_2014_09_priskirta!I35+'R_2014_09_atkelta(viso)'!I34</f>
        <v>0</v>
      </c>
      <c r="J34" s="127">
        <f>+R_2014_09_priskirta!J35+'R_2014_09_atkelta(viso)'!J34</f>
        <v>0</v>
      </c>
      <c r="K34" s="127">
        <f>+R_2014_09_priskirta!K35+'R_2014_09_atkelta(viso)'!K34</f>
        <v>0</v>
      </c>
      <c r="L34" s="127">
        <f>+R_2014_09_priskirta!L35+'R_2014_09_atkelta(viso)'!L34</f>
        <v>0</v>
      </c>
      <c r="M34" s="127">
        <f>+R_2014_09_priskirta!M35+'R_2014_09_atkelta(viso)'!M34</f>
        <v>0</v>
      </c>
      <c r="N34" s="127">
        <f>+R_2014_09_priskirta!N35+'R_2014_09_atkelta(viso)'!N34</f>
        <v>0</v>
      </c>
      <c r="O34" s="127">
        <f>+R_2014_09_priskirta!O35+'R_2014_09_atkelta(viso)'!O34</f>
        <v>378</v>
      </c>
      <c r="P34" s="127">
        <f>+R_2014_09_priskirta!P35+'R_2014_09_atkelta(viso)'!P34</f>
        <v>0</v>
      </c>
      <c r="Q34" s="24">
        <f t="shared" si="23"/>
        <v>378</v>
      </c>
      <c r="R34" s="229">
        <f t="shared" si="6"/>
        <v>346.78899082568807</v>
      </c>
      <c r="S34" s="73">
        <f t="shared" si="25"/>
        <v>31.211009174311926</v>
      </c>
      <c r="T34" s="21">
        <f t="shared" si="24"/>
        <v>0.7</v>
      </c>
      <c r="U34" s="71"/>
      <c r="V34" s="61"/>
      <c r="W34" s="13"/>
    </row>
    <row r="35" spans="1:23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+R_2014_09_priskirta!E36+'R_2014_09_atkelta(viso)'!E35</f>
        <v>0</v>
      </c>
      <c r="F35" s="127">
        <f>+R_2014_09_priskirta!F36+'R_2014_09_atkelta(viso)'!F35</f>
        <v>0</v>
      </c>
      <c r="G35" s="127">
        <f>+R_2014_09_priskirta!G36+'R_2014_09_atkelta(viso)'!G35</f>
        <v>0</v>
      </c>
      <c r="H35" s="127">
        <f>+R_2014_09_priskirta!H36+'R_2014_09_atkelta(viso)'!H35</f>
        <v>0</v>
      </c>
      <c r="I35" s="127">
        <f>+R_2014_09_priskirta!I36+'R_2014_09_atkelta(viso)'!I35</f>
        <v>0</v>
      </c>
      <c r="J35" s="127">
        <f>+R_2014_09_priskirta!J36+'R_2014_09_atkelta(viso)'!J35</f>
        <v>0</v>
      </c>
      <c r="K35" s="127">
        <f>+R_2014_09_priskirta!K36+'R_2014_09_atkelta(viso)'!K35</f>
        <v>0</v>
      </c>
      <c r="L35" s="127">
        <f>+R_2014_09_priskirta!L36+'R_2014_09_atkelta(viso)'!L35</f>
        <v>0</v>
      </c>
      <c r="M35" s="127">
        <f>+R_2014_09_priskirta!M36+'R_2014_09_atkelta(viso)'!M35</f>
        <v>0</v>
      </c>
      <c r="N35" s="127">
        <f>+R_2014_09_priskirta!N36+'R_2014_09_atkelta(viso)'!N35</f>
        <v>0</v>
      </c>
      <c r="O35" s="127">
        <f>+R_2014_09_priskirta!O36+'R_2014_09_atkelta(viso)'!O35</f>
        <v>0</v>
      </c>
      <c r="P35" s="127">
        <f>+R_2014_09_priskirta!P36+'R_2014_09_atkelta(viso)'!P35</f>
        <v>0</v>
      </c>
      <c r="Q35" s="24">
        <f t="shared" si="23"/>
        <v>0</v>
      </c>
      <c r="R35" s="229">
        <f t="shared" si="6"/>
        <v>0</v>
      </c>
      <c r="S35" s="73">
        <f t="shared" si="25"/>
        <v>0</v>
      </c>
      <c r="T35" s="21">
        <f t="shared" si="24"/>
        <v>0</v>
      </c>
      <c r="U35" s="71"/>
      <c r="V35" s="61">
        <v>270</v>
      </c>
      <c r="W35" s="13">
        <f t="shared" si="28"/>
        <v>0</v>
      </c>
    </row>
    <row r="36" spans="1:23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+R_2014_09_priskirta!E37+'R_2014_09_atkelta(viso)'!E36</f>
        <v>31.2</v>
      </c>
      <c r="F36" s="127">
        <f>+R_2014_09_priskirta!F37+'R_2014_09_atkelta(viso)'!F36</f>
        <v>17.399999999999999</v>
      </c>
      <c r="G36" s="127">
        <f>+R_2014_09_priskirta!G37+'R_2014_09_atkelta(viso)'!G36</f>
        <v>0</v>
      </c>
      <c r="H36" s="127">
        <f>+R_2014_09_priskirta!H37+'R_2014_09_atkelta(viso)'!H36</f>
        <v>18</v>
      </c>
      <c r="I36" s="127">
        <f>+R_2014_09_priskirta!I37+'R_2014_09_atkelta(viso)'!I36</f>
        <v>0</v>
      </c>
      <c r="J36" s="127">
        <f>+R_2014_09_priskirta!J37+'R_2014_09_atkelta(viso)'!J36</f>
        <v>0</v>
      </c>
      <c r="K36" s="127">
        <f>+R_2014_09_priskirta!K37+'R_2014_09_atkelta(viso)'!K36</f>
        <v>0</v>
      </c>
      <c r="L36" s="127">
        <f>+R_2014_09_priskirta!L37+'R_2014_09_atkelta(viso)'!L36</f>
        <v>0</v>
      </c>
      <c r="M36" s="127">
        <f>+R_2014_09_priskirta!M37+'R_2014_09_atkelta(viso)'!M36</f>
        <v>0</v>
      </c>
      <c r="N36" s="127">
        <f>+R_2014_09_priskirta!N37+'R_2014_09_atkelta(viso)'!N36</f>
        <v>18</v>
      </c>
      <c r="O36" s="127">
        <f>+R_2014_09_priskirta!O37+'R_2014_09_atkelta(viso)'!O36</f>
        <v>36</v>
      </c>
      <c r="P36" s="127">
        <f>+R_2014_09_priskirta!P37+'R_2014_09_atkelta(viso)'!P36</f>
        <v>0</v>
      </c>
      <c r="Q36" s="24">
        <f t="shared" si="23"/>
        <v>120.6</v>
      </c>
      <c r="R36" s="229">
        <f t="shared" si="6"/>
        <v>110.64220183486238</v>
      </c>
      <c r="S36" s="73">
        <f t="shared" si="25"/>
        <v>9.9577981651376177</v>
      </c>
      <c r="T36" s="21">
        <f t="shared" si="24"/>
        <v>1.1166666666666667</v>
      </c>
      <c r="U36" s="71"/>
      <c r="V36" s="61">
        <v>432</v>
      </c>
      <c r="W36" s="13">
        <f t="shared" si="28"/>
        <v>482.40000000000003</v>
      </c>
    </row>
    <row r="37" spans="1:23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+R_2014_09_priskirta!E38+'R_2014_09_atkelta(viso)'!E37</f>
        <v>270</v>
      </c>
      <c r="F37" s="127">
        <f>+R_2014_09_priskirta!F38+'R_2014_09_atkelta(viso)'!F37</f>
        <v>63.333333333333329</v>
      </c>
      <c r="G37" s="127">
        <f>+R_2014_09_priskirta!G38+'R_2014_09_atkelta(viso)'!G37</f>
        <v>0</v>
      </c>
      <c r="H37" s="127">
        <f>+R_2014_09_priskirta!H38+'R_2014_09_atkelta(viso)'!H37</f>
        <v>200</v>
      </c>
      <c r="I37" s="127">
        <f>+R_2014_09_priskirta!I38+'R_2014_09_atkelta(viso)'!I37</f>
        <v>0</v>
      </c>
      <c r="J37" s="127">
        <f>+R_2014_09_priskirta!J38+'R_2014_09_atkelta(viso)'!J37</f>
        <v>0</v>
      </c>
      <c r="K37" s="127">
        <f>+R_2014_09_priskirta!K38+'R_2014_09_atkelta(viso)'!K37</f>
        <v>0</v>
      </c>
      <c r="L37" s="127">
        <f>+R_2014_09_priskirta!L38+'R_2014_09_atkelta(viso)'!L37</f>
        <v>0</v>
      </c>
      <c r="M37" s="127">
        <f>+R_2014_09_priskirta!M38+'R_2014_09_atkelta(viso)'!M37</f>
        <v>0</v>
      </c>
      <c r="N37" s="127">
        <f>+R_2014_09_priskirta!N38+'R_2014_09_atkelta(viso)'!N37</f>
        <v>0</v>
      </c>
      <c r="O37" s="127">
        <f>+R_2014_09_priskirta!O38+'R_2014_09_atkelta(viso)'!O37</f>
        <v>100</v>
      </c>
      <c r="P37" s="127">
        <f>+R_2014_09_priskirta!P38+'R_2014_09_atkelta(viso)'!P37</f>
        <v>0</v>
      </c>
      <c r="Q37" s="24">
        <f t="shared" si="23"/>
        <v>633.33333333333326</v>
      </c>
      <c r="R37" s="229">
        <f t="shared" si="6"/>
        <v>581.03975535168183</v>
      </c>
      <c r="S37" s="73">
        <f t="shared" si="25"/>
        <v>52.293577981651424</v>
      </c>
      <c r="T37" s="21">
        <f t="shared" si="24"/>
        <v>0.70370370370370361</v>
      </c>
      <c r="U37" s="71"/>
      <c r="V37" s="61"/>
      <c r="W37" s="13"/>
    </row>
    <row r="38" spans="1:23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+R_2014_09_priskirta!E39+'R_2014_09_atkelta(viso)'!E38</f>
        <v>45</v>
      </c>
      <c r="F38" s="127">
        <f>+R_2014_09_priskirta!F39+'R_2014_09_atkelta(viso)'!F38</f>
        <v>180</v>
      </c>
      <c r="G38" s="127">
        <f>+R_2014_09_priskirta!G39+'R_2014_09_atkelta(viso)'!G38</f>
        <v>0</v>
      </c>
      <c r="H38" s="127">
        <f>+R_2014_09_priskirta!H39+'R_2014_09_atkelta(viso)'!H38</f>
        <v>0</v>
      </c>
      <c r="I38" s="127">
        <f>+R_2014_09_priskirta!I39+'R_2014_09_atkelta(viso)'!I38</f>
        <v>0</v>
      </c>
      <c r="J38" s="127">
        <f>+R_2014_09_priskirta!J39+'R_2014_09_atkelta(viso)'!J38</f>
        <v>0</v>
      </c>
      <c r="K38" s="127">
        <f>+R_2014_09_priskirta!K39+'R_2014_09_atkelta(viso)'!K38</f>
        <v>0</v>
      </c>
      <c r="L38" s="127">
        <f>+R_2014_09_priskirta!L39+'R_2014_09_atkelta(viso)'!L38</f>
        <v>0</v>
      </c>
      <c r="M38" s="127">
        <f>+R_2014_09_priskirta!M39+'R_2014_09_atkelta(viso)'!M38</f>
        <v>0</v>
      </c>
      <c r="N38" s="127">
        <f>+R_2014_09_priskirta!N39+'R_2014_09_atkelta(viso)'!N38</f>
        <v>0</v>
      </c>
      <c r="O38" s="127">
        <f>+R_2014_09_priskirta!O39+'R_2014_09_atkelta(viso)'!O38</f>
        <v>0</v>
      </c>
      <c r="P38" s="127">
        <f>+R_2014_09_priskirta!P39+'R_2014_09_atkelta(viso)'!P38</f>
        <v>0</v>
      </c>
      <c r="Q38" s="24">
        <f t="shared" si="23"/>
        <v>225</v>
      </c>
      <c r="R38" s="229">
        <f t="shared" si="6"/>
        <v>206.42201834862385</v>
      </c>
      <c r="S38" s="73">
        <f t="shared" si="25"/>
        <v>18.577981651376149</v>
      </c>
      <c r="T38" s="21">
        <f t="shared" si="24"/>
        <v>0.5</v>
      </c>
      <c r="U38" s="71"/>
      <c r="V38" s="61">
        <v>450</v>
      </c>
      <c r="W38" s="13">
        <f t="shared" si="28"/>
        <v>225</v>
      </c>
    </row>
    <row r="39" spans="1:23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+R_2014_09_priskirta!E40+'R_2014_09_atkelta(viso)'!E39</f>
        <v>158</v>
      </c>
      <c r="F39" s="127">
        <f>+R_2014_09_priskirta!F40+'R_2014_09_atkelta(viso)'!F39</f>
        <v>1725.3333333333335</v>
      </c>
      <c r="G39" s="127">
        <f>+R_2014_09_priskirta!G40+'R_2014_09_atkelta(viso)'!G39</f>
        <v>246.66666666666669</v>
      </c>
      <c r="H39" s="127">
        <f>+R_2014_09_priskirta!H40+'R_2014_09_atkelta(viso)'!H39</f>
        <v>208.67000000000002</v>
      </c>
      <c r="I39" s="127">
        <f>+R_2014_09_priskirta!I40+'R_2014_09_atkelta(viso)'!I39</f>
        <v>0</v>
      </c>
      <c r="J39" s="127">
        <f>+R_2014_09_priskirta!J40+'R_2014_09_atkelta(viso)'!J39</f>
        <v>0</v>
      </c>
      <c r="K39" s="127">
        <f>+R_2014_09_priskirta!K40+'R_2014_09_atkelta(viso)'!K39</f>
        <v>0</v>
      </c>
      <c r="L39" s="127">
        <f>+R_2014_09_priskirta!L40+'R_2014_09_atkelta(viso)'!L39</f>
        <v>0</v>
      </c>
      <c r="M39" s="127">
        <f>+R_2014_09_priskirta!M40+'R_2014_09_atkelta(viso)'!M39</f>
        <v>40</v>
      </c>
      <c r="N39" s="127">
        <f>+R_2014_09_priskirta!N40+'R_2014_09_atkelta(viso)'!N39</f>
        <v>34.666666666666664</v>
      </c>
      <c r="O39" s="127">
        <f>+R_2014_09_priskirta!O40+'R_2014_09_atkelta(viso)'!O39</f>
        <v>1968.6666312408447</v>
      </c>
      <c r="P39" s="127">
        <f>+R_2014_09_priskirta!P40+'R_2014_09_atkelta(viso)'!P39</f>
        <v>0</v>
      </c>
      <c r="Q39" s="24">
        <f t="shared" si="23"/>
        <v>4382.0032979075113</v>
      </c>
      <c r="R39" s="229">
        <f t="shared" si="6"/>
        <v>4020.1865118417531</v>
      </c>
      <c r="S39" s="73">
        <f t="shared" si="25"/>
        <v>361.81678606575815</v>
      </c>
      <c r="T39" s="21">
        <f t="shared" si="24"/>
        <v>24.344462766152841</v>
      </c>
      <c r="U39" s="71"/>
      <c r="V39" s="61">
        <v>720</v>
      </c>
      <c r="W39" s="13">
        <f t="shared" si="28"/>
        <v>17528.013191630045</v>
      </c>
    </row>
    <row r="40" spans="1:23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+R_2014_09_priskirta!E41+'R_2014_09_atkelta(viso)'!E40</f>
        <v>0</v>
      </c>
      <c r="F40" s="127">
        <f>+R_2014_09_priskirta!F41+'R_2014_09_atkelta(viso)'!F40</f>
        <v>0</v>
      </c>
      <c r="G40" s="127">
        <f>+R_2014_09_priskirta!G41+'R_2014_09_atkelta(viso)'!G40</f>
        <v>0</v>
      </c>
      <c r="H40" s="127">
        <f>+R_2014_09_priskirta!H41+'R_2014_09_atkelta(viso)'!H40</f>
        <v>0</v>
      </c>
      <c r="I40" s="127">
        <f>+R_2014_09_priskirta!I41+'R_2014_09_atkelta(viso)'!I40</f>
        <v>0</v>
      </c>
      <c r="J40" s="127">
        <f>+R_2014_09_priskirta!J41+'R_2014_09_atkelta(viso)'!J40</f>
        <v>0</v>
      </c>
      <c r="K40" s="127">
        <f>+R_2014_09_priskirta!K41+'R_2014_09_atkelta(viso)'!K40</f>
        <v>0</v>
      </c>
      <c r="L40" s="127">
        <f>+R_2014_09_priskirta!L41+'R_2014_09_atkelta(viso)'!L40</f>
        <v>0</v>
      </c>
      <c r="M40" s="127">
        <f>+R_2014_09_priskirta!M41+'R_2014_09_atkelta(viso)'!M40</f>
        <v>0</v>
      </c>
      <c r="N40" s="127">
        <f>+R_2014_09_priskirta!N41+'R_2014_09_atkelta(viso)'!N40</f>
        <v>0</v>
      </c>
      <c r="O40" s="127">
        <f>+R_2014_09_priskirta!O41+'R_2014_09_atkelta(viso)'!O40</f>
        <v>711</v>
      </c>
      <c r="P40" s="127">
        <f>+R_2014_09_priskirta!P41+'R_2014_09_atkelta(viso)'!P40</f>
        <v>0</v>
      </c>
      <c r="Q40" s="24">
        <f t="shared" si="23"/>
        <v>711</v>
      </c>
      <c r="R40" s="229">
        <f t="shared" si="6"/>
        <v>652.29357798165131</v>
      </c>
      <c r="S40" s="73">
        <f t="shared" si="25"/>
        <v>58.70642201834869</v>
      </c>
      <c r="T40" s="21">
        <f t="shared" si="24"/>
        <v>0.87777777777777777</v>
      </c>
      <c r="U40" s="71"/>
      <c r="V40" s="61"/>
      <c r="W40" s="13"/>
    </row>
    <row r="41" spans="1:23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+R_2014_09_priskirta!E42+'R_2014_09_atkelta(viso)'!E41</f>
        <v>0</v>
      </c>
      <c r="F41" s="127">
        <f>+R_2014_09_priskirta!F42+'R_2014_09_atkelta(viso)'!F41</f>
        <v>0</v>
      </c>
      <c r="G41" s="127">
        <f>+R_2014_09_priskirta!G42+'R_2014_09_atkelta(viso)'!G41</f>
        <v>0</v>
      </c>
      <c r="H41" s="127">
        <f>+R_2014_09_priskirta!H42+'R_2014_09_atkelta(viso)'!H41</f>
        <v>0</v>
      </c>
      <c r="I41" s="127">
        <f>+R_2014_09_priskirta!I42+'R_2014_09_atkelta(viso)'!I41</f>
        <v>0</v>
      </c>
      <c r="J41" s="127">
        <f>+R_2014_09_priskirta!J42+'R_2014_09_atkelta(viso)'!J41</f>
        <v>0</v>
      </c>
      <c r="K41" s="127">
        <f>+R_2014_09_priskirta!K42+'R_2014_09_atkelta(viso)'!K41</f>
        <v>0</v>
      </c>
      <c r="L41" s="127">
        <f>+R_2014_09_priskirta!L42+'R_2014_09_atkelta(viso)'!L41</f>
        <v>0</v>
      </c>
      <c r="M41" s="127">
        <f>+R_2014_09_priskirta!M42+'R_2014_09_atkelta(viso)'!M41</f>
        <v>0</v>
      </c>
      <c r="N41" s="127">
        <f>+R_2014_09_priskirta!N42+'R_2014_09_atkelta(viso)'!N41</f>
        <v>0</v>
      </c>
      <c r="O41" s="127">
        <f>+R_2014_09_priskirta!O42+'R_2014_09_atkelta(viso)'!O41</f>
        <v>34.5</v>
      </c>
      <c r="P41" s="127">
        <f>+R_2014_09_priskirta!P42+'R_2014_09_atkelta(viso)'!P41</f>
        <v>0</v>
      </c>
      <c r="Q41" s="24">
        <f t="shared" si="23"/>
        <v>34.5</v>
      </c>
      <c r="R41" s="229">
        <f t="shared" si="6"/>
        <v>31.651376146788987</v>
      </c>
      <c r="S41" s="73">
        <f t="shared" si="25"/>
        <v>2.8486238532110129</v>
      </c>
      <c r="T41" s="21">
        <f t="shared" si="24"/>
        <v>8.5185185185185183E-2</v>
      </c>
      <c r="U41" s="71"/>
      <c r="V41" s="61">
        <v>405</v>
      </c>
      <c r="W41" s="13">
        <f t="shared" si="28"/>
        <v>34.5</v>
      </c>
    </row>
    <row r="42" spans="1:23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+R_2014_09_priskirta!E43+'R_2014_09_atkelta(viso)'!E42</f>
        <v>0</v>
      </c>
      <c r="F42" s="127">
        <f>+R_2014_09_priskirta!F43+'R_2014_09_atkelta(viso)'!F42</f>
        <v>124.2</v>
      </c>
      <c r="G42" s="127">
        <f>+R_2014_09_priskirta!G43+'R_2014_09_atkelta(viso)'!G42</f>
        <v>0</v>
      </c>
      <c r="H42" s="127">
        <f>+R_2014_09_priskirta!H43+'R_2014_09_atkelta(viso)'!H42</f>
        <v>18.600000000000001</v>
      </c>
      <c r="I42" s="127">
        <f>+R_2014_09_priskirta!I43+'R_2014_09_atkelta(viso)'!I42</f>
        <v>0</v>
      </c>
      <c r="J42" s="127">
        <f>+R_2014_09_priskirta!J43+'R_2014_09_atkelta(viso)'!J42</f>
        <v>0</v>
      </c>
      <c r="K42" s="127">
        <f>+R_2014_09_priskirta!K43+'R_2014_09_atkelta(viso)'!K42</f>
        <v>0</v>
      </c>
      <c r="L42" s="127">
        <f>+R_2014_09_priskirta!L43+'R_2014_09_atkelta(viso)'!L42</f>
        <v>0</v>
      </c>
      <c r="M42" s="127">
        <f>+R_2014_09_priskirta!M43+'R_2014_09_atkelta(viso)'!M42</f>
        <v>0</v>
      </c>
      <c r="N42" s="127">
        <f>+R_2014_09_priskirta!N43+'R_2014_09_atkelta(viso)'!N42</f>
        <v>61.199999999999996</v>
      </c>
      <c r="O42" s="127">
        <f>+R_2014_09_priskirta!O43+'R_2014_09_atkelta(viso)'!O42</f>
        <v>328.8</v>
      </c>
      <c r="P42" s="127">
        <f>+R_2014_09_priskirta!P43+'R_2014_09_atkelta(viso)'!P42</f>
        <v>0</v>
      </c>
      <c r="Q42" s="24">
        <f t="shared" si="23"/>
        <v>532.79999999999995</v>
      </c>
      <c r="R42" s="229">
        <f t="shared" si="6"/>
        <v>488.80733944954119</v>
      </c>
      <c r="S42" s="207">
        <f t="shared" si="25"/>
        <v>43.992660550458766</v>
      </c>
      <c r="T42" s="39">
        <f t="shared" si="24"/>
        <v>3.2888888888888888</v>
      </c>
      <c r="U42" s="71"/>
      <c r="V42" s="61">
        <v>648</v>
      </c>
      <c r="W42" s="13">
        <f t="shared" si="28"/>
        <v>2131.1999999999998</v>
      </c>
    </row>
    <row r="43" spans="1:23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+R_2014_09_priskirta!E44+'R_2014_09_atkelta(viso)'!E43</f>
        <v>157.39726027397251</v>
      </c>
      <c r="F43" s="127">
        <f>+R_2014_09_priskirta!F44+'R_2014_09_atkelta(viso)'!F43</f>
        <v>11870.027397259984</v>
      </c>
      <c r="G43" s="127">
        <f>+R_2014_09_priskirta!G44+'R_2014_09_atkelta(viso)'!G43</f>
        <v>1551.671232876721</v>
      </c>
      <c r="H43" s="127">
        <f>+R_2014_09_priskirta!H44+'R_2014_09_atkelta(viso)'!H43</f>
        <v>2174.8200000000002</v>
      </c>
      <c r="I43" s="127">
        <f>+R_2014_09_priskirta!I44+'R_2014_09_atkelta(viso)'!I43</f>
        <v>0</v>
      </c>
      <c r="J43" s="127">
        <f>+R_2014_09_priskirta!J44+'R_2014_09_atkelta(viso)'!J43</f>
        <v>0</v>
      </c>
      <c r="K43" s="127">
        <f>+R_2014_09_priskirta!K44+'R_2014_09_atkelta(viso)'!K43</f>
        <v>0</v>
      </c>
      <c r="L43" s="127">
        <f>+R_2014_09_priskirta!L44+'R_2014_09_atkelta(viso)'!L43</f>
        <v>0</v>
      </c>
      <c r="M43" s="127">
        <f>+R_2014_09_priskirta!M44+'R_2014_09_atkelta(viso)'!M43</f>
        <v>32.879041095890408</v>
      </c>
      <c r="N43" s="127">
        <f>+R_2014_09_priskirta!N44+'R_2014_09_atkelta(viso)'!N43</f>
        <v>0.73972602739726034</v>
      </c>
      <c r="O43" s="127">
        <f>+R_2014_09_priskirta!O44+'R_2014_09_atkelta(viso)'!O43</f>
        <v>26.38356141090393</v>
      </c>
      <c r="P43" s="127">
        <f>+R_2014_09_priskirta!P44+'R_2014_09_atkelta(viso)'!P43</f>
        <v>0</v>
      </c>
      <c r="Q43" s="24">
        <f t="shared" si="23"/>
        <v>15813.918218944869</v>
      </c>
      <c r="R43" s="229">
        <f t="shared" si="6"/>
        <v>14508.181852242999</v>
      </c>
      <c r="S43" s="147">
        <f t="shared" si="25"/>
        <v>1305.7363667018708</v>
      </c>
      <c r="T43" s="22">
        <f t="shared" si="24"/>
        <v>1581.3918218944868</v>
      </c>
      <c r="U43" s="71"/>
      <c r="V43" s="61"/>
      <c r="W43" s="13"/>
    </row>
    <row r="44" spans="1:23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7560.4600000000009</v>
      </c>
      <c r="F44" s="82">
        <f>+SUM(F45:F53)</f>
        <v>171800.34</v>
      </c>
      <c r="G44" s="82">
        <f t="shared" ref="G44:T44" si="29">+SUM(G45:G53)</f>
        <v>27673.64</v>
      </c>
      <c r="H44" s="82">
        <f>+SUM(H45:H53)</f>
        <v>5455.6799999999994</v>
      </c>
      <c r="I44" s="82">
        <f t="shared" si="29"/>
        <v>0</v>
      </c>
      <c r="J44" s="82">
        <f t="shared" si="29"/>
        <v>0</v>
      </c>
      <c r="K44" s="100">
        <f t="shared" si="29"/>
        <v>0</v>
      </c>
      <c r="L44" s="100">
        <f t="shared" si="29"/>
        <v>0</v>
      </c>
      <c r="M44" s="100">
        <f t="shared" si="29"/>
        <v>1912.92</v>
      </c>
      <c r="N44" s="100">
        <f t="shared" si="29"/>
        <v>3740.5899999999997</v>
      </c>
      <c r="O44" s="100">
        <f t="shared" si="29"/>
        <v>16919.89</v>
      </c>
      <c r="P44" s="100">
        <f t="shared" si="29"/>
        <v>0</v>
      </c>
      <c r="Q44" s="42">
        <f>+SUM(Q45:Q53)</f>
        <v>235063.52</v>
      </c>
      <c r="R44" s="82">
        <f t="shared" si="29"/>
        <v>215654.60550458718</v>
      </c>
      <c r="S44" s="82">
        <f t="shared" si="29"/>
        <v>19408.914495412864</v>
      </c>
      <c r="T44" s="19">
        <f t="shared" si="29"/>
        <v>31399.633333333335</v>
      </c>
      <c r="U44" s="71"/>
      <c r="V44" s="61"/>
      <c r="W44" s="105">
        <f>+SUM(W45:W53)</f>
        <v>301370.78000000003</v>
      </c>
    </row>
    <row r="45" spans="1:23" ht="12" customHeight="1" x14ac:dyDescent="0.25">
      <c r="A45" s="65" t="s">
        <v>17</v>
      </c>
      <c r="B45" s="86" t="s">
        <v>35</v>
      </c>
      <c r="C45" s="375" t="s">
        <v>2</v>
      </c>
      <c r="D45" s="376">
        <v>12</v>
      </c>
      <c r="E45" s="127">
        <f>+R_2014_09_priskirta!E46+'R_2014_09_atkelta(viso)'!E45</f>
        <v>708</v>
      </c>
      <c r="F45" s="127">
        <f>+R_2014_09_priskirta!F46+'R_2014_09_atkelta(viso)'!F45</f>
        <v>17880</v>
      </c>
      <c r="G45" s="127">
        <f>+R_2014_09_priskirta!G46+'R_2014_09_atkelta(viso)'!G45</f>
        <v>2724</v>
      </c>
      <c r="H45" s="127">
        <f>+R_2014_09_priskirta!H46+'R_2014_09_atkelta(viso)'!H45</f>
        <v>336</v>
      </c>
      <c r="I45" s="127">
        <f>+R_2014_09_priskirta!I46+'R_2014_09_atkelta(viso)'!I45</f>
        <v>0</v>
      </c>
      <c r="J45" s="127">
        <f>+R_2014_09_priskirta!J46+'R_2014_09_atkelta(viso)'!J45</f>
        <v>0</v>
      </c>
      <c r="K45" s="127">
        <f>+R_2014_09_priskirta!K46+'R_2014_09_atkelta(viso)'!K45</f>
        <v>0</v>
      </c>
      <c r="L45" s="127">
        <f>+R_2014_09_priskirta!L46+'R_2014_09_atkelta(viso)'!L45</f>
        <v>0</v>
      </c>
      <c r="M45" s="127">
        <f>+R_2014_09_priskirta!M46+'R_2014_09_atkelta(viso)'!M45</f>
        <v>168</v>
      </c>
      <c r="N45" s="127">
        <f>+R_2014_09_priskirta!N46+'R_2014_09_atkelta(viso)'!N45</f>
        <v>636</v>
      </c>
      <c r="O45" s="127">
        <f>+R_2014_09_priskirta!O46+'R_2014_09_atkelta(viso)'!O45</f>
        <v>2244</v>
      </c>
      <c r="P45" s="127">
        <f>+R_2014_09_priskirta!P46+'R_2014_09_atkelta(viso)'!P45</f>
        <v>0</v>
      </c>
      <c r="Q45" s="24">
        <f t="shared" si="23"/>
        <v>24696</v>
      </c>
      <c r="R45" s="229">
        <f t="shared" si="6"/>
        <v>22656.880733944952</v>
      </c>
      <c r="S45" s="99">
        <f t="shared" ref="S45:S53" si="30">+Q45-R45</f>
        <v>2039.1192660550478</v>
      </c>
      <c r="T45" s="116">
        <f t="shared" ref="T45:T53" si="31">Q45/D45</f>
        <v>2058</v>
      </c>
      <c r="U45" s="71"/>
      <c r="V45" s="61"/>
      <c r="W45" s="13"/>
    </row>
    <row r="46" spans="1:23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3">
        <f>+R_2014_09_priskirta!E47+'R_2014_09_atkelta(viso)'!E46</f>
        <v>204</v>
      </c>
      <c r="F46" s="123">
        <f>+R_2014_09_priskirta!F47+'R_2014_09_atkelta(viso)'!F46</f>
        <v>2250</v>
      </c>
      <c r="G46" s="123">
        <f>+R_2014_09_priskirta!G47+'R_2014_09_atkelta(viso)'!G46</f>
        <v>246</v>
      </c>
      <c r="H46" s="123">
        <f>+R_2014_09_priskirta!H47+'R_2014_09_atkelta(viso)'!H46</f>
        <v>12</v>
      </c>
      <c r="I46" s="123">
        <f>+R_2014_09_priskirta!I47+'R_2014_09_atkelta(viso)'!I46</f>
        <v>0</v>
      </c>
      <c r="J46" s="123">
        <f>+R_2014_09_priskirta!J47+'R_2014_09_atkelta(viso)'!J46</f>
        <v>0</v>
      </c>
      <c r="K46" s="123">
        <f>+R_2014_09_priskirta!K47+'R_2014_09_atkelta(viso)'!K46</f>
        <v>0</v>
      </c>
      <c r="L46" s="123">
        <f>+R_2014_09_priskirta!L47+'R_2014_09_atkelta(viso)'!L46</f>
        <v>0</v>
      </c>
      <c r="M46" s="123">
        <f>+R_2014_09_priskirta!M47+'R_2014_09_atkelta(viso)'!M46</f>
        <v>18</v>
      </c>
      <c r="N46" s="123">
        <f>+R_2014_09_priskirta!N47+'R_2014_09_atkelta(viso)'!N46</f>
        <v>72</v>
      </c>
      <c r="O46" s="123">
        <f>+R_2014_09_priskirta!O47+'R_2014_09_atkelta(viso)'!O46</f>
        <v>180</v>
      </c>
      <c r="P46" s="123">
        <f>+R_2014_09_priskirta!P47+'R_2014_09_atkelta(viso)'!P46</f>
        <v>0</v>
      </c>
      <c r="Q46" s="5">
        <f t="shared" si="23"/>
        <v>2982</v>
      </c>
      <c r="R46" s="229">
        <f t="shared" si="6"/>
        <v>2735.7798165137615</v>
      </c>
      <c r="S46" s="5">
        <f t="shared" si="30"/>
        <v>246.22018348623851</v>
      </c>
      <c r="T46" s="31">
        <f t="shared" si="31"/>
        <v>497</v>
      </c>
      <c r="U46" s="71"/>
      <c r="V46" s="61">
        <v>6</v>
      </c>
      <c r="W46" s="13">
        <f t="shared" ref="W46:W47" si="32">+T46*V46</f>
        <v>2982</v>
      </c>
    </row>
    <row r="47" spans="1:23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+R_2014_09_priskirta!E48+'R_2014_09_atkelta(viso)'!E47</f>
        <v>1276.8</v>
      </c>
      <c r="F47" s="127">
        <f>+R_2014_09_priskirta!F48+'R_2014_09_atkelta(viso)'!F47</f>
        <v>37576.800000000003</v>
      </c>
      <c r="G47" s="127">
        <f>+R_2014_09_priskirta!G48+'R_2014_09_atkelta(viso)'!G47</f>
        <v>6691.2</v>
      </c>
      <c r="H47" s="127">
        <f>+R_2014_09_priskirta!H48+'R_2014_09_atkelta(viso)'!H47</f>
        <v>218.4</v>
      </c>
      <c r="I47" s="127">
        <f>+R_2014_09_priskirta!I48+'R_2014_09_atkelta(viso)'!I47</f>
        <v>0</v>
      </c>
      <c r="J47" s="127">
        <f>+R_2014_09_priskirta!J48+'R_2014_09_atkelta(viso)'!J47</f>
        <v>0</v>
      </c>
      <c r="K47" s="127">
        <f>+R_2014_09_priskirta!K48+'R_2014_09_atkelta(viso)'!K47</f>
        <v>0</v>
      </c>
      <c r="L47" s="127">
        <f>+R_2014_09_priskirta!L48+'R_2014_09_atkelta(viso)'!L47</f>
        <v>0</v>
      </c>
      <c r="M47" s="127">
        <f>+R_2014_09_priskirta!M48+'R_2014_09_atkelta(viso)'!M47</f>
        <v>376.8</v>
      </c>
      <c r="N47" s="127">
        <f>+R_2014_09_priskirta!N48+'R_2014_09_atkelta(viso)'!N47</f>
        <v>741.60000000000014</v>
      </c>
      <c r="O47" s="127">
        <f>+R_2014_09_priskirta!O48+'R_2014_09_atkelta(viso)'!O47</f>
        <v>2080.8000000000002</v>
      </c>
      <c r="P47" s="127">
        <f>+R_2014_09_priskirta!P48+'R_2014_09_atkelta(viso)'!P47</f>
        <v>0</v>
      </c>
      <c r="Q47" s="24">
        <f t="shared" si="23"/>
        <v>48962.400000000009</v>
      </c>
      <c r="R47" s="229">
        <f t="shared" si="6"/>
        <v>44919.633027522941</v>
      </c>
      <c r="S47" s="5">
        <f t="shared" si="30"/>
        <v>4042.7669724770676</v>
      </c>
      <c r="T47" s="31">
        <f t="shared" si="31"/>
        <v>20401.000000000004</v>
      </c>
      <c r="U47" s="71"/>
      <c r="V47" s="61">
        <v>9.6</v>
      </c>
      <c r="W47" s="13">
        <f t="shared" si="32"/>
        <v>195849.60000000003</v>
      </c>
    </row>
    <row r="48" spans="1:23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f>+R_2014_09_priskirta!E49+'R_2014_09_atkelta(viso)'!E48</f>
        <v>651</v>
      </c>
      <c r="F48" s="127">
        <f>+R_2014_09_priskirta!F49+'R_2014_09_atkelta(viso)'!F48</f>
        <v>18956</v>
      </c>
      <c r="G48" s="127">
        <f>+R_2014_09_priskirta!G49+'R_2014_09_atkelta(viso)'!G48</f>
        <v>3122</v>
      </c>
      <c r="H48" s="127">
        <f>+R_2014_09_priskirta!H49+'R_2014_09_atkelta(viso)'!H48</f>
        <v>1260</v>
      </c>
      <c r="I48" s="127">
        <f>+R_2014_09_priskirta!I49+'R_2014_09_atkelta(viso)'!I48</f>
        <v>0</v>
      </c>
      <c r="J48" s="127">
        <f>+R_2014_09_priskirta!J49+'R_2014_09_atkelta(viso)'!J48</f>
        <v>0</v>
      </c>
      <c r="K48" s="127">
        <f>+R_2014_09_priskirta!K49+'R_2014_09_atkelta(viso)'!K48</f>
        <v>0</v>
      </c>
      <c r="L48" s="127">
        <f>+R_2014_09_priskirta!L49+'R_2014_09_atkelta(viso)'!L48</f>
        <v>0</v>
      </c>
      <c r="M48" s="127">
        <f>+R_2014_09_priskirta!M49+'R_2014_09_atkelta(viso)'!M48</f>
        <v>98</v>
      </c>
      <c r="N48" s="127">
        <f>+R_2014_09_priskirta!N49+'R_2014_09_atkelta(viso)'!N48</f>
        <v>273</v>
      </c>
      <c r="O48" s="127">
        <f>+R_2014_09_priskirta!O49+'R_2014_09_atkelta(viso)'!O48</f>
        <v>2856</v>
      </c>
      <c r="P48" s="127">
        <f>+R_2014_09_priskirta!P49+'R_2014_09_atkelta(viso)'!P48</f>
        <v>0</v>
      </c>
      <c r="Q48" s="24">
        <f t="shared" si="23"/>
        <v>27216</v>
      </c>
      <c r="R48" s="229">
        <f t="shared" si="6"/>
        <v>24968.80733944954</v>
      </c>
      <c r="S48" s="5">
        <f t="shared" si="30"/>
        <v>2247.1926605504595</v>
      </c>
      <c r="T48" s="31">
        <f t="shared" si="31"/>
        <v>1296</v>
      </c>
      <c r="U48" s="71"/>
      <c r="V48" s="61"/>
      <c r="W48" s="13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+R_2014_09_priskirta!E50+'R_2014_09_atkelta(viso)'!E49</f>
        <v>105</v>
      </c>
      <c r="F49" s="127">
        <f>+R_2014_09_priskirta!F50+'R_2014_09_atkelta(viso)'!F49</f>
        <v>1897</v>
      </c>
      <c r="G49" s="127">
        <f>+R_2014_09_priskirta!G50+'R_2014_09_atkelta(viso)'!G49</f>
        <v>290.5</v>
      </c>
      <c r="H49" s="127">
        <f>+R_2014_09_priskirta!H50+'R_2014_09_atkelta(viso)'!H49</f>
        <v>35</v>
      </c>
      <c r="I49" s="127">
        <f>+R_2014_09_priskirta!I50+'R_2014_09_atkelta(viso)'!I49</f>
        <v>0</v>
      </c>
      <c r="J49" s="127">
        <f>+R_2014_09_priskirta!J50+'R_2014_09_atkelta(viso)'!J49</f>
        <v>0</v>
      </c>
      <c r="K49" s="127">
        <f>+R_2014_09_priskirta!K50+'R_2014_09_atkelta(viso)'!K49</f>
        <v>0</v>
      </c>
      <c r="L49" s="127">
        <f>+R_2014_09_priskirta!L50+'R_2014_09_atkelta(viso)'!L49</f>
        <v>0</v>
      </c>
      <c r="M49" s="127">
        <f>+R_2014_09_priskirta!M50+'R_2014_09_atkelta(viso)'!M49</f>
        <v>31.5</v>
      </c>
      <c r="N49" s="127">
        <f>+R_2014_09_priskirta!N50+'R_2014_09_atkelta(viso)'!N49</f>
        <v>21</v>
      </c>
      <c r="O49" s="127">
        <f>+R_2014_09_priskirta!O50+'R_2014_09_atkelta(viso)'!O49</f>
        <v>168</v>
      </c>
      <c r="P49" s="127">
        <f>+R_2014_09_priskirta!P50+'R_2014_09_atkelta(viso)'!P49</f>
        <v>0</v>
      </c>
      <c r="Q49" s="24">
        <f t="shared" si="23"/>
        <v>2548</v>
      </c>
      <c r="R49" s="229">
        <f t="shared" si="6"/>
        <v>2337.6146788990823</v>
      </c>
      <c r="S49" s="5">
        <f t="shared" si="30"/>
        <v>210.38532110091774</v>
      </c>
      <c r="T49" s="21">
        <f t="shared" si="31"/>
        <v>242.66666666666666</v>
      </c>
      <c r="U49" s="71"/>
      <c r="V49" s="61">
        <v>10.5</v>
      </c>
      <c r="W49" s="13">
        <f t="shared" ref="W49:W50" si="33">+T49*V49</f>
        <v>2548</v>
      </c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+R_2014_09_priskirta!E51+'R_2014_09_atkelta(viso)'!E50</f>
        <v>259</v>
      </c>
      <c r="F50" s="127">
        <f>+R_2014_09_priskirta!F51+'R_2014_09_atkelta(viso)'!F50</f>
        <v>8528.8000000000011</v>
      </c>
      <c r="G50" s="127">
        <f>+R_2014_09_priskirta!G51+'R_2014_09_atkelta(viso)'!G50</f>
        <v>1015</v>
      </c>
      <c r="H50" s="127">
        <f>+R_2014_09_priskirta!H51+'R_2014_09_atkelta(viso)'!H50</f>
        <v>147</v>
      </c>
      <c r="I50" s="127">
        <f>+R_2014_09_priskirta!I51+'R_2014_09_atkelta(viso)'!I50</f>
        <v>0</v>
      </c>
      <c r="J50" s="127">
        <f>+R_2014_09_priskirta!J51+'R_2014_09_atkelta(viso)'!J50</f>
        <v>0</v>
      </c>
      <c r="K50" s="127">
        <f>+R_2014_09_priskirta!K51+'R_2014_09_atkelta(viso)'!K50</f>
        <v>0</v>
      </c>
      <c r="L50" s="127">
        <f>+R_2014_09_priskirta!L51+'R_2014_09_atkelta(viso)'!L50</f>
        <v>0</v>
      </c>
      <c r="M50" s="127">
        <f>+R_2014_09_priskirta!M51+'R_2014_09_atkelta(viso)'!M50</f>
        <v>88.2</v>
      </c>
      <c r="N50" s="127">
        <f>+R_2014_09_priskirta!N51+'R_2014_09_atkelta(viso)'!N50</f>
        <v>259</v>
      </c>
      <c r="O50" s="127">
        <f>+R_2014_09_priskirta!O51+'R_2014_09_atkelta(viso)'!O50</f>
        <v>1138.2</v>
      </c>
      <c r="P50" s="127">
        <f>+R_2014_09_priskirta!P51+'R_2014_09_atkelta(viso)'!P50</f>
        <v>0</v>
      </c>
      <c r="Q50" s="24">
        <f t="shared" si="23"/>
        <v>11435.200000000003</v>
      </c>
      <c r="R50" s="229">
        <f t="shared" si="6"/>
        <v>10491.009174311928</v>
      </c>
      <c r="S50" s="5">
        <f t="shared" si="30"/>
        <v>944.19082568807426</v>
      </c>
      <c r="T50" s="21">
        <f t="shared" si="31"/>
        <v>2722.666666666667</v>
      </c>
      <c r="U50" s="71"/>
      <c r="V50" s="61">
        <v>16.8</v>
      </c>
      <c r="W50" s="13">
        <f t="shared" si="33"/>
        <v>45740.80000000001</v>
      </c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+R_2014_09_priskirta!E52+'R_2014_09_atkelta(viso)'!E51</f>
        <v>3849.9</v>
      </c>
      <c r="F51" s="127">
        <f>+R_2014_09_priskirta!F52+'R_2014_09_atkelta(viso)'!F51</f>
        <v>70991.5</v>
      </c>
      <c r="G51" s="127">
        <f>+R_2014_09_priskirta!G52+'R_2014_09_atkelta(viso)'!G51</f>
        <v>11656.3</v>
      </c>
      <c r="H51" s="127">
        <f>+R_2014_09_priskirta!H52+'R_2014_09_atkelta(viso)'!H51</f>
        <v>2870</v>
      </c>
      <c r="I51" s="127">
        <f>+R_2014_09_priskirta!I52+'R_2014_09_atkelta(viso)'!I51</f>
        <v>0</v>
      </c>
      <c r="J51" s="127">
        <f>+R_2014_09_priskirta!J52+'R_2014_09_atkelta(viso)'!J51</f>
        <v>0</v>
      </c>
      <c r="K51" s="127">
        <f>+R_2014_09_priskirta!K52+'R_2014_09_atkelta(viso)'!K51</f>
        <v>0</v>
      </c>
      <c r="L51" s="127">
        <f>+R_2014_09_priskirta!L52+'R_2014_09_atkelta(viso)'!L51</f>
        <v>0</v>
      </c>
      <c r="M51" s="127">
        <f>+R_2014_09_priskirta!M52+'R_2014_09_atkelta(viso)'!M51</f>
        <v>1033.2</v>
      </c>
      <c r="N51" s="127">
        <f>+R_2014_09_priskirta!N52+'R_2014_09_atkelta(viso)'!N51</f>
        <v>1410.4</v>
      </c>
      <c r="O51" s="127">
        <f>+R_2014_09_priskirta!O52+'R_2014_09_atkelta(viso)'!O51</f>
        <v>6502.5999999999995</v>
      </c>
      <c r="P51" s="127">
        <f>+R_2014_09_priskirta!P52+'R_2014_09_atkelta(viso)'!P51</f>
        <v>0</v>
      </c>
      <c r="Q51" s="24">
        <f t="shared" si="23"/>
        <v>98313.9</v>
      </c>
      <c r="R51" s="229">
        <f t="shared" si="6"/>
        <v>90196.238532110074</v>
      </c>
      <c r="S51" s="5">
        <f t="shared" si="30"/>
        <v>8117.6614678899205</v>
      </c>
      <c r="T51" s="21">
        <f t="shared" si="31"/>
        <v>2397.8999999999996</v>
      </c>
      <c r="U51" s="71"/>
      <c r="V51" s="61"/>
      <c r="W51" s="13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+R_2014_09_priskirta!E53+'R_2014_09_atkelta(viso)'!E52</f>
        <v>147.6</v>
      </c>
      <c r="F52" s="127">
        <f>+R_2014_09_priskirta!F53+'R_2014_09_atkelta(viso)'!F52</f>
        <v>5526.8</v>
      </c>
      <c r="G52" s="127">
        <f>+R_2014_09_priskirta!G53+'R_2014_09_atkelta(viso)'!G52</f>
        <v>844.6</v>
      </c>
      <c r="H52" s="127">
        <f>+R_2014_09_priskirta!H53+'R_2014_09_atkelta(viso)'!H52</f>
        <v>246</v>
      </c>
      <c r="I52" s="127">
        <f>+R_2014_09_priskirta!I53+'R_2014_09_atkelta(viso)'!I52</f>
        <v>0</v>
      </c>
      <c r="J52" s="127">
        <f>+R_2014_09_priskirta!J53+'R_2014_09_atkelta(viso)'!J52</f>
        <v>0</v>
      </c>
      <c r="K52" s="127">
        <f>+R_2014_09_priskirta!K53+'R_2014_09_atkelta(viso)'!K52</f>
        <v>0</v>
      </c>
      <c r="L52" s="127">
        <f>+R_2014_09_priskirta!L53+'R_2014_09_atkelta(viso)'!L52</f>
        <v>0</v>
      </c>
      <c r="M52" s="127">
        <f>+R_2014_09_priskirta!M53+'R_2014_09_atkelta(viso)'!M52</f>
        <v>61.5</v>
      </c>
      <c r="N52" s="127">
        <f>+R_2014_09_priskirta!N53+'R_2014_09_atkelta(viso)'!N52</f>
        <v>18.450000000000003</v>
      </c>
      <c r="O52" s="127">
        <f>+R_2014_09_priskirta!O53+'R_2014_09_atkelta(viso)'!O52</f>
        <v>284.95</v>
      </c>
      <c r="P52" s="127">
        <f>+R_2014_09_priskirta!P53+'R_2014_09_atkelta(viso)'!P52</f>
        <v>0</v>
      </c>
      <c r="Q52" s="24">
        <f t="shared" si="23"/>
        <v>7129.9000000000005</v>
      </c>
      <c r="R52" s="229">
        <f t="shared" si="6"/>
        <v>6541.1926605504586</v>
      </c>
      <c r="S52" s="5">
        <f t="shared" si="30"/>
        <v>588.70733944954191</v>
      </c>
      <c r="T52" s="21">
        <f t="shared" si="31"/>
        <v>347.8</v>
      </c>
      <c r="U52" s="71"/>
      <c r="V52" s="61">
        <v>20.5</v>
      </c>
      <c r="W52" s="13">
        <f t="shared" ref="W52:W53" si="34">+T52*V52</f>
        <v>7129.9000000000005</v>
      </c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+R_2014_09_priskirta!E54+'R_2014_09_atkelta(viso)'!E53</f>
        <v>359.16</v>
      </c>
      <c r="F53" s="199">
        <f>+R_2014_09_priskirta!F54+'R_2014_09_atkelta(viso)'!F53</f>
        <v>8193.44</v>
      </c>
      <c r="G53" s="199">
        <f>+R_2014_09_priskirta!G54+'R_2014_09_atkelta(viso)'!G53</f>
        <v>1084.04</v>
      </c>
      <c r="H53" s="199">
        <f>+R_2014_09_priskirta!H54+'R_2014_09_atkelta(viso)'!H53</f>
        <v>331.28000000000003</v>
      </c>
      <c r="I53" s="199">
        <f>+R_2014_09_priskirta!I54+'R_2014_09_atkelta(viso)'!I53</f>
        <v>0</v>
      </c>
      <c r="J53" s="199">
        <f>+R_2014_09_priskirta!J54+'R_2014_09_atkelta(viso)'!J53</f>
        <v>0</v>
      </c>
      <c r="K53" s="199">
        <f>+R_2014_09_priskirta!K54+'R_2014_09_atkelta(viso)'!K53</f>
        <v>0</v>
      </c>
      <c r="L53" s="199">
        <f>+R_2014_09_priskirta!L54+'R_2014_09_atkelta(viso)'!L53</f>
        <v>0</v>
      </c>
      <c r="M53" s="199">
        <f>+R_2014_09_priskirta!M54+'R_2014_09_atkelta(viso)'!M53</f>
        <v>37.72</v>
      </c>
      <c r="N53" s="199">
        <f>+R_2014_09_priskirta!N54+'R_2014_09_atkelta(viso)'!N53</f>
        <v>309.14000000000004</v>
      </c>
      <c r="O53" s="199">
        <f>+R_2014_09_priskirta!O54+'R_2014_09_atkelta(viso)'!O53</f>
        <v>1465.3400000000001</v>
      </c>
      <c r="P53" s="199">
        <f>+R_2014_09_priskirta!P54+'R_2014_09_atkelta(viso)'!P53</f>
        <v>0</v>
      </c>
      <c r="Q53" s="359">
        <f t="shared" si="23"/>
        <v>11780.119999999999</v>
      </c>
      <c r="R53" s="140">
        <f t="shared" si="6"/>
        <v>10807.449541284403</v>
      </c>
      <c r="S53" s="6">
        <f t="shared" si="30"/>
        <v>972.6704587155964</v>
      </c>
      <c r="T53" s="22">
        <f t="shared" si="31"/>
        <v>1436.6</v>
      </c>
      <c r="U53" s="71"/>
      <c r="V53" s="61">
        <v>32.799999999999997</v>
      </c>
      <c r="W53" s="13">
        <f t="shared" si="34"/>
        <v>47120.479999999996</v>
      </c>
    </row>
    <row r="54" spans="1:23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3" x14ac:dyDescent="0.25">
      <c r="E55" s="2"/>
      <c r="F55" s="2"/>
      <c r="G55" s="2"/>
      <c r="H55" s="2"/>
      <c r="I55" s="2"/>
      <c r="J55" s="2"/>
      <c r="M55" s="2"/>
      <c r="N55" s="2"/>
      <c r="Q55" s="2"/>
      <c r="R55" s="2"/>
      <c r="S55" s="2"/>
    </row>
    <row r="57" spans="1:23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BL73"/>
  <sheetViews>
    <sheetView topLeftCell="N43" zoomScaleNormal="100" workbookViewId="0">
      <selection activeCell="D57" sqref="D57:Q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1.5546875" style="1" customWidth="1"/>
    <col min="9" max="9" width="15.109375" style="1" customWidth="1"/>
    <col min="10" max="10" width="14.109375" style="1" customWidth="1"/>
    <col min="11" max="11" width="11.33203125" style="1" customWidth="1"/>
    <col min="12" max="12" width="12.33203125" style="1" customWidth="1"/>
    <col min="13" max="13" width="13" style="1" customWidth="1"/>
    <col min="14" max="14" width="12.6640625" style="1" customWidth="1"/>
    <col min="15" max="15" width="12.109375" style="1" customWidth="1"/>
    <col min="16" max="16" width="13" style="1" customWidth="1" outlineLevel="1"/>
    <col min="17" max="17" width="15.109375" style="1" bestFit="1" customWidth="1"/>
    <col min="18" max="19" width="12.33203125" style="1" customWidth="1"/>
    <col min="20" max="20" width="11.6640625" style="1" customWidth="1"/>
    <col min="21" max="21" width="5.33203125" style="1" customWidth="1"/>
    <col min="22" max="22" width="4.88671875" style="1" customWidth="1"/>
    <col min="23" max="23" width="12.88671875" style="2" customWidth="1"/>
    <col min="24" max="24" width="11.33203125" style="141" bestFit="1" customWidth="1"/>
    <col min="25" max="25" width="9.88671875" style="141" bestFit="1" customWidth="1"/>
    <col min="26" max="26" width="8.88671875" style="141"/>
    <col min="27" max="58" width="8.88671875" style="1"/>
    <col min="59" max="59" width="11.33203125" style="1" customWidth="1"/>
    <col min="60" max="16384" width="8.88671875" style="1"/>
  </cols>
  <sheetData>
    <row r="1" spans="1:64" ht="22.2" customHeight="1" x14ac:dyDescent="0.3">
      <c r="A1" s="40" t="s">
        <v>452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64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64" ht="25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601" t="s">
        <v>178</v>
      </c>
      <c r="P3" s="602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64" ht="26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411" t="s">
        <v>481</v>
      </c>
      <c r="P4" s="412" t="s">
        <v>480</v>
      </c>
      <c r="Q4" s="591"/>
      <c r="R4" s="592"/>
      <c r="S4" s="592"/>
      <c r="T4" s="592"/>
      <c r="V4" s="87"/>
      <c r="W4" s="585"/>
    </row>
    <row r="5" spans="1:64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T5" si="0">+E6+E18+E44</f>
        <v>298414</v>
      </c>
      <c r="F5" s="187">
        <f t="shared" si="0"/>
        <v>6729496.8199999994</v>
      </c>
      <c r="G5" s="82">
        <f t="shared" si="0"/>
        <v>1029830.12</v>
      </c>
      <c r="H5" s="82">
        <f t="shared" si="0"/>
        <v>170269.58000000002</v>
      </c>
      <c r="I5" s="187">
        <f t="shared" si="0"/>
        <v>661839.5</v>
      </c>
      <c r="J5" s="187">
        <f t="shared" si="0"/>
        <v>1089790.8</v>
      </c>
      <c r="K5" s="187">
        <f t="shared" si="0"/>
        <v>1010559.6799999998</v>
      </c>
      <c r="L5" s="187">
        <f t="shared" si="0"/>
        <v>603.03999999993971</v>
      </c>
      <c r="M5" s="187">
        <f t="shared" si="0"/>
        <v>99104.02</v>
      </c>
      <c r="N5" s="192">
        <f>+N6+N18+N44</f>
        <v>121691.24</v>
      </c>
      <c r="O5" s="187">
        <f>+O6+O18+O44</f>
        <v>660830.86</v>
      </c>
      <c r="P5" s="19">
        <f>+P6+P18+P44</f>
        <v>11769</v>
      </c>
      <c r="Q5" s="42">
        <f t="shared" ref="Q5:Q10" si="1">+SUM(E5:P5)</f>
        <v>11884198.659999998</v>
      </c>
      <c r="R5" s="42">
        <f t="shared" si="0"/>
        <v>10902934.550458716</v>
      </c>
      <c r="S5" s="42">
        <f t="shared" si="0"/>
        <v>981264.10954128497</v>
      </c>
      <c r="T5" s="42">
        <f t="shared" si="0"/>
        <v>2570132</v>
      </c>
      <c r="U5" s="71"/>
      <c r="V5" s="87"/>
      <c r="W5" s="135">
        <f>+W7+W18+W44</f>
        <v>7773077.8399999999</v>
      </c>
      <c r="X5" s="138"/>
      <c r="Y5" s="138"/>
      <c r="Z5" s="138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T6" si="2">+E7+E11</f>
        <v>65490.100000000006</v>
      </c>
      <c r="F6" s="187">
        <f t="shared" si="2"/>
        <v>1746991.22</v>
      </c>
      <c r="G6" s="82">
        <f t="shared" si="2"/>
        <v>262275.81999999995</v>
      </c>
      <c r="H6" s="82">
        <f t="shared" si="2"/>
        <v>33457.58</v>
      </c>
      <c r="I6" s="187">
        <f t="shared" si="2"/>
        <v>661839.5</v>
      </c>
      <c r="J6" s="187">
        <f t="shared" si="2"/>
        <v>1089790.8</v>
      </c>
      <c r="K6" s="187">
        <f t="shared" si="2"/>
        <v>1010559.6799999998</v>
      </c>
      <c r="L6" s="187">
        <f t="shared" si="2"/>
        <v>603.03999999993971</v>
      </c>
      <c r="M6" s="187">
        <f t="shared" si="2"/>
        <v>25776.719999999998</v>
      </c>
      <c r="N6" s="192">
        <f>+N7+N11</f>
        <v>79670.040000000008</v>
      </c>
      <c r="O6" s="187">
        <f t="shared" si="2"/>
        <v>152224.66000000003</v>
      </c>
      <c r="P6" s="19">
        <f t="shared" si="2"/>
        <v>49</v>
      </c>
      <c r="Q6" s="42">
        <f t="shared" si="1"/>
        <v>5128728.16</v>
      </c>
      <c r="R6" s="42">
        <f t="shared" si="2"/>
        <v>4705255.1926605506</v>
      </c>
      <c r="S6" s="42">
        <f t="shared" si="2"/>
        <v>423472.96733944979</v>
      </c>
      <c r="T6" s="42">
        <f t="shared" si="2"/>
        <v>2411698</v>
      </c>
      <c r="V6" s="61"/>
      <c r="W6" s="13"/>
      <c r="X6" s="138"/>
      <c r="Y6" s="138"/>
      <c r="Z6" s="138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219">
        <f t="shared" si="3"/>
        <v>0</v>
      </c>
      <c r="G7" s="79">
        <f t="shared" si="3"/>
        <v>0</v>
      </c>
      <c r="H7" s="79">
        <f t="shared" si="3"/>
        <v>0</v>
      </c>
      <c r="I7" s="126">
        <f t="shared" si="3"/>
        <v>661839.5</v>
      </c>
      <c r="J7" s="380">
        <f t="shared" si="3"/>
        <v>1089790.8</v>
      </c>
      <c r="K7" s="79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219">
        <f t="shared" si="4"/>
        <v>0</v>
      </c>
      <c r="P7" s="226">
        <f t="shared" si="4"/>
        <v>0</v>
      </c>
      <c r="Q7" s="43">
        <f t="shared" si="1"/>
        <v>1751630.3</v>
      </c>
      <c r="R7" s="43">
        <f t="shared" si="4"/>
        <v>1607000.2752293576</v>
      </c>
      <c r="S7" s="43">
        <f t="shared" si="4"/>
        <v>144630.02477064237</v>
      </c>
      <c r="T7" s="43">
        <f t="shared" si="4"/>
        <v>625493</v>
      </c>
      <c r="U7" s="71"/>
      <c r="V7" s="134"/>
      <c r="W7" s="105">
        <f>+SUM(W8:W17)</f>
        <v>1061970.3400000001</v>
      </c>
      <c r="X7" s="138"/>
      <c r="Y7" s="138"/>
      <c r="Z7" s="138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499436</v>
      </c>
      <c r="J8" s="127">
        <f>799480.5+27989.5</f>
        <v>827470</v>
      </c>
      <c r="K8" s="36"/>
      <c r="L8" s="36"/>
      <c r="M8" s="36"/>
      <c r="N8" s="127"/>
      <c r="O8" s="362"/>
      <c r="P8" s="355"/>
      <c r="Q8" s="24">
        <f t="shared" si="1"/>
        <v>1326906</v>
      </c>
      <c r="R8" s="5">
        <f t="shared" ref="R8:R10" si="5">+Q8/1.09</f>
        <v>1217344.9541284402</v>
      </c>
      <c r="S8" s="5">
        <f t="shared" ref="S8:S10" si="6">+Q8-R8</f>
        <v>109561.04587155976</v>
      </c>
      <c r="T8" s="5">
        <f>Q8/D8</f>
        <v>379116</v>
      </c>
      <c r="U8" s="71"/>
      <c r="V8" s="61"/>
      <c r="W8" s="13"/>
      <c r="X8" s="138"/>
      <c r="Y8" s="138"/>
      <c r="Z8" s="138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7">+D8*0.5</f>
        <v>1.75</v>
      </c>
      <c r="E9" s="122"/>
      <c r="F9" s="17"/>
      <c r="G9" s="13"/>
      <c r="H9" s="13"/>
      <c r="I9" s="127">
        <v>159757.5</v>
      </c>
      <c r="J9" s="127">
        <f>249758.25+10918.25</f>
        <v>260676.5</v>
      </c>
      <c r="K9" s="143"/>
      <c r="L9" s="143"/>
      <c r="M9" s="143"/>
      <c r="N9" s="127"/>
      <c r="O9" s="17"/>
      <c r="P9" s="350"/>
      <c r="Q9" s="24">
        <f t="shared" si="1"/>
        <v>420434</v>
      </c>
      <c r="R9" s="26">
        <f t="shared" si="5"/>
        <v>385719.26605504582</v>
      </c>
      <c r="S9" s="26">
        <f t="shared" si="6"/>
        <v>34714.733944954176</v>
      </c>
      <c r="T9" s="26">
        <f>Q9/D9</f>
        <v>240248</v>
      </c>
      <c r="U9" s="71"/>
      <c r="V9" s="61">
        <v>1.75</v>
      </c>
      <c r="W9" s="13">
        <f>+T9*V9</f>
        <v>420434</v>
      </c>
      <c r="X9" s="138"/>
      <c r="Y9" s="138"/>
      <c r="Z9" s="138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2646</v>
      </c>
      <c r="J10" s="144">
        <f>1575+69.3</f>
        <v>1644.3</v>
      </c>
      <c r="K10" s="144"/>
      <c r="L10" s="144"/>
      <c r="M10" s="144"/>
      <c r="N10" s="144"/>
      <c r="O10" s="18"/>
      <c r="P10" s="350"/>
      <c r="Q10" s="24">
        <f t="shared" si="1"/>
        <v>4290.3</v>
      </c>
      <c r="R10" s="26">
        <f t="shared" si="5"/>
        <v>3936.0550458715593</v>
      </c>
      <c r="S10" s="26">
        <f t="shared" si="6"/>
        <v>354.2449541284409</v>
      </c>
      <c r="T10" s="26">
        <f>Q10/D10</f>
        <v>6129.0000000000009</v>
      </c>
      <c r="U10" s="71"/>
      <c r="V10" s="107">
        <v>2.8</v>
      </c>
      <c r="W10" s="13">
        <f>+T10*V10</f>
        <v>17161.2</v>
      </c>
      <c r="X10" s="138"/>
      <c r="Y10" s="138"/>
      <c r="Z10" s="138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65490.100000000006</v>
      </c>
      <c r="F11" s="16">
        <f t="shared" si="8"/>
        <v>1746991.22</v>
      </c>
      <c r="G11" s="84">
        <f t="shared" si="8"/>
        <v>262275.81999999995</v>
      </c>
      <c r="H11" s="84">
        <f t="shared" si="8"/>
        <v>33457.58</v>
      </c>
      <c r="I11" s="84">
        <f t="shared" si="8"/>
        <v>0</v>
      </c>
      <c r="J11" s="74">
        <f t="shared" si="8"/>
        <v>0</v>
      </c>
      <c r="K11" s="101">
        <f t="shared" si="8"/>
        <v>1010559.6799999998</v>
      </c>
      <c r="L11" s="101">
        <f t="shared" si="8"/>
        <v>603.03999999993971</v>
      </c>
      <c r="M11" s="101">
        <f t="shared" si="8"/>
        <v>25776.719999999998</v>
      </c>
      <c r="N11" s="101">
        <f t="shared" si="8"/>
        <v>79670.040000000008</v>
      </c>
      <c r="O11" s="101">
        <f t="shared" si="8"/>
        <v>152224.66000000003</v>
      </c>
      <c r="P11" s="101">
        <f t="shared" si="8"/>
        <v>49</v>
      </c>
      <c r="Q11" s="43">
        <f t="shared" si="8"/>
        <v>3377097.8600000003</v>
      </c>
      <c r="R11" s="43">
        <f t="shared" si="8"/>
        <v>3098254.9174311929</v>
      </c>
      <c r="S11" s="43">
        <f t="shared" si="8"/>
        <v>278842.94256880746</v>
      </c>
      <c r="T11" s="43">
        <f t="shared" si="8"/>
        <v>1786205.0000000002</v>
      </c>
      <c r="U11" s="71"/>
      <c r="V11" s="61"/>
      <c r="W11" s="13"/>
      <c r="X11" s="138"/>
      <c r="Y11" s="138"/>
      <c r="Z11" s="138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53402.8</v>
      </c>
      <c r="F12" s="13">
        <v>1333989.8</v>
      </c>
      <c r="G12" s="13">
        <v>194222.59999999998</v>
      </c>
      <c r="H12" s="13">
        <v>24571.8</v>
      </c>
      <c r="I12" s="13"/>
      <c r="J12" s="33"/>
      <c r="K12" s="33">
        <v>775361.4</v>
      </c>
      <c r="L12" s="305">
        <v>475.19999999995343</v>
      </c>
      <c r="M12" s="308">
        <v>17426.2</v>
      </c>
      <c r="N12" s="127">
        <v>69126.2</v>
      </c>
      <c r="O12" s="439">
        <f>132574.2+24.2</f>
        <v>132598.40000000002</v>
      </c>
      <c r="P12" s="164">
        <v>33</v>
      </c>
      <c r="Q12" s="24">
        <f t="shared" ref="Q12:Q17" si="9">+SUM(E12:P12)</f>
        <v>2601207.4000000008</v>
      </c>
      <c r="R12" s="5">
        <f t="shared" ref="R12:R17" si="10">+Q12/1.09</f>
        <v>2386428.8073394503</v>
      </c>
      <c r="S12" s="5">
        <f t="shared" ref="S12:S17" si="11">+Q12-R12</f>
        <v>214778.59266055049</v>
      </c>
      <c r="T12" s="5">
        <f t="shared" ref="T12:T17" si="12">Q12/D12</f>
        <v>1182367.0000000002</v>
      </c>
      <c r="U12" s="2"/>
      <c r="V12" s="61"/>
      <c r="W12" s="13"/>
      <c r="X12" s="138"/>
      <c r="Y12" s="138"/>
      <c r="Z12" s="138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10796.5</v>
      </c>
      <c r="F13" s="13">
        <v>382160.9</v>
      </c>
      <c r="G13" s="13">
        <v>61986.099999999991</v>
      </c>
      <c r="H13" s="13">
        <v>8451.2999999999993</v>
      </c>
      <c r="I13" s="13"/>
      <c r="J13" s="33"/>
      <c r="K13" s="33">
        <v>81615.600000000006</v>
      </c>
      <c r="L13" s="306">
        <v>44</v>
      </c>
      <c r="M13" s="13">
        <v>7862.8</v>
      </c>
      <c r="N13" s="127">
        <v>2217.6</v>
      </c>
      <c r="O13" s="96">
        <v>10242.1</v>
      </c>
      <c r="P13" s="164"/>
      <c r="Q13" s="24">
        <f t="shared" si="9"/>
        <v>565376.9</v>
      </c>
      <c r="R13" s="5">
        <f t="shared" si="10"/>
        <v>518694.40366972476</v>
      </c>
      <c r="S13" s="5">
        <f t="shared" si="11"/>
        <v>46682.496330275259</v>
      </c>
      <c r="T13" s="5">
        <f t="shared" si="12"/>
        <v>513979</v>
      </c>
      <c r="U13" s="71"/>
      <c r="V13" s="107">
        <v>1.1000000000000001</v>
      </c>
      <c r="W13" s="13">
        <f t="shared" ref="W13:W14" si="13">+T13*V13</f>
        <v>565376.9</v>
      </c>
      <c r="X13" s="138"/>
      <c r="Y13" s="138"/>
      <c r="Z13" s="138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183.92</v>
      </c>
      <c r="F14" s="13">
        <v>4684.68</v>
      </c>
      <c r="G14" s="13">
        <v>736.56000000000006</v>
      </c>
      <c r="H14" s="13">
        <v>106.48</v>
      </c>
      <c r="I14" s="13"/>
      <c r="J14" s="33"/>
      <c r="K14" s="33">
        <v>1434.84</v>
      </c>
      <c r="L14" s="306">
        <v>0</v>
      </c>
      <c r="M14" s="13">
        <v>142.12</v>
      </c>
      <c r="N14" s="127">
        <v>487.52</v>
      </c>
      <c r="O14" s="96">
        <v>160.16</v>
      </c>
      <c r="P14" s="164"/>
      <c r="Q14" s="24">
        <f t="shared" si="9"/>
        <v>7936.2800000000007</v>
      </c>
      <c r="R14" s="5">
        <f t="shared" si="10"/>
        <v>7280.9908256880735</v>
      </c>
      <c r="S14" s="5">
        <f t="shared" si="11"/>
        <v>655.28917431192713</v>
      </c>
      <c r="T14" s="5">
        <f t="shared" si="12"/>
        <v>18037</v>
      </c>
      <c r="U14" s="71"/>
      <c r="V14" s="61">
        <v>1.76</v>
      </c>
      <c r="W14" s="13">
        <f t="shared" si="13"/>
        <v>31745.119999999999</v>
      </c>
      <c r="X14" s="138"/>
      <c r="Y14" s="138"/>
      <c r="Z14" s="138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825.6</v>
      </c>
      <c r="F15" s="13">
        <v>21312</v>
      </c>
      <c r="G15" s="13">
        <v>4352</v>
      </c>
      <c r="H15" s="13">
        <v>192</v>
      </c>
      <c r="I15" s="13"/>
      <c r="J15" s="33"/>
      <c r="K15" s="33">
        <v>134044.79999999999</v>
      </c>
      <c r="L15" s="306">
        <v>63.999999999985448</v>
      </c>
      <c r="M15" s="13">
        <v>176</v>
      </c>
      <c r="N15" s="127">
        <v>7424</v>
      </c>
      <c r="O15" s="96">
        <v>8592</v>
      </c>
      <c r="P15" s="164">
        <v>16</v>
      </c>
      <c r="Q15" s="24">
        <f t="shared" si="9"/>
        <v>176998.39999999997</v>
      </c>
      <c r="R15" s="5">
        <f t="shared" si="10"/>
        <v>162383.85321100912</v>
      </c>
      <c r="S15" s="5">
        <f t="shared" si="11"/>
        <v>14614.546788990847</v>
      </c>
      <c r="T15" s="5">
        <f t="shared" si="12"/>
        <v>55311.999999999985</v>
      </c>
      <c r="U15" s="71"/>
      <c r="V15" s="61"/>
      <c r="W15" s="13"/>
      <c r="X15" s="138"/>
      <c r="Y15" s="138"/>
      <c r="Z15" s="138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4.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30">
        <v>260.8</v>
      </c>
      <c r="F16" s="13">
        <v>4731.2</v>
      </c>
      <c r="G16" s="13">
        <v>972.80000000000007</v>
      </c>
      <c r="H16" s="13">
        <v>126.4</v>
      </c>
      <c r="I16" s="13"/>
      <c r="J16" s="33"/>
      <c r="K16" s="33">
        <v>17817.599999999999</v>
      </c>
      <c r="L16" s="306">
        <v>19.200000000000728</v>
      </c>
      <c r="M16" s="13">
        <v>169.6</v>
      </c>
      <c r="N16" s="127">
        <v>316.8</v>
      </c>
      <c r="O16" s="96">
        <v>606.4</v>
      </c>
      <c r="P16" s="164"/>
      <c r="Q16" s="24">
        <f t="shared" si="9"/>
        <v>25020.799999999999</v>
      </c>
      <c r="R16" s="5">
        <f t="shared" si="10"/>
        <v>22954.862385321099</v>
      </c>
      <c r="S16" s="5">
        <f t="shared" si="11"/>
        <v>2065.9376146789</v>
      </c>
      <c r="T16" s="5">
        <f t="shared" si="12"/>
        <v>15637.999999999998</v>
      </c>
      <c r="U16" s="71"/>
      <c r="V16" s="61">
        <v>1.6</v>
      </c>
      <c r="W16" s="13">
        <f t="shared" ref="W16:W17" si="14">+T16*V16</f>
        <v>25020.799999999999</v>
      </c>
      <c r="X16" s="138"/>
      <c r="Y16" s="138"/>
      <c r="Z16" s="138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20.48</v>
      </c>
      <c r="F17" s="13">
        <v>112.64</v>
      </c>
      <c r="G17" s="13">
        <v>5.76</v>
      </c>
      <c r="H17" s="14">
        <v>9.6</v>
      </c>
      <c r="I17" s="14"/>
      <c r="J17" s="76"/>
      <c r="K17" s="76">
        <v>285.44</v>
      </c>
      <c r="L17" s="307">
        <v>0.6400000000000432</v>
      </c>
      <c r="M17" s="14">
        <v>0</v>
      </c>
      <c r="N17" s="127">
        <v>97.92</v>
      </c>
      <c r="O17" s="148">
        <v>25.6</v>
      </c>
      <c r="P17" s="164"/>
      <c r="Q17" s="24">
        <f t="shared" si="9"/>
        <v>558.08000000000004</v>
      </c>
      <c r="R17" s="5">
        <f t="shared" si="10"/>
        <v>512</v>
      </c>
      <c r="S17" s="5">
        <f t="shared" si="11"/>
        <v>46.080000000000041</v>
      </c>
      <c r="T17" s="6">
        <f t="shared" si="12"/>
        <v>872</v>
      </c>
      <c r="U17" s="71"/>
      <c r="V17" s="61">
        <v>2.56</v>
      </c>
      <c r="W17" s="13">
        <f t="shared" si="14"/>
        <v>2232.3200000000002</v>
      </c>
      <c r="X17" s="138"/>
      <c r="Y17" s="138"/>
      <c r="Z17" s="138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225583</v>
      </c>
      <c r="F18" s="118">
        <f t="shared" ref="F18:T18" si="15">+SUM(F19:F43)</f>
        <v>4813068</v>
      </c>
      <c r="G18" s="231">
        <f t="shared" si="15"/>
        <v>739823</v>
      </c>
      <c r="H18" s="118">
        <f t="shared" si="15"/>
        <v>131359</v>
      </c>
      <c r="I18" s="231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71471</v>
      </c>
      <c r="N18" s="231">
        <f t="shared" ref="N18" si="16">+SUM(N19:N43)</f>
        <v>38369</v>
      </c>
      <c r="O18" s="118">
        <f>+SUM(O19:O43)</f>
        <v>492410</v>
      </c>
      <c r="P18" s="118">
        <f t="shared" ref="P18" si="17">+SUM(P19:P43)</f>
        <v>11720</v>
      </c>
      <c r="Q18" s="42">
        <f>+SUM(Q19:Q43)</f>
        <v>6523803</v>
      </c>
      <c r="R18" s="118">
        <f t="shared" si="15"/>
        <v>5985140.3669724772</v>
      </c>
      <c r="S18" s="118">
        <f t="shared" si="15"/>
        <v>538662.63302752317</v>
      </c>
      <c r="T18" s="253">
        <f t="shared" si="15"/>
        <v>127102</v>
      </c>
      <c r="U18" s="71"/>
      <c r="V18" s="61"/>
      <c r="W18" s="105">
        <f>+SUM(W19:W43)</f>
        <v>6409187</v>
      </c>
      <c r="X18" s="138"/>
      <c r="Y18" s="138"/>
      <c r="Z18" s="138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131300</v>
      </c>
      <c r="F19" s="92">
        <v>2649100</v>
      </c>
      <c r="G19" s="92">
        <v>395100</v>
      </c>
      <c r="H19" s="92">
        <v>63900</v>
      </c>
      <c r="I19" s="23"/>
      <c r="J19" s="34"/>
      <c r="K19" s="34"/>
      <c r="L19" s="34"/>
      <c r="M19" s="34">
        <v>41000</v>
      </c>
      <c r="N19" s="127">
        <v>21300</v>
      </c>
      <c r="O19" s="416">
        <f>231400-100</f>
        <v>231300</v>
      </c>
      <c r="P19" s="356">
        <v>11000</v>
      </c>
      <c r="Q19" s="24">
        <f t="shared" ref="Q19:Q43" si="18">+SUM(E19:P19)</f>
        <v>3544000</v>
      </c>
      <c r="R19" s="99">
        <f t="shared" ref="R19:R43" si="19">+Q19/1.09</f>
        <v>3251376.1467889906</v>
      </c>
      <c r="S19" s="24">
        <f>+Q19-R19</f>
        <v>292623.85321100941</v>
      </c>
      <c r="T19" s="24">
        <f t="shared" ref="T19:T43" si="20">Q19/D19</f>
        <v>35440</v>
      </c>
      <c r="U19" s="41"/>
      <c r="V19" s="61"/>
      <c r="W19" s="106"/>
      <c r="X19" s="138"/>
      <c r="Y19" s="138"/>
      <c r="Z19" s="138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26050</v>
      </c>
      <c r="F20" s="48">
        <v>731950</v>
      </c>
      <c r="G20" s="48">
        <v>106850</v>
      </c>
      <c r="H20" s="48">
        <v>21650</v>
      </c>
      <c r="I20" s="13"/>
      <c r="J20" s="33"/>
      <c r="K20" s="33"/>
      <c r="L20" s="33"/>
      <c r="M20" s="33">
        <v>14800</v>
      </c>
      <c r="N20" s="127">
        <v>400</v>
      </c>
      <c r="O20" s="417">
        <f>13300-100</f>
        <v>13200</v>
      </c>
      <c r="P20" s="357"/>
      <c r="Q20" s="24">
        <f t="shared" si="18"/>
        <v>914900</v>
      </c>
      <c r="R20" s="5">
        <f t="shared" si="19"/>
        <v>839357.79816513753</v>
      </c>
      <c r="S20" s="5">
        <f t="shared" ref="S20:S43" si="21">+Q20-R20</f>
        <v>75542.20183486247</v>
      </c>
      <c r="T20" s="5">
        <f t="shared" si="20"/>
        <v>18298</v>
      </c>
      <c r="U20" s="41"/>
      <c r="V20" s="61">
        <v>50</v>
      </c>
      <c r="W20" s="13">
        <f t="shared" ref="W20:W21" si="22">+T20*V20</f>
        <v>914900</v>
      </c>
      <c r="X20" s="138"/>
      <c r="Y20" s="138"/>
      <c r="Z20" s="138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41160</v>
      </c>
      <c r="F21" s="95">
        <v>918640</v>
      </c>
      <c r="G21" s="95">
        <v>153020</v>
      </c>
      <c r="H21" s="95">
        <v>22140</v>
      </c>
      <c r="I21" s="13"/>
      <c r="J21" s="33"/>
      <c r="K21" s="33"/>
      <c r="L21" s="33"/>
      <c r="M21" s="33">
        <v>9380</v>
      </c>
      <c r="N21" s="221">
        <v>8400</v>
      </c>
      <c r="O21" s="17">
        <v>90280</v>
      </c>
      <c r="P21" s="357"/>
      <c r="Q21" s="24">
        <f t="shared" si="18"/>
        <v>1243020</v>
      </c>
      <c r="R21" s="5">
        <f t="shared" si="19"/>
        <v>1140385.3211009174</v>
      </c>
      <c r="S21" s="5">
        <f t="shared" si="21"/>
        <v>102634.67889908259</v>
      </c>
      <c r="T21" s="402">
        <f t="shared" si="20"/>
        <v>62151</v>
      </c>
      <c r="U21" s="41"/>
      <c r="V21" s="61">
        <v>80</v>
      </c>
      <c r="W21" s="13">
        <f t="shared" si="22"/>
        <v>4972080</v>
      </c>
      <c r="X21" s="138"/>
      <c r="Y21" s="138"/>
      <c r="Z21" s="138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21420</v>
      </c>
      <c r="F22" s="95">
        <v>407610</v>
      </c>
      <c r="G22" s="95">
        <v>70830</v>
      </c>
      <c r="H22" s="95">
        <v>14850</v>
      </c>
      <c r="I22" s="13"/>
      <c r="J22" s="33"/>
      <c r="K22" s="33"/>
      <c r="L22" s="33"/>
      <c r="M22" s="33">
        <v>4410</v>
      </c>
      <c r="N22" s="401">
        <v>4860</v>
      </c>
      <c r="O22" s="400">
        <v>89640</v>
      </c>
      <c r="P22" s="357">
        <v>720</v>
      </c>
      <c r="Q22" s="24">
        <f t="shared" si="18"/>
        <v>614340</v>
      </c>
      <c r="R22" s="5">
        <f t="shared" si="19"/>
        <v>563614.67889908247</v>
      </c>
      <c r="S22" s="5">
        <f t="shared" si="21"/>
        <v>50725.321100917528</v>
      </c>
      <c r="T22" s="5">
        <f t="shared" si="20"/>
        <v>6826</v>
      </c>
      <c r="U22" s="41"/>
      <c r="V22" s="61"/>
      <c r="W22" s="13"/>
      <c r="X22" s="138"/>
      <c r="Y22" s="138"/>
      <c r="Z22" s="138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900</v>
      </c>
      <c r="F23" s="95">
        <v>24885</v>
      </c>
      <c r="G23" s="95">
        <v>4095</v>
      </c>
      <c r="H23" s="95">
        <v>990</v>
      </c>
      <c r="I23" s="13"/>
      <c r="J23" s="33"/>
      <c r="K23" s="33"/>
      <c r="L23" s="33"/>
      <c r="M23" s="33">
        <v>405</v>
      </c>
      <c r="N23" s="127">
        <v>45</v>
      </c>
      <c r="O23" s="17">
        <v>3015</v>
      </c>
      <c r="P23" s="357"/>
      <c r="Q23" s="24">
        <f t="shared" si="18"/>
        <v>34335</v>
      </c>
      <c r="R23" s="5">
        <f t="shared" si="19"/>
        <v>31499.999999999996</v>
      </c>
      <c r="S23" s="5">
        <f t="shared" si="21"/>
        <v>2835.0000000000036</v>
      </c>
      <c r="T23" s="5">
        <f t="shared" si="20"/>
        <v>763</v>
      </c>
      <c r="U23" s="35"/>
      <c r="V23" s="61">
        <v>45</v>
      </c>
      <c r="W23" s="13">
        <f t="shared" ref="W23:W24" si="23">+T23*V23</f>
        <v>34335</v>
      </c>
      <c r="X23" s="138"/>
      <c r="Y23" s="138"/>
      <c r="Z23" s="138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1944</v>
      </c>
      <c r="F24" s="95">
        <v>23130</v>
      </c>
      <c r="G24" s="95">
        <v>3420</v>
      </c>
      <c r="H24" s="95">
        <v>576</v>
      </c>
      <c r="I24" s="13"/>
      <c r="J24" s="33"/>
      <c r="K24" s="33"/>
      <c r="L24" s="33"/>
      <c r="M24" s="33">
        <v>396</v>
      </c>
      <c r="N24" s="127">
        <v>612</v>
      </c>
      <c r="O24" s="17">
        <v>6750</v>
      </c>
      <c r="P24" s="357"/>
      <c r="Q24" s="24">
        <f t="shared" si="18"/>
        <v>36828</v>
      </c>
      <c r="R24" s="5">
        <f t="shared" si="19"/>
        <v>33787.15596330275</v>
      </c>
      <c r="S24" s="5">
        <f t="shared" si="21"/>
        <v>3040.84403669725</v>
      </c>
      <c r="T24" s="5">
        <f t="shared" si="20"/>
        <v>2046</v>
      </c>
      <c r="U24" s="35"/>
      <c r="V24" s="61">
        <v>72</v>
      </c>
      <c r="W24" s="13">
        <f t="shared" si="23"/>
        <v>147312</v>
      </c>
      <c r="X24" s="138"/>
      <c r="Y24" s="138"/>
      <c r="Z24" s="138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300</v>
      </c>
      <c r="F25" s="95">
        <v>6600</v>
      </c>
      <c r="G25" s="95">
        <v>300</v>
      </c>
      <c r="H25" s="95">
        <v>600</v>
      </c>
      <c r="I25" s="13"/>
      <c r="J25" s="33"/>
      <c r="K25" s="33"/>
      <c r="L25" s="33"/>
      <c r="M25" s="33"/>
      <c r="N25" s="127">
        <v>900</v>
      </c>
      <c r="O25" s="17">
        <v>9300</v>
      </c>
      <c r="P25" s="357"/>
      <c r="Q25" s="24">
        <f t="shared" si="18"/>
        <v>18000</v>
      </c>
      <c r="R25" s="5">
        <f t="shared" si="19"/>
        <v>16513.761467889908</v>
      </c>
      <c r="S25" s="5">
        <f t="shared" si="21"/>
        <v>1486.2385321100919</v>
      </c>
      <c r="T25" s="5">
        <f t="shared" si="20"/>
        <v>60</v>
      </c>
      <c r="U25" s="35"/>
      <c r="V25" s="61"/>
      <c r="W25" s="13"/>
      <c r="X25" s="138"/>
      <c r="Y25" s="138"/>
      <c r="Z25" s="138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>
        <v>0</v>
      </c>
      <c r="F26" s="95">
        <v>6150</v>
      </c>
      <c r="G26" s="95">
        <v>450</v>
      </c>
      <c r="H26" s="95">
        <v>900</v>
      </c>
      <c r="I26" s="13"/>
      <c r="J26" s="33"/>
      <c r="K26" s="33"/>
      <c r="L26" s="33"/>
      <c r="M26" s="33">
        <v>150</v>
      </c>
      <c r="N26" s="127">
        <v>0</v>
      </c>
      <c r="O26" s="13">
        <v>1650</v>
      </c>
      <c r="P26" s="357"/>
      <c r="Q26" s="24">
        <f t="shared" si="18"/>
        <v>9300</v>
      </c>
      <c r="R26" s="5">
        <f t="shared" si="19"/>
        <v>8532.1100917431195</v>
      </c>
      <c r="S26" s="5">
        <f t="shared" si="21"/>
        <v>767.88990825688052</v>
      </c>
      <c r="T26" s="5">
        <f t="shared" si="20"/>
        <v>62</v>
      </c>
      <c r="U26" s="35"/>
      <c r="V26" s="61">
        <v>150</v>
      </c>
      <c r="W26" s="13">
        <f t="shared" ref="W26:W42" si="24">+T26*V26</f>
        <v>9300</v>
      </c>
      <c r="X26" s="138"/>
      <c r="Y26" s="138"/>
      <c r="Z26" s="138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1380</v>
      </c>
      <c r="F27" s="95">
        <v>21420</v>
      </c>
      <c r="G27" s="95">
        <v>2820</v>
      </c>
      <c r="H27" s="95">
        <v>2700</v>
      </c>
      <c r="I27" s="13"/>
      <c r="J27" s="33"/>
      <c r="K27" s="33"/>
      <c r="L27" s="33"/>
      <c r="M27" s="33">
        <v>540</v>
      </c>
      <c r="N27" s="127">
        <v>660</v>
      </c>
      <c r="O27" s="13">
        <v>13740</v>
      </c>
      <c r="P27" s="357"/>
      <c r="Q27" s="24">
        <f t="shared" si="18"/>
        <v>43260</v>
      </c>
      <c r="R27" s="5">
        <f t="shared" si="19"/>
        <v>39688.073394495412</v>
      </c>
      <c r="S27" s="5">
        <f t="shared" si="21"/>
        <v>3571.9266055045882</v>
      </c>
      <c r="T27" s="5">
        <f t="shared" si="20"/>
        <v>721</v>
      </c>
      <c r="U27" s="35"/>
      <c r="V27" s="61">
        <v>240</v>
      </c>
      <c r="W27" s="13">
        <f t="shared" si="24"/>
        <v>173040</v>
      </c>
      <c r="X27" s="138"/>
      <c r="Y27" s="138"/>
      <c r="Z27" s="138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>
        <v>0</v>
      </c>
      <c r="F28" s="95">
        <v>1620</v>
      </c>
      <c r="G28" s="95">
        <v>270</v>
      </c>
      <c r="H28" s="95"/>
      <c r="I28" s="13"/>
      <c r="J28" s="33"/>
      <c r="K28" s="33"/>
      <c r="L28" s="33"/>
      <c r="M28" s="33"/>
      <c r="N28" s="127">
        <v>0</v>
      </c>
      <c r="O28" s="13">
        <v>15930</v>
      </c>
      <c r="P28" s="357"/>
      <c r="Q28" s="24">
        <f t="shared" si="18"/>
        <v>17820</v>
      </c>
      <c r="R28" s="5">
        <f t="shared" si="19"/>
        <v>16348.623853211007</v>
      </c>
      <c r="S28" s="5">
        <f t="shared" si="21"/>
        <v>1471.3761467889926</v>
      </c>
      <c r="T28" s="5">
        <f t="shared" si="20"/>
        <v>66</v>
      </c>
      <c r="U28" s="35"/>
      <c r="V28" s="61"/>
      <c r="W28" s="13"/>
      <c r="X28" s="138"/>
      <c r="Y28" s="138"/>
      <c r="Z28" s="138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>
        <v>135</v>
      </c>
      <c r="F29" s="95">
        <v>135</v>
      </c>
      <c r="G29" s="95"/>
      <c r="H29" s="95">
        <v>135</v>
      </c>
      <c r="I29" s="13"/>
      <c r="J29" s="33"/>
      <c r="K29" s="33"/>
      <c r="L29" s="33"/>
      <c r="M29" s="33"/>
      <c r="N29" s="127">
        <v>0</v>
      </c>
      <c r="O29" s="13"/>
      <c r="P29" s="357"/>
      <c r="Q29" s="24">
        <f t="shared" si="18"/>
        <v>405</v>
      </c>
      <c r="R29" s="5">
        <f t="shared" si="19"/>
        <v>371.55963302752292</v>
      </c>
      <c r="S29" s="5">
        <f t="shared" si="21"/>
        <v>33.440366972477079</v>
      </c>
      <c r="T29" s="5">
        <f t="shared" si="20"/>
        <v>3</v>
      </c>
      <c r="U29" s="35"/>
      <c r="V29" s="61">
        <v>135</v>
      </c>
      <c r="W29" s="13">
        <f t="shared" si="24"/>
        <v>405</v>
      </c>
      <c r="X29" s="138"/>
      <c r="Y29" s="138"/>
      <c r="Z29" s="138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108</v>
      </c>
      <c r="F30" s="95">
        <v>1188</v>
      </c>
      <c r="G30" s="95">
        <v>108</v>
      </c>
      <c r="H30" s="95">
        <v>108</v>
      </c>
      <c r="I30" s="13"/>
      <c r="J30" s="33"/>
      <c r="K30" s="33"/>
      <c r="L30" s="33"/>
      <c r="M30" s="33"/>
      <c r="N30" s="127">
        <v>108</v>
      </c>
      <c r="O30" s="417">
        <f>2268-54</f>
        <v>2214</v>
      </c>
      <c r="P30" s="357"/>
      <c r="Q30" s="24">
        <f t="shared" si="18"/>
        <v>3834</v>
      </c>
      <c r="R30" s="5">
        <f t="shared" si="19"/>
        <v>3517.4311926605501</v>
      </c>
      <c r="S30" s="5">
        <f t="shared" si="21"/>
        <v>316.5688073394499</v>
      </c>
      <c r="T30" s="5">
        <f t="shared" si="20"/>
        <v>71</v>
      </c>
      <c r="U30" s="35"/>
      <c r="V30" s="61">
        <v>216</v>
      </c>
      <c r="W30" s="13">
        <f t="shared" si="24"/>
        <v>15336</v>
      </c>
      <c r="X30" s="138"/>
      <c r="Y30" s="138"/>
      <c r="Z30" s="138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>
        <v>0</v>
      </c>
      <c r="F31" s="95">
        <v>600</v>
      </c>
      <c r="G31" s="95"/>
      <c r="H31" s="95"/>
      <c r="I31" s="13"/>
      <c r="J31" s="33"/>
      <c r="K31" s="33"/>
      <c r="L31" s="33"/>
      <c r="M31" s="33"/>
      <c r="N31" s="127">
        <v>0</v>
      </c>
      <c r="O31" s="13">
        <v>600</v>
      </c>
      <c r="P31" s="357"/>
      <c r="Q31" s="24">
        <f t="shared" si="18"/>
        <v>1200</v>
      </c>
      <c r="R31" s="5">
        <f t="shared" si="19"/>
        <v>1100.9174311926604</v>
      </c>
      <c r="S31" s="5">
        <f t="shared" si="21"/>
        <v>99.082568807339612</v>
      </c>
      <c r="T31" s="5">
        <f t="shared" si="20"/>
        <v>2</v>
      </c>
      <c r="U31" s="35"/>
      <c r="V31" s="61"/>
      <c r="W31" s="13"/>
      <c r="X31" s="138"/>
      <c r="Y31" s="138"/>
      <c r="Z31" s="138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>
        <v>0</v>
      </c>
      <c r="F32" s="95">
        <v>300</v>
      </c>
      <c r="G32" s="95"/>
      <c r="H32" s="95">
        <v>300</v>
      </c>
      <c r="I32" s="13"/>
      <c r="J32" s="33"/>
      <c r="K32" s="33"/>
      <c r="L32" s="33"/>
      <c r="M32" s="33"/>
      <c r="N32" s="127">
        <v>0</v>
      </c>
      <c r="O32" s="13">
        <v>600</v>
      </c>
      <c r="P32" s="357"/>
      <c r="Q32" s="24">
        <f t="shared" si="18"/>
        <v>1200</v>
      </c>
      <c r="R32" s="5">
        <f t="shared" si="19"/>
        <v>1100.9174311926604</v>
      </c>
      <c r="S32" s="5">
        <f t="shared" si="21"/>
        <v>99.082568807339612</v>
      </c>
      <c r="T32" s="5">
        <f t="shared" si="20"/>
        <v>4</v>
      </c>
      <c r="U32" s="35"/>
      <c r="V32" s="61">
        <v>300</v>
      </c>
      <c r="W32" s="13">
        <f t="shared" si="24"/>
        <v>1200</v>
      </c>
      <c r="X32" s="138"/>
      <c r="Y32" s="138"/>
      <c r="Z32" s="138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480</v>
      </c>
      <c r="F33" s="95">
        <v>2880</v>
      </c>
      <c r="G33" s="95">
        <v>480</v>
      </c>
      <c r="H33" s="95">
        <v>240</v>
      </c>
      <c r="I33" s="13"/>
      <c r="J33" s="33"/>
      <c r="K33" s="33"/>
      <c r="L33" s="33"/>
      <c r="M33" s="33">
        <v>120</v>
      </c>
      <c r="N33" s="127">
        <v>120</v>
      </c>
      <c r="O33" s="13">
        <v>1680</v>
      </c>
      <c r="P33" s="357"/>
      <c r="Q33" s="24">
        <f t="shared" si="18"/>
        <v>6000</v>
      </c>
      <c r="R33" s="5">
        <f t="shared" si="19"/>
        <v>5504.5871559633024</v>
      </c>
      <c r="S33" s="5">
        <f t="shared" si="21"/>
        <v>495.41284403669761</v>
      </c>
      <c r="T33" s="5">
        <f t="shared" si="20"/>
        <v>50</v>
      </c>
      <c r="U33" s="35"/>
      <c r="V33" s="61">
        <v>480</v>
      </c>
      <c r="W33" s="13">
        <f t="shared" si="24"/>
        <v>24000</v>
      </c>
      <c r="X33" s="138"/>
      <c r="Y33" s="138"/>
      <c r="Z33" s="138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>
        <v>0</v>
      </c>
      <c r="F34" s="95">
        <v>0</v>
      </c>
      <c r="G34" s="95"/>
      <c r="H34" s="95"/>
      <c r="I34" s="13"/>
      <c r="J34" s="33"/>
      <c r="K34" s="33"/>
      <c r="L34" s="33"/>
      <c r="M34" s="33"/>
      <c r="N34" s="127">
        <v>0</v>
      </c>
      <c r="O34" s="13"/>
      <c r="P34" s="357"/>
      <c r="Q34" s="24">
        <f t="shared" si="18"/>
        <v>0</v>
      </c>
      <c r="R34" s="5">
        <f t="shared" si="19"/>
        <v>0</v>
      </c>
      <c r="S34" s="5">
        <f t="shared" si="21"/>
        <v>0</v>
      </c>
      <c r="T34" s="5">
        <f t="shared" si="20"/>
        <v>0</v>
      </c>
      <c r="U34" s="35"/>
      <c r="V34" s="61"/>
      <c r="W34" s="13"/>
      <c r="X34" s="138"/>
      <c r="Y34" s="138"/>
      <c r="Z34" s="138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>
        <v>0</v>
      </c>
      <c r="F35" s="95">
        <v>0</v>
      </c>
      <c r="G35" s="95"/>
      <c r="H35" s="95"/>
      <c r="I35" s="13"/>
      <c r="J35" s="33"/>
      <c r="K35" s="33"/>
      <c r="L35" s="33"/>
      <c r="M35" s="33"/>
      <c r="N35" s="127">
        <v>0</v>
      </c>
      <c r="O35" s="13"/>
      <c r="P35" s="357"/>
      <c r="Q35" s="24">
        <f t="shared" si="18"/>
        <v>0</v>
      </c>
      <c r="R35" s="5">
        <f t="shared" si="19"/>
        <v>0</v>
      </c>
      <c r="S35" s="5">
        <f t="shared" si="21"/>
        <v>0</v>
      </c>
      <c r="T35" s="5">
        <f t="shared" si="20"/>
        <v>0</v>
      </c>
      <c r="U35" s="35"/>
      <c r="V35" s="61">
        <v>270</v>
      </c>
      <c r="W35" s="13">
        <f t="shared" si="24"/>
        <v>0</v>
      </c>
      <c r="X35" s="138"/>
      <c r="Y35" s="138"/>
      <c r="Z35" s="138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>
        <v>216</v>
      </c>
      <c r="F36" s="95">
        <v>108</v>
      </c>
      <c r="G36" s="95"/>
      <c r="H36" s="95">
        <v>108</v>
      </c>
      <c r="I36" s="13"/>
      <c r="J36" s="33"/>
      <c r="K36" s="33"/>
      <c r="L36" s="33"/>
      <c r="M36" s="33"/>
      <c r="N36" s="127">
        <v>108</v>
      </c>
      <c r="O36" s="13"/>
      <c r="P36" s="357"/>
      <c r="Q36" s="24">
        <f t="shared" si="18"/>
        <v>540</v>
      </c>
      <c r="R36" s="5">
        <f t="shared" si="19"/>
        <v>495.41284403669721</v>
      </c>
      <c r="S36" s="5">
        <f t="shared" si="21"/>
        <v>44.587155963302791</v>
      </c>
      <c r="T36" s="5">
        <f t="shared" si="20"/>
        <v>5</v>
      </c>
      <c r="U36" s="35"/>
      <c r="V36" s="61">
        <v>432</v>
      </c>
      <c r="W36" s="13">
        <f t="shared" si="24"/>
        <v>2160</v>
      </c>
      <c r="X36" s="138"/>
      <c r="Y36" s="138"/>
      <c r="Z36" s="138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>
        <v>0</v>
      </c>
      <c r="F37" s="95">
        <v>900</v>
      </c>
      <c r="G37" s="95"/>
      <c r="H37" s="95"/>
      <c r="I37" s="13"/>
      <c r="J37" s="33"/>
      <c r="K37" s="33"/>
      <c r="L37" s="33"/>
      <c r="M37" s="33"/>
      <c r="N37" s="127">
        <v>0</v>
      </c>
      <c r="O37" s="13"/>
      <c r="P37" s="357"/>
      <c r="Q37" s="24">
        <f t="shared" si="18"/>
        <v>900</v>
      </c>
      <c r="R37" s="5">
        <f t="shared" si="19"/>
        <v>825.6880733944954</v>
      </c>
      <c r="S37" s="5">
        <f t="shared" si="21"/>
        <v>74.311926605504595</v>
      </c>
      <c r="T37" s="5">
        <f t="shared" si="20"/>
        <v>1</v>
      </c>
      <c r="U37" s="35"/>
      <c r="V37" s="61"/>
      <c r="W37" s="13"/>
      <c r="X37" s="138"/>
      <c r="Y37" s="138"/>
      <c r="Z37" s="138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>
        <v>0</v>
      </c>
      <c r="F38" s="95">
        <v>450</v>
      </c>
      <c r="G38" s="95"/>
      <c r="H38" s="95"/>
      <c r="I38" s="13"/>
      <c r="J38" s="33"/>
      <c r="K38" s="33"/>
      <c r="L38" s="33"/>
      <c r="M38" s="33"/>
      <c r="N38" s="127">
        <v>0</v>
      </c>
      <c r="O38" s="13"/>
      <c r="P38" s="357"/>
      <c r="Q38" s="24">
        <f t="shared" si="18"/>
        <v>450</v>
      </c>
      <c r="R38" s="5">
        <f t="shared" si="19"/>
        <v>412.8440366972477</v>
      </c>
      <c r="S38" s="5">
        <f t="shared" si="21"/>
        <v>37.155963302752298</v>
      </c>
      <c r="T38" s="5">
        <f t="shared" si="20"/>
        <v>1</v>
      </c>
      <c r="U38" s="35"/>
      <c r="V38" s="61">
        <v>450</v>
      </c>
      <c r="W38" s="13">
        <f t="shared" si="24"/>
        <v>450</v>
      </c>
      <c r="X38" s="138"/>
      <c r="Y38" s="138"/>
      <c r="Z38" s="138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>
        <v>180</v>
      </c>
      <c r="F39" s="95">
        <v>12060</v>
      </c>
      <c r="G39" s="95">
        <v>1620</v>
      </c>
      <c r="H39" s="95">
        <v>1260</v>
      </c>
      <c r="I39" s="13"/>
      <c r="J39" s="33"/>
      <c r="K39" s="33"/>
      <c r="L39" s="33"/>
      <c r="M39" s="33">
        <v>180</v>
      </c>
      <c r="N39" s="127">
        <v>360</v>
      </c>
      <c r="O39" s="13">
        <v>9180</v>
      </c>
      <c r="P39" s="357"/>
      <c r="Q39" s="24">
        <f t="shared" si="18"/>
        <v>24840</v>
      </c>
      <c r="R39" s="5">
        <f t="shared" si="19"/>
        <v>22788.990825688074</v>
      </c>
      <c r="S39" s="5">
        <f t="shared" si="21"/>
        <v>2051.0091743119265</v>
      </c>
      <c r="T39" s="5">
        <f t="shared" si="20"/>
        <v>138</v>
      </c>
      <c r="U39" s="35"/>
      <c r="V39" s="61">
        <v>720</v>
      </c>
      <c r="W39" s="13">
        <f t="shared" si="24"/>
        <v>99360</v>
      </c>
      <c r="X39" s="138"/>
      <c r="Y39" s="138"/>
      <c r="Z39" s="138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>
        <v>0</v>
      </c>
      <c r="F40" s="95">
        <v>0</v>
      </c>
      <c r="G40" s="95"/>
      <c r="H40" s="95"/>
      <c r="I40" s="13"/>
      <c r="J40" s="33"/>
      <c r="K40" s="33"/>
      <c r="L40" s="33"/>
      <c r="M40" s="33"/>
      <c r="N40" s="127">
        <v>0</v>
      </c>
      <c r="O40" s="13">
        <v>810</v>
      </c>
      <c r="P40" s="357"/>
      <c r="Q40" s="24">
        <f t="shared" si="18"/>
        <v>810</v>
      </c>
      <c r="R40" s="5">
        <f t="shared" si="19"/>
        <v>743.11926605504584</v>
      </c>
      <c r="S40" s="5">
        <f t="shared" si="21"/>
        <v>66.880733944954159</v>
      </c>
      <c r="T40" s="5">
        <f t="shared" si="20"/>
        <v>1</v>
      </c>
      <c r="U40" s="71"/>
      <c r="V40" s="61"/>
      <c r="W40" s="13"/>
      <c r="X40" s="138"/>
      <c r="Y40" s="138"/>
      <c r="Z40" s="138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>
        <v>0</v>
      </c>
      <c r="F41" s="95">
        <v>0</v>
      </c>
      <c r="G41" s="95"/>
      <c r="H41" s="95"/>
      <c r="I41" s="13"/>
      <c r="J41" s="33"/>
      <c r="K41" s="33"/>
      <c r="L41" s="33"/>
      <c r="M41" s="33"/>
      <c r="N41" s="127">
        <v>0</v>
      </c>
      <c r="O41" s="13">
        <v>405</v>
      </c>
      <c r="P41" s="357"/>
      <c r="Q41" s="24">
        <f t="shared" si="18"/>
        <v>405</v>
      </c>
      <c r="R41" s="5">
        <f t="shared" si="19"/>
        <v>371.55963302752292</v>
      </c>
      <c r="S41" s="5">
        <f t="shared" si="21"/>
        <v>33.440366972477079</v>
      </c>
      <c r="T41" s="5">
        <f t="shared" si="20"/>
        <v>1</v>
      </c>
      <c r="U41" s="71"/>
      <c r="V41" s="61">
        <v>405</v>
      </c>
      <c r="W41" s="13">
        <f t="shared" si="24"/>
        <v>405</v>
      </c>
      <c r="X41" s="138"/>
      <c r="Y41" s="138"/>
      <c r="Z41" s="138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>
        <v>0</v>
      </c>
      <c r="F42" s="250">
        <v>972</v>
      </c>
      <c r="G42" s="250"/>
      <c r="H42" s="250">
        <v>162</v>
      </c>
      <c r="I42" s="25"/>
      <c r="J42" s="239"/>
      <c r="K42" s="239"/>
      <c r="L42" s="239"/>
      <c r="M42" s="239"/>
      <c r="N42" s="221">
        <v>486</v>
      </c>
      <c r="O42" s="13">
        <v>2106</v>
      </c>
      <c r="P42" s="358"/>
      <c r="Q42" s="24">
        <f t="shared" si="18"/>
        <v>3726</v>
      </c>
      <c r="R42" s="26">
        <f t="shared" si="19"/>
        <v>3418.3486238532109</v>
      </c>
      <c r="S42" s="26">
        <f t="shared" si="21"/>
        <v>307.65137614678906</v>
      </c>
      <c r="T42" s="26">
        <f t="shared" si="20"/>
        <v>23</v>
      </c>
      <c r="U42" s="71"/>
      <c r="V42" s="61">
        <v>648</v>
      </c>
      <c r="W42" s="13">
        <f t="shared" si="24"/>
        <v>14904</v>
      </c>
      <c r="X42" s="138"/>
      <c r="Y42" s="138"/>
      <c r="Z42" s="138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10</v>
      </c>
      <c r="F43" s="124">
        <v>2370</v>
      </c>
      <c r="G43" s="124">
        <v>460</v>
      </c>
      <c r="H43" s="124">
        <v>740</v>
      </c>
      <c r="I43" s="124"/>
      <c r="J43" s="124"/>
      <c r="K43" s="124"/>
      <c r="L43" s="124"/>
      <c r="M43" s="124">
        <v>90</v>
      </c>
      <c r="N43" s="124">
        <v>10</v>
      </c>
      <c r="O43" s="148">
        <v>10</v>
      </c>
      <c r="P43" s="352"/>
      <c r="Q43" s="24">
        <f t="shared" si="18"/>
        <v>3690</v>
      </c>
      <c r="R43" s="26">
        <f t="shared" si="19"/>
        <v>3385.3211009174311</v>
      </c>
      <c r="S43" s="26">
        <f t="shared" si="21"/>
        <v>304.67889908256893</v>
      </c>
      <c r="T43" s="26">
        <f t="shared" si="20"/>
        <v>369</v>
      </c>
      <c r="U43" s="71"/>
      <c r="V43" s="61"/>
      <c r="W43" s="13"/>
      <c r="X43" s="138"/>
      <c r="Y43" s="138"/>
      <c r="Z43" s="138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2" customHeight="1" x14ac:dyDescent="0.25">
      <c r="A44" s="70" t="s">
        <v>16</v>
      </c>
      <c r="B44" s="52" t="s">
        <v>34</v>
      </c>
      <c r="C44" s="80" t="s">
        <v>91</v>
      </c>
      <c r="D44" s="78"/>
      <c r="E44" s="428">
        <f>+SUM(E45:E53)</f>
        <v>7340.9000000000005</v>
      </c>
      <c r="F44" s="426">
        <f>+SUM(F45:F53)</f>
        <v>169437.59999999998</v>
      </c>
      <c r="G44" s="426">
        <f t="shared" ref="G44:T44" si="25">+SUM(G45:G53)</f>
        <v>27731.3</v>
      </c>
      <c r="H44" s="426">
        <f>+SUM(H45:H53)</f>
        <v>5453</v>
      </c>
      <c r="I44" s="426">
        <f t="shared" si="25"/>
        <v>0</v>
      </c>
      <c r="J44" s="426">
        <f t="shared" si="25"/>
        <v>0</v>
      </c>
      <c r="K44" s="426">
        <f t="shared" si="25"/>
        <v>0</v>
      </c>
      <c r="L44" s="426">
        <f t="shared" si="25"/>
        <v>0</v>
      </c>
      <c r="M44" s="426">
        <f t="shared" si="25"/>
        <v>1856.3</v>
      </c>
      <c r="N44" s="426">
        <f t="shared" si="25"/>
        <v>3652.2</v>
      </c>
      <c r="O44" s="426">
        <f t="shared" si="25"/>
        <v>16196.2</v>
      </c>
      <c r="P44" s="427">
        <f t="shared" si="25"/>
        <v>0</v>
      </c>
      <c r="Q44" s="42">
        <f>+SUM(Q45:Q53)</f>
        <v>231667.5</v>
      </c>
      <c r="R44" s="82">
        <f t="shared" si="25"/>
        <v>212538.99082568806</v>
      </c>
      <c r="S44" s="82">
        <f t="shared" si="25"/>
        <v>19128.509174311948</v>
      </c>
      <c r="T44" s="19">
        <f t="shared" si="25"/>
        <v>31332</v>
      </c>
      <c r="U44" s="71"/>
      <c r="V44" s="61"/>
      <c r="W44" s="105">
        <f>+SUM(W45:W68)</f>
        <v>301920.5</v>
      </c>
      <c r="X44" s="138"/>
      <c r="Y44" s="138"/>
      <c r="Z44" s="138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708</v>
      </c>
      <c r="F45" s="23">
        <v>17880</v>
      </c>
      <c r="G45" s="28">
        <v>2724</v>
      </c>
      <c r="H45" s="347">
        <v>336</v>
      </c>
      <c r="I45" s="83"/>
      <c r="J45" s="75"/>
      <c r="K45" s="75"/>
      <c r="L45" s="75"/>
      <c r="M45" s="75">
        <v>168</v>
      </c>
      <c r="N45" s="127">
        <v>636</v>
      </c>
      <c r="O45" s="416">
        <f>2220+24</f>
        <v>2244</v>
      </c>
      <c r="P45" s="356"/>
      <c r="Q45" s="24">
        <f t="shared" ref="Q45:Q55" si="26">+SUM(E45:P45)</f>
        <v>24696</v>
      </c>
      <c r="R45" s="99">
        <f t="shared" ref="R45:R53" si="27">+Q45/1.09</f>
        <v>22656.880733944952</v>
      </c>
      <c r="S45" s="64">
        <f t="shared" ref="S45:S54" si="28">+Q45-R45</f>
        <v>2039.1192660550478</v>
      </c>
      <c r="T45" s="403">
        <f t="shared" ref="T45:T54" si="29">Q45/D45</f>
        <v>2058</v>
      </c>
      <c r="U45" s="71"/>
      <c r="V45" s="61"/>
      <c r="W45" s="13"/>
      <c r="X45" s="138"/>
      <c r="Y45" s="138"/>
      <c r="Z45" s="138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204</v>
      </c>
      <c r="F46" s="13">
        <v>2250</v>
      </c>
      <c r="G46" s="17">
        <v>246</v>
      </c>
      <c r="H46" s="347">
        <v>12</v>
      </c>
      <c r="I46" s="13"/>
      <c r="J46" s="33"/>
      <c r="K46" s="33"/>
      <c r="L46" s="33"/>
      <c r="M46" s="33">
        <v>18</v>
      </c>
      <c r="N46" s="127">
        <v>72</v>
      </c>
      <c r="O46" s="17">
        <v>180</v>
      </c>
      <c r="P46" s="357"/>
      <c r="Q46" s="24">
        <f t="shared" si="26"/>
        <v>2982</v>
      </c>
      <c r="R46" s="5">
        <f t="shared" si="27"/>
        <v>2735.7798165137615</v>
      </c>
      <c r="S46" s="5">
        <f t="shared" si="28"/>
        <v>246.22018348623851</v>
      </c>
      <c r="T46" s="404">
        <f t="shared" si="29"/>
        <v>497</v>
      </c>
      <c r="U46" s="71"/>
      <c r="V46" s="61">
        <v>6</v>
      </c>
      <c r="W46" s="13">
        <f t="shared" ref="W46:W47" si="30">+T46*V46</f>
        <v>2982</v>
      </c>
      <c r="X46" s="138"/>
      <c r="Y46" s="138"/>
      <c r="Z46" s="138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1276.8</v>
      </c>
      <c r="F47" s="13">
        <v>37576.799999999996</v>
      </c>
      <c r="G47" s="17">
        <v>6691.2</v>
      </c>
      <c r="H47" s="347">
        <v>218.4</v>
      </c>
      <c r="I47" s="13"/>
      <c r="J47" s="33"/>
      <c r="K47" s="33"/>
      <c r="L47" s="33"/>
      <c r="M47" s="33">
        <v>376.8</v>
      </c>
      <c r="N47" s="127">
        <v>741.6</v>
      </c>
      <c r="O47" s="17">
        <v>2080.8000000000002</v>
      </c>
      <c r="P47" s="357"/>
      <c r="Q47" s="24">
        <f t="shared" si="26"/>
        <v>48962.400000000001</v>
      </c>
      <c r="R47" s="5">
        <f t="shared" si="27"/>
        <v>44919.633027522934</v>
      </c>
      <c r="S47" s="5">
        <f t="shared" si="28"/>
        <v>4042.7669724770676</v>
      </c>
      <c r="T47" s="404">
        <f t="shared" si="29"/>
        <v>20401</v>
      </c>
      <c r="U47" s="71"/>
      <c r="V47" s="61">
        <v>9.6</v>
      </c>
      <c r="W47" s="13">
        <f t="shared" si="30"/>
        <v>195849.60000000001</v>
      </c>
      <c r="X47" s="138"/>
      <c r="Y47" s="138"/>
      <c r="Z47" s="138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609</v>
      </c>
      <c r="F48" s="13">
        <v>18858</v>
      </c>
      <c r="G48" s="17">
        <v>3108</v>
      </c>
      <c r="H48" s="13">
        <v>1260</v>
      </c>
      <c r="I48" s="13"/>
      <c r="J48" s="33"/>
      <c r="K48" s="33"/>
      <c r="L48" s="33"/>
      <c r="M48" s="33">
        <v>126</v>
      </c>
      <c r="N48" s="127">
        <v>273</v>
      </c>
      <c r="O48" s="400">
        <v>2772</v>
      </c>
      <c r="P48" s="357"/>
      <c r="Q48" s="24">
        <f t="shared" si="26"/>
        <v>27006</v>
      </c>
      <c r="R48" s="5">
        <f t="shared" si="27"/>
        <v>24776.146788990824</v>
      </c>
      <c r="S48" s="5">
        <f t="shared" si="28"/>
        <v>2229.8532110091764</v>
      </c>
      <c r="T48" s="404">
        <f t="shared" si="29"/>
        <v>1286</v>
      </c>
      <c r="U48" s="71"/>
      <c r="V48" s="61"/>
      <c r="W48" s="13"/>
      <c r="X48" s="138"/>
      <c r="Y48" s="138"/>
      <c r="Z48" s="138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105</v>
      </c>
      <c r="F49" s="13">
        <v>1932</v>
      </c>
      <c r="G49" s="17">
        <v>304.5</v>
      </c>
      <c r="H49" s="13">
        <v>31.5</v>
      </c>
      <c r="I49" s="13"/>
      <c r="J49" s="33"/>
      <c r="K49" s="33"/>
      <c r="L49" s="33"/>
      <c r="M49" s="33">
        <v>42</v>
      </c>
      <c r="N49" s="127">
        <v>21</v>
      </c>
      <c r="O49" s="17">
        <v>147</v>
      </c>
      <c r="P49" s="357"/>
      <c r="Q49" s="24">
        <f t="shared" si="26"/>
        <v>2583</v>
      </c>
      <c r="R49" s="5">
        <f t="shared" si="27"/>
        <v>2369.7247706422017</v>
      </c>
      <c r="S49" s="5">
        <f t="shared" si="28"/>
        <v>213.27522935779825</v>
      </c>
      <c r="T49" s="5">
        <f t="shared" si="29"/>
        <v>246</v>
      </c>
      <c r="U49" s="71"/>
      <c r="V49" s="61">
        <v>10.5</v>
      </c>
      <c r="W49" s="13">
        <f t="shared" ref="W49:W50" si="31">+T49*V49</f>
        <v>2583</v>
      </c>
      <c r="X49" s="138"/>
      <c r="Y49" s="138"/>
      <c r="Z49" s="138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252</v>
      </c>
      <c r="F50" s="13">
        <v>8555.4</v>
      </c>
      <c r="G50" s="17">
        <v>1037.4000000000001</v>
      </c>
      <c r="H50" s="13">
        <v>147</v>
      </c>
      <c r="I50" s="13"/>
      <c r="J50" s="33"/>
      <c r="K50" s="33"/>
      <c r="L50" s="33"/>
      <c r="M50" s="33">
        <v>88.2</v>
      </c>
      <c r="N50" s="127">
        <v>260.39999999999998</v>
      </c>
      <c r="O50" s="17">
        <v>1138.2</v>
      </c>
      <c r="P50" s="357"/>
      <c r="Q50" s="24">
        <f t="shared" si="26"/>
        <v>11478.6</v>
      </c>
      <c r="R50" s="5">
        <f t="shared" si="27"/>
        <v>10530.825688073393</v>
      </c>
      <c r="S50" s="5">
        <f t="shared" si="28"/>
        <v>947.77431192660697</v>
      </c>
      <c r="T50" s="5">
        <f t="shared" si="29"/>
        <v>2733</v>
      </c>
      <c r="U50" s="71"/>
      <c r="V50" s="61">
        <v>16.8</v>
      </c>
      <c r="W50" s="13">
        <f t="shared" si="31"/>
        <v>45914.400000000001</v>
      </c>
      <c r="X50" s="138"/>
      <c r="Y50" s="138"/>
      <c r="Z50" s="138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3649</v>
      </c>
      <c r="F51" s="13">
        <v>68716</v>
      </c>
      <c r="G51" s="17">
        <v>11603</v>
      </c>
      <c r="H51" s="13">
        <v>2870</v>
      </c>
      <c r="I51" s="13"/>
      <c r="J51" s="33"/>
      <c r="K51" s="33"/>
      <c r="L51" s="33"/>
      <c r="M51" s="33">
        <v>943</v>
      </c>
      <c r="N51" s="127">
        <v>1312</v>
      </c>
      <c r="O51" s="17">
        <v>5945</v>
      </c>
      <c r="P51" s="357"/>
      <c r="Q51" s="24">
        <f t="shared" si="26"/>
        <v>95038</v>
      </c>
      <c r="R51" s="5">
        <f t="shared" si="27"/>
        <v>87190.825688073382</v>
      </c>
      <c r="S51" s="5">
        <f t="shared" si="28"/>
        <v>7847.1743119266175</v>
      </c>
      <c r="T51" s="5">
        <f t="shared" si="29"/>
        <v>2318</v>
      </c>
      <c r="U51" s="71"/>
      <c r="V51" s="61"/>
      <c r="W51" s="13"/>
      <c r="X51" s="138"/>
      <c r="Y51" s="138"/>
      <c r="Z51" s="138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143.5</v>
      </c>
      <c r="F52" s="13">
        <v>5412</v>
      </c>
      <c r="G52" s="17">
        <v>902</v>
      </c>
      <c r="H52" s="13">
        <v>266.5</v>
      </c>
      <c r="I52" s="13"/>
      <c r="J52" s="33"/>
      <c r="K52" s="33"/>
      <c r="L52" s="33"/>
      <c r="M52" s="33">
        <v>61.5</v>
      </c>
      <c r="N52" s="127">
        <v>0</v>
      </c>
      <c r="O52" s="13">
        <v>246</v>
      </c>
      <c r="P52" s="357"/>
      <c r="Q52" s="24">
        <f t="shared" si="26"/>
        <v>7031.5</v>
      </c>
      <c r="R52" s="5">
        <f t="shared" si="27"/>
        <v>6450.9174311926599</v>
      </c>
      <c r="S52" s="5">
        <f t="shared" si="28"/>
        <v>580.58256880734007</v>
      </c>
      <c r="T52" s="5">
        <f t="shared" si="29"/>
        <v>343</v>
      </c>
      <c r="U52" s="71"/>
      <c r="V52" s="61">
        <v>20.5</v>
      </c>
      <c r="W52" s="13">
        <f t="shared" ref="W52:W53" si="32">+T52*V52</f>
        <v>7031.5</v>
      </c>
      <c r="X52" s="138"/>
      <c r="Y52" s="138"/>
      <c r="Z52" s="138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393.6</v>
      </c>
      <c r="F53" s="14">
        <v>8257.4000000000015</v>
      </c>
      <c r="G53" s="51">
        <v>1115.2</v>
      </c>
      <c r="H53" s="14">
        <v>311.60000000000002</v>
      </c>
      <c r="I53" s="14"/>
      <c r="J53" s="76"/>
      <c r="K53" s="76"/>
      <c r="L53" s="76"/>
      <c r="M53" s="76">
        <v>32.799999999999997</v>
      </c>
      <c r="N53" s="148">
        <v>336.2</v>
      </c>
      <c r="O53" s="25">
        <v>1443.2</v>
      </c>
      <c r="P53" s="224"/>
      <c r="Q53" s="359">
        <f t="shared" si="26"/>
        <v>11890.000000000004</v>
      </c>
      <c r="R53" s="6">
        <f t="shared" si="27"/>
        <v>10908.256880733947</v>
      </c>
      <c r="S53" s="6">
        <f t="shared" si="28"/>
        <v>981.74311926605696</v>
      </c>
      <c r="T53" s="6">
        <f t="shared" si="29"/>
        <v>1450.0000000000007</v>
      </c>
      <c r="U53" s="35"/>
      <c r="V53" s="61">
        <v>32.799999999999997</v>
      </c>
      <c r="W53" s="13">
        <f t="shared" si="32"/>
        <v>47560.000000000022</v>
      </c>
      <c r="X53" s="138"/>
      <c r="Y53" s="138"/>
      <c r="Z53" s="138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x14ac:dyDescent="0.25">
      <c r="C54" s="1" t="s">
        <v>150</v>
      </c>
      <c r="D54" s="4">
        <v>4</v>
      </c>
      <c r="E54" s="386"/>
      <c r="F54" s="112">
        <v>65456</v>
      </c>
      <c r="G54" s="112">
        <v>8904</v>
      </c>
      <c r="H54" s="112">
        <v>3968</v>
      </c>
      <c r="I54" s="112"/>
      <c r="J54" s="112"/>
      <c r="K54" s="112"/>
      <c r="L54" s="112"/>
      <c r="M54" s="1">
        <v>1000</v>
      </c>
      <c r="O54" s="424"/>
      <c r="P54" s="425"/>
      <c r="Q54" s="230">
        <f>+SUM(E54:P54)+P59</f>
        <v>80728</v>
      </c>
      <c r="R54" s="6">
        <f>+Q54/1.21</f>
        <v>66717.355371900834</v>
      </c>
      <c r="S54" s="6">
        <f t="shared" si="28"/>
        <v>14010.644628099166</v>
      </c>
      <c r="T54" s="6">
        <f t="shared" si="29"/>
        <v>20182</v>
      </c>
      <c r="V54" s="405"/>
      <c r="W54" s="13"/>
      <c r="X54" s="138"/>
    </row>
    <row r="55" spans="1:64" x14ac:dyDescent="0.25">
      <c r="C55" s="1" t="s">
        <v>143</v>
      </c>
      <c r="E55" s="2">
        <v>43296.25</v>
      </c>
      <c r="F55" s="2">
        <v>850587.65</v>
      </c>
      <c r="G55" s="2">
        <v>127551.16</v>
      </c>
      <c r="H55" s="2">
        <v>16461.68</v>
      </c>
      <c r="I55" s="2"/>
      <c r="J55" s="2"/>
      <c r="K55" s="2"/>
      <c r="L55" s="2"/>
      <c r="M55" s="2">
        <v>13006.26</v>
      </c>
      <c r="N55" s="2"/>
      <c r="O55" s="1">
        <v>26.6</v>
      </c>
      <c r="Q55" s="6">
        <f t="shared" si="26"/>
        <v>1050929.6000000001</v>
      </c>
      <c r="R55" s="6">
        <f>+Q55</f>
        <v>1050929.6000000001</v>
      </c>
      <c r="S55" s="6"/>
      <c r="T55" s="6"/>
    </row>
    <row r="57" spans="1:64" x14ac:dyDescent="0.25">
      <c r="D57" s="4" t="s">
        <v>151</v>
      </c>
      <c r="E57" s="136">
        <f>+E5+E54+E55</f>
        <v>341710.25</v>
      </c>
      <c r="F57" s="136">
        <f t="shared" ref="F57:P57" si="33">+F5+F54+F55</f>
        <v>7645540.4699999997</v>
      </c>
      <c r="G57" s="136">
        <f t="shared" si="33"/>
        <v>1166285.28</v>
      </c>
      <c r="H57" s="136">
        <f t="shared" si="33"/>
        <v>190699.26</v>
      </c>
      <c r="I57" s="136">
        <f t="shared" si="33"/>
        <v>661839.5</v>
      </c>
      <c r="J57" s="136">
        <f t="shared" si="33"/>
        <v>1089790.8</v>
      </c>
      <c r="K57" s="136">
        <f t="shared" si="33"/>
        <v>1010559.6799999998</v>
      </c>
      <c r="L57" s="136">
        <f t="shared" si="33"/>
        <v>603.03999999993971</v>
      </c>
      <c r="M57" s="136">
        <f t="shared" si="33"/>
        <v>113110.28</v>
      </c>
      <c r="N57" s="136">
        <f t="shared" si="33"/>
        <v>121691.24</v>
      </c>
      <c r="O57" s="136">
        <f t="shared" si="33"/>
        <v>660857.46</v>
      </c>
      <c r="P57" s="136">
        <f t="shared" si="33"/>
        <v>11769</v>
      </c>
      <c r="Q57" s="103">
        <f>+SUM(E57:O57)</f>
        <v>13002687.259999998</v>
      </c>
      <c r="R57" s="150"/>
      <c r="S57" s="150"/>
    </row>
    <row r="59" spans="1:64" x14ac:dyDescent="0.25">
      <c r="E59" s="125"/>
      <c r="F59" s="112"/>
      <c r="G59" s="2"/>
      <c r="H59" s="112"/>
      <c r="O59" s="561" t="s">
        <v>609</v>
      </c>
      <c r="P59" s="560">
        <f>350*4</f>
        <v>1400</v>
      </c>
      <c r="Q59" s="112"/>
    </row>
    <row r="60" spans="1:64" x14ac:dyDescent="0.25">
      <c r="E60" s="125"/>
    </row>
    <row r="61" spans="1:64" x14ac:dyDescent="0.25">
      <c r="G61" s="2"/>
      <c r="M61" s="2"/>
      <c r="N61" s="2"/>
    </row>
    <row r="62" spans="1:64" x14ac:dyDescent="0.25">
      <c r="F62" s="408"/>
    </row>
    <row r="63" spans="1:64" x14ac:dyDescent="0.25">
      <c r="F63" s="408"/>
    </row>
    <row r="64" spans="1:64" x14ac:dyDescent="0.25">
      <c r="F64" s="408"/>
    </row>
    <row r="65" spans="2:6" x14ac:dyDescent="0.25">
      <c r="F65" s="35"/>
    </row>
    <row r="73" spans="2:6" x14ac:dyDescent="0.25">
      <c r="B73" s="1"/>
    </row>
  </sheetData>
  <mergeCells count="19">
    <mergeCell ref="W3:W4"/>
    <mergeCell ref="N3:N4"/>
    <mergeCell ref="Q3:Q4"/>
    <mergeCell ref="R3:R4"/>
    <mergeCell ref="S3:S4"/>
    <mergeCell ref="T3:T4"/>
    <mergeCell ref="O3:P3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AD14"/>
  <sheetViews>
    <sheetView workbookViewId="0">
      <pane xSplit="2" ySplit="3" topLeftCell="X4" activePane="bottomRight" state="frozen"/>
      <selection pane="topRight" activeCell="C1" sqref="C1"/>
      <selection pane="bottomLeft" activeCell="A4" sqref="A4"/>
      <selection pane="bottomRight" activeCell="AC10" sqref="AC10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6" width="12.33203125" customWidth="1"/>
    <col min="27" max="27" width="11.5546875" bestFit="1" customWidth="1"/>
    <col min="28" max="28" width="12.109375" customWidth="1"/>
    <col min="29" max="29" width="11.6640625" customWidth="1"/>
    <col min="30" max="30" width="14.109375" customWidth="1"/>
  </cols>
  <sheetData>
    <row r="1" spans="1:30" x14ac:dyDescent="0.3">
      <c r="A1" t="s">
        <v>392</v>
      </c>
    </row>
    <row r="2" spans="1:30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  <c r="U2" s="562" t="s">
        <v>359</v>
      </c>
      <c r="V2" s="562"/>
      <c r="W2" s="562"/>
      <c r="X2" s="562" t="s">
        <v>360</v>
      </c>
      <c r="Y2" s="562"/>
      <c r="Z2" s="562"/>
      <c r="AA2" s="562" t="s">
        <v>361</v>
      </c>
      <c r="AB2" s="562"/>
      <c r="AC2" s="562"/>
    </row>
    <row r="3" spans="1:30" ht="40.200000000000003" customHeight="1" x14ac:dyDescent="0.3">
      <c r="A3" s="344" t="s">
        <v>46</v>
      </c>
      <c r="B3" s="365" t="s">
        <v>208</v>
      </c>
      <c r="C3" s="365" t="s">
        <v>450</v>
      </c>
      <c r="D3" s="365" t="s">
        <v>482</v>
      </c>
      <c r="E3" s="365" t="s">
        <v>206</v>
      </c>
      <c r="F3" s="365" t="s">
        <v>450</v>
      </c>
      <c r="G3" s="365" t="s">
        <v>482</v>
      </c>
      <c r="H3" s="365" t="s">
        <v>206</v>
      </c>
      <c r="I3" s="365" t="s">
        <v>450</v>
      </c>
      <c r="J3" s="365" t="s">
        <v>482</v>
      </c>
      <c r="K3" s="365" t="s">
        <v>206</v>
      </c>
      <c r="L3" s="365" t="s">
        <v>450</v>
      </c>
      <c r="M3" s="365" t="s">
        <v>482</v>
      </c>
      <c r="N3" s="369" t="s">
        <v>206</v>
      </c>
      <c r="O3" s="365" t="s">
        <v>450</v>
      </c>
      <c r="P3" s="365" t="s">
        <v>482</v>
      </c>
      <c r="Q3" s="369" t="s">
        <v>206</v>
      </c>
      <c r="R3" s="365" t="s">
        <v>450</v>
      </c>
      <c r="S3" s="365" t="s">
        <v>482</v>
      </c>
      <c r="T3" s="369" t="s">
        <v>206</v>
      </c>
      <c r="U3" s="365" t="s">
        <v>450</v>
      </c>
      <c r="V3" s="365" t="s">
        <v>482</v>
      </c>
      <c r="W3" s="369" t="s">
        <v>206</v>
      </c>
      <c r="X3" s="365" t="s">
        <v>450</v>
      </c>
      <c r="Y3" s="365" t="s">
        <v>482</v>
      </c>
      <c r="Z3" s="369" t="s">
        <v>206</v>
      </c>
      <c r="AA3" s="365" t="s">
        <v>483</v>
      </c>
      <c r="AB3" s="365" t="s">
        <v>482</v>
      </c>
      <c r="AC3" s="369" t="s">
        <v>206</v>
      </c>
      <c r="AD3" s="365" t="s">
        <v>351</v>
      </c>
    </row>
    <row r="4" spans="1:30" x14ac:dyDescent="0.3">
      <c r="A4" s="263" t="s">
        <v>54</v>
      </c>
      <c r="B4" s="91">
        <v>2.2000000000000002</v>
      </c>
      <c r="C4" s="91">
        <v>757741.6</v>
      </c>
      <c r="D4" s="91">
        <v>757741.6</v>
      </c>
      <c r="E4" s="91">
        <f>+D4-C4</f>
        <v>0</v>
      </c>
      <c r="F4" s="91">
        <v>698530.8</v>
      </c>
      <c r="G4" s="91">
        <v>698530.8</v>
      </c>
      <c r="H4" s="91">
        <f>+G4-F4</f>
        <v>0</v>
      </c>
      <c r="I4" s="91">
        <v>769874.6</v>
      </c>
      <c r="J4" s="91">
        <v>769874.6</v>
      </c>
      <c r="K4" s="91">
        <f>+J4-I4</f>
        <v>0</v>
      </c>
      <c r="L4" s="91">
        <v>777779.19999999995</v>
      </c>
      <c r="M4" s="91">
        <v>777779.19999999995</v>
      </c>
      <c r="N4" s="265">
        <f>+M4-L4</f>
        <v>0</v>
      </c>
      <c r="O4" s="91">
        <v>774846.6</v>
      </c>
      <c r="P4" s="91">
        <v>774846.6</v>
      </c>
      <c r="Q4" s="265">
        <f>+P4-O4</f>
        <v>0</v>
      </c>
      <c r="R4" s="91">
        <v>721809</v>
      </c>
      <c r="S4" s="91">
        <v>721809</v>
      </c>
      <c r="T4" s="265">
        <f>+S4-R4</f>
        <v>0</v>
      </c>
      <c r="U4" s="91">
        <v>736419.2</v>
      </c>
      <c r="V4" s="91">
        <v>736419.2</v>
      </c>
      <c r="W4" s="265">
        <f>+V4-U4</f>
        <v>0</v>
      </c>
      <c r="X4" s="91">
        <v>685425.4</v>
      </c>
      <c r="Y4" s="91">
        <v>685489.2</v>
      </c>
      <c r="Z4" s="265">
        <f>+Y4-X4</f>
        <v>63.799999999930151</v>
      </c>
      <c r="AA4" s="91">
        <v>775361.4</v>
      </c>
      <c r="AB4" s="91">
        <v>777794.6</v>
      </c>
      <c r="AC4" s="265">
        <f>+AB4-AA4</f>
        <v>2433.1999999999534</v>
      </c>
      <c r="AD4" s="262">
        <f>+E4+H4+K4+N4+Q4+T4+W4+Z4+AC4</f>
        <v>2496.9999999998836</v>
      </c>
    </row>
    <row r="5" spans="1:30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82964.2</v>
      </c>
      <c r="K5" s="91">
        <f t="shared" ref="K5:K9" si="2">+J5-I5</f>
        <v>0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79332</v>
      </c>
      <c r="P5" s="91">
        <v>79332</v>
      </c>
      <c r="Q5" s="257">
        <f t="shared" ref="Q5:Q9" si="4">+P5-O5</f>
        <v>0</v>
      </c>
      <c r="R5" s="91">
        <v>78398.100000000006</v>
      </c>
      <c r="S5" s="91">
        <v>78398.100000000006</v>
      </c>
      <c r="T5" s="257">
        <f t="shared" ref="T5:T9" si="5">+S5-R5</f>
        <v>0</v>
      </c>
      <c r="U5" s="91">
        <v>75402.8</v>
      </c>
      <c r="V5" s="91">
        <v>75402.8</v>
      </c>
      <c r="W5" s="257">
        <f t="shared" ref="W5:W9" si="6">+V5-U5</f>
        <v>0</v>
      </c>
      <c r="X5" s="91">
        <v>72254.600000000006</v>
      </c>
      <c r="Y5" s="60">
        <v>72257.899999999994</v>
      </c>
      <c r="Z5" s="257">
        <f t="shared" ref="Z5:Z9" si="7">+Y5-X5</f>
        <v>3.2999999999883585</v>
      </c>
      <c r="AA5" s="91">
        <v>81615.600000000006</v>
      </c>
      <c r="AB5" s="60">
        <v>81845.5</v>
      </c>
      <c r="AC5" s="257">
        <f t="shared" ref="AC5:AC9" si="8">+AB5-AA5</f>
        <v>229.89999999999418</v>
      </c>
      <c r="AD5" s="262">
        <f t="shared" ref="AD5:AD9" si="9">+E5+H5+K5+N5+Q5+T5+W5+Z5+AC5</f>
        <v>233.19999999998254</v>
      </c>
    </row>
    <row r="6" spans="1:30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1437.48</v>
      </c>
      <c r="Q6" s="257">
        <f t="shared" si="4"/>
        <v>0</v>
      </c>
      <c r="R6" s="91">
        <v>1250.04</v>
      </c>
      <c r="S6" s="91">
        <v>1250.04</v>
      </c>
      <c r="T6" s="257">
        <f t="shared" si="5"/>
        <v>0</v>
      </c>
      <c r="U6" s="91">
        <v>1297.1199999999999</v>
      </c>
      <c r="V6" s="91">
        <v>1297.1199999999999</v>
      </c>
      <c r="W6" s="257">
        <f t="shared" si="6"/>
        <v>0</v>
      </c>
      <c r="X6" s="91">
        <v>1233.76</v>
      </c>
      <c r="Y6" s="62">
        <v>1233.76</v>
      </c>
      <c r="Z6" s="257">
        <f t="shared" si="7"/>
        <v>0</v>
      </c>
      <c r="AA6" s="91">
        <v>1434.84</v>
      </c>
      <c r="AB6" s="62">
        <v>1438.8</v>
      </c>
      <c r="AC6" s="257">
        <f t="shared" si="8"/>
        <v>3.9600000000000364</v>
      </c>
      <c r="AD6" s="262">
        <f t="shared" si="9"/>
        <v>3.9600000000000364</v>
      </c>
    </row>
    <row r="7" spans="1:30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107465.60000000001</v>
      </c>
      <c r="G7" s="62">
        <v>107465.60000000001</v>
      </c>
      <c r="H7" s="91">
        <f t="shared" si="1"/>
        <v>0</v>
      </c>
      <c r="I7" s="62">
        <v>116988.8</v>
      </c>
      <c r="J7" s="62">
        <v>116988.8</v>
      </c>
      <c r="K7" s="91">
        <f t="shared" si="2"/>
        <v>0</v>
      </c>
      <c r="L7" s="91">
        <v>124934.39999999999</v>
      </c>
      <c r="M7" s="91">
        <v>124934.39999999999</v>
      </c>
      <c r="N7" s="257">
        <f t="shared" si="3"/>
        <v>0</v>
      </c>
      <c r="O7" s="91">
        <v>126780.8</v>
      </c>
      <c r="P7" s="91">
        <v>126780.8</v>
      </c>
      <c r="Q7" s="257">
        <f t="shared" si="4"/>
        <v>0</v>
      </c>
      <c r="R7" s="91">
        <v>123222.39999999999</v>
      </c>
      <c r="S7" s="91">
        <v>123222.39999999999</v>
      </c>
      <c r="T7" s="257">
        <f t="shared" si="5"/>
        <v>0</v>
      </c>
      <c r="U7" s="91">
        <v>128307.2</v>
      </c>
      <c r="V7" s="91">
        <v>128307.2</v>
      </c>
      <c r="W7" s="257">
        <f t="shared" si="6"/>
        <v>0</v>
      </c>
      <c r="X7" s="91">
        <v>119040</v>
      </c>
      <c r="Y7" s="62">
        <v>119065.60000000001</v>
      </c>
      <c r="Z7" s="257">
        <f t="shared" si="7"/>
        <v>25.600000000005821</v>
      </c>
      <c r="AA7" s="91">
        <v>134044.79999999999</v>
      </c>
      <c r="AB7" s="62">
        <v>134486.39999999999</v>
      </c>
      <c r="AC7" s="257">
        <f t="shared" si="8"/>
        <v>441.60000000000582</v>
      </c>
      <c r="AD7" s="262">
        <f t="shared" si="9"/>
        <v>467.20000000001164</v>
      </c>
    </row>
    <row r="8" spans="1:30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16817.599999999999</v>
      </c>
      <c r="P8" s="91">
        <v>16817.599999999999</v>
      </c>
      <c r="Q8" s="257">
        <f t="shared" si="4"/>
        <v>0</v>
      </c>
      <c r="R8" s="91">
        <v>16654.400000000001</v>
      </c>
      <c r="S8" s="91">
        <v>16654.400000000001</v>
      </c>
      <c r="T8" s="257">
        <f t="shared" si="5"/>
        <v>0</v>
      </c>
      <c r="U8" s="91">
        <v>17555.2</v>
      </c>
      <c r="V8" s="91">
        <v>17555.2</v>
      </c>
      <c r="W8" s="257">
        <f t="shared" si="6"/>
        <v>0</v>
      </c>
      <c r="X8" s="91">
        <v>16043.2</v>
      </c>
      <c r="Y8" s="62">
        <v>16044.8</v>
      </c>
      <c r="Z8" s="257">
        <f t="shared" si="7"/>
        <v>1.5999999999985448</v>
      </c>
      <c r="AA8" s="91">
        <v>17817.599999999999</v>
      </c>
      <c r="AB8" s="62">
        <v>17857.599999999999</v>
      </c>
      <c r="AC8" s="257">
        <f t="shared" si="8"/>
        <v>40</v>
      </c>
      <c r="AD8" s="262">
        <f t="shared" si="9"/>
        <v>41.599999999998545</v>
      </c>
    </row>
    <row r="9" spans="1:30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290.56</v>
      </c>
      <c r="S9" s="91">
        <v>290.56</v>
      </c>
      <c r="T9" s="259">
        <f t="shared" si="5"/>
        <v>0</v>
      </c>
      <c r="U9" s="91">
        <v>276.48</v>
      </c>
      <c r="V9" s="91">
        <v>276.48</v>
      </c>
      <c r="W9" s="259">
        <f t="shared" si="6"/>
        <v>0</v>
      </c>
      <c r="X9" s="91">
        <v>267.52</v>
      </c>
      <c r="Y9" s="63">
        <v>268.16000000000003</v>
      </c>
      <c r="Z9" s="259">
        <f t="shared" si="7"/>
        <v>0.6400000000000432</v>
      </c>
      <c r="AA9" s="91">
        <v>285.44</v>
      </c>
      <c r="AB9" s="63">
        <v>286.08</v>
      </c>
      <c r="AC9" s="259">
        <f t="shared" si="8"/>
        <v>0.63999999999998636</v>
      </c>
      <c r="AD9" s="262">
        <f t="shared" si="9"/>
        <v>1.2800000000000296</v>
      </c>
    </row>
    <row r="10" spans="1:30" x14ac:dyDescent="0.3">
      <c r="A10" s="260" t="s">
        <v>151</v>
      </c>
      <c r="B10" s="261"/>
      <c r="C10" s="364">
        <f t="shared" ref="C10" si="10">+SUM(C4:C9)</f>
        <v>964344.19999999984</v>
      </c>
      <c r="D10" s="364">
        <f t="shared" ref="D10:N10" si="11">+SUM(D4:D9)</f>
        <v>964344.19999999984</v>
      </c>
      <c r="E10" s="364">
        <f t="shared" si="11"/>
        <v>0</v>
      </c>
      <c r="F10" s="364">
        <f t="shared" ref="F10" si="12">+SUM(F4:F9)</f>
        <v>891889.42000000016</v>
      </c>
      <c r="G10" s="364">
        <f t="shared" si="11"/>
        <v>891889.42000000016</v>
      </c>
      <c r="H10" s="364">
        <f t="shared" si="11"/>
        <v>0</v>
      </c>
      <c r="I10" s="364">
        <f t="shared" ref="I10" si="13">+SUM(I4:I9)</f>
        <v>985948.75999999989</v>
      </c>
      <c r="J10" s="364">
        <f t="shared" si="11"/>
        <v>985948.75999999989</v>
      </c>
      <c r="K10" s="364">
        <f t="shared" si="11"/>
        <v>0</v>
      </c>
      <c r="L10" s="364">
        <f t="shared" ref="L10" si="14">+SUM(L4:L9)</f>
        <v>1003188.96</v>
      </c>
      <c r="M10" s="364">
        <f t="shared" si="11"/>
        <v>1003188.96</v>
      </c>
      <c r="N10" s="364">
        <f t="shared" si="11"/>
        <v>0</v>
      </c>
      <c r="O10" s="364">
        <f t="shared" ref="O10:Z10" si="15">+SUM(O4:O9)</f>
        <v>999544.72</v>
      </c>
      <c r="P10" s="364">
        <f t="shared" si="15"/>
        <v>999544.72</v>
      </c>
      <c r="Q10" s="364">
        <f t="shared" si="15"/>
        <v>0</v>
      </c>
      <c r="R10" s="364">
        <f t="shared" si="15"/>
        <v>941624.50000000012</v>
      </c>
      <c r="S10" s="364">
        <f t="shared" si="15"/>
        <v>941624.50000000012</v>
      </c>
      <c r="T10" s="364">
        <f t="shared" si="15"/>
        <v>0</v>
      </c>
      <c r="U10" s="364">
        <f t="shared" si="15"/>
        <v>959257.99999999988</v>
      </c>
      <c r="V10" s="364">
        <f t="shared" si="15"/>
        <v>959257.99999999988</v>
      </c>
      <c r="W10" s="364">
        <f t="shared" si="15"/>
        <v>0</v>
      </c>
      <c r="X10" s="364">
        <f t="shared" si="15"/>
        <v>894264.48</v>
      </c>
      <c r="Y10" s="364">
        <f t="shared" si="15"/>
        <v>894359.42</v>
      </c>
      <c r="Z10" s="364">
        <f t="shared" si="15"/>
        <v>94.939999999922918</v>
      </c>
      <c r="AA10" s="364">
        <f t="shared" ref="AA10:AC10" si="16">+SUM(AA4:AA9)</f>
        <v>1010559.6799999998</v>
      </c>
      <c r="AB10" s="364">
        <f t="shared" si="16"/>
        <v>1013708.98</v>
      </c>
      <c r="AC10" s="364">
        <f t="shared" si="16"/>
        <v>3149.2999999999533</v>
      </c>
      <c r="AD10" s="364">
        <f t="shared" ref="AD10" si="17">+SUM(AD4:AD9)</f>
        <v>3244.2399999998765</v>
      </c>
    </row>
    <row r="11" spans="1:30" x14ac:dyDescent="0.3">
      <c r="C11" s="102"/>
      <c r="F11" s="102"/>
      <c r="I11" s="102"/>
    </row>
    <row r="14" spans="1:30" x14ac:dyDescent="0.3">
      <c r="Q14" s="102"/>
      <c r="T14" s="102"/>
      <c r="U14" s="102"/>
      <c r="V14" s="102"/>
      <c r="W14" s="102"/>
      <c r="X14" s="102"/>
      <c r="Y14" s="102"/>
      <c r="Z14" s="102"/>
    </row>
  </sheetData>
  <mergeCells count="9">
    <mergeCell ref="U2:W2"/>
    <mergeCell ref="X2:Z2"/>
    <mergeCell ref="AA2:AC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Z74"/>
  <sheetViews>
    <sheetView zoomScaleNormal="100" workbookViewId="0">
      <pane xSplit="4" ySplit="5" topLeftCell="E48" activePane="bottomRight" state="frozen"/>
      <selection pane="topRight" activeCell="E1" sqref="E1"/>
      <selection pane="bottomLeft" activeCell="A6" sqref="A6"/>
      <selection pane="bottomRight" activeCell="C60" sqref="C60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9.8867187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3" style="1" customWidth="1"/>
    <col min="16" max="16" width="13" style="1" customWidth="1" outlineLevel="1"/>
    <col min="17" max="17" width="12.33203125" style="1" bestFit="1" customWidth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1093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6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6" s="141" customFormat="1" ht="19.2" customHeight="1" x14ac:dyDescent="0.3">
      <c r="A2" s="40" t="s">
        <v>484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"/>
      <c r="R2" s="1"/>
      <c r="S2" s="1"/>
      <c r="T2" s="1"/>
      <c r="U2" s="1"/>
      <c r="V2" s="1"/>
      <c r="W2" s="2"/>
      <c r="X2" s="1"/>
      <c r="Z2" s="1"/>
    </row>
    <row r="3" spans="1:26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3"/>
      <c r="S3" s="1"/>
      <c r="T3" s="3"/>
      <c r="U3" s="1"/>
      <c r="V3" s="1"/>
      <c r="W3" s="2"/>
      <c r="X3" s="1"/>
      <c r="Z3" s="1"/>
    </row>
    <row r="4" spans="1:26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74" t="s">
        <v>387</v>
      </c>
      <c r="O4" s="586" t="s">
        <v>178</v>
      </c>
      <c r="P4" s="598"/>
      <c r="Q4" s="590" t="s">
        <v>43</v>
      </c>
      <c r="R4" s="590" t="s">
        <v>44</v>
      </c>
      <c r="S4" s="590" t="s">
        <v>41</v>
      </c>
      <c r="T4" s="590" t="s">
        <v>149</v>
      </c>
      <c r="U4" s="1"/>
      <c r="V4" s="61"/>
      <c r="W4" s="584" t="s">
        <v>449</v>
      </c>
      <c r="X4" s="1"/>
      <c r="Z4" s="1"/>
    </row>
    <row r="5" spans="1:26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453</v>
      </c>
      <c r="M5" s="575"/>
      <c r="N5" s="575"/>
      <c r="O5" s="430" t="s">
        <v>203</v>
      </c>
      <c r="P5" s="432" t="s">
        <v>485</v>
      </c>
      <c r="Q5" s="591"/>
      <c r="R5" s="592"/>
      <c r="S5" s="592"/>
      <c r="T5" s="592"/>
      <c r="U5" s="1"/>
      <c r="V5" s="87"/>
      <c r="W5" s="585"/>
      <c r="X5" s="1"/>
      <c r="Z5" s="1"/>
    </row>
    <row r="6" spans="1:26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T6" si="0">+E7+E19+E45</f>
        <v>223397.23000000004</v>
      </c>
      <c r="F6" s="82">
        <f t="shared" si="0"/>
        <v>4597053.2949771676</v>
      </c>
      <c r="G6" s="82">
        <f t="shared" si="0"/>
        <v>696614.12904109585</v>
      </c>
      <c r="H6" s="82">
        <f t="shared" si="0"/>
        <v>113265.42420091324</v>
      </c>
      <c r="I6" s="82">
        <f t="shared" si="0"/>
        <v>620519.19999999995</v>
      </c>
      <c r="J6" s="187">
        <f t="shared" si="0"/>
        <v>1055272.75</v>
      </c>
      <c r="K6" s="187">
        <f t="shared" si="0"/>
        <v>1045921.82</v>
      </c>
      <c r="L6" s="187">
        <f t="shared" si="0"/>
        <v>3244.2399999998765</v>
      </c>
      <c r="M6" s="187">
        <f t="shared" si="0"/>
        <v>70179.42</v>
      </c>
      <c r="N6" s="192">
        <f>+N7+N19+N45</f>
        <v>126699.40999999999</v>
      </c>
      <c r="O6" s="437">
        <f t="shared" si="0"/>
        <v>393170.05099999992</v>
      </c>
      <c r="P6" s="435">
        <f t="shared" si="0"/>
        <v>94.399999999994179</v>
      </c>
      <c r="Q6" s="42">
        <f t="shared" ref="Q6:Q11" si="1">+SUM(E6:P6)</f>
        <v>8945431.3692191783</v>
      </c>
      <c r="R6" s="42">
        <f t="shared" si="0"/>
        <v>8206817.7699258495</v>
      </c>
      <c r="S6" s="42">
        <f t="shared" si="0"/>
        <v>738613.59929332684</v>
      </c>
      <c r="T6" s="42">
        <f t="shared" si="0"/>
        <v>2567669.0136645101</v>
      </c>
      <c r="U6" s="71"/>
      <c r="V6" s="87"/>
      <c r="W6" s="135">
        <f>+W8+W19+W45</f>
        <v>4874461.5199999996</v>
      </c>
      <c r="X6" s="1"/>
      <c r="Z6" s="1"/>
    </row>
    <row r="7" spans="1:26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T7" si="2">+E8+E12</f>
        <v>80932.179999999978</v>
      </c>
      <c r="F7" s="82">
        <f t="shared" si="2"/>
        <v>1796330.5799999998</v>
      </c>
      <c r="G7" s="82">
        <f t="shared" si="2"/>
        <v>269429.94</v>
      </c>
      <c r="H7" s="82">
        <f t="shared" si="2"/>
        <v>36055.94</v>
      </c>
      <c r="I7" s="82">
        <f t="shared" si="2"/>
        <v>620519.19999999995</v>
      </c>
      <c r="J7" s="187">
        <f t="shared" si="2"/>
        <v>1055272.75</v>
      </c>
      <c r="K7" s="187">
        <f t="shared" si="2"/>
        <v>1045921.82</v>
      </c>
      <c r="L7" s="187">
        <f t="shared" si="2"/>
        <v>3244.2399999998765</v>
      </c>
      <c r="M7" s="187">
        <f t="shared" si="2"/>
        <v>29324.46</v>
      </c>
      <c r="N7" s="192">
        <f>+N8+N12</f>
        <v>97823.2</v>
      </c>
      <c r="O7" s="437">
        <f t="shared" si="2"/>
        <v>149690.37999999998</v>
      </c>
      <c r="P7" s="435">
        <f t="shared" si="2"/>
        <v>4.3999999999941792</v>
      </c>
      <c r="Q7" s="42">
        <f t="shared" si="1"/>
        <v>5184549.0900000008</v>
      </c>
      <c r="R7" s="42">
        <f t="shared" si="2"/>
        <v>4756467.0550458711</v>
      </c>
      <c r="S7" s="42">
        <f t="shared" si="2"/>
        <v>428082.03495412855</v>
      </c>
      <c r="T7" s="44">
        <f t="shared" si="2"/>
        <v>2467715.9999999995</v>
      </c>
      <c r="U7" s="1"/>
      <c r="V7" s="61"/>
      <c r="W7" s="13"/>
      <c r="X7" s="1"/>
      <c r="Z7" s="1"/>
    </row>
    <row r="8" spans="1:26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620519.19999999995</v>
      </c>
      <c r="J8" s="126">
        <f t="shared" si="3"/>
        <v>1055272.75</v>
      </c>
      <c r="K8" s="79">
        <f t="shared" si="3"/>
        <v>0</v>
      </c>
      <c r="L8" s="79">
        <f t="shared" si="3"/>
        <v>0</v>
      </c>
      <c r="M8" s="79">
        <f t="shared" ref="M8:T8" si="4">+SUM(M9:M11)</f>
        <v>0</v>
      </c>
      <c r="N8" s="79">
        <f t="shared" si="4"/>
        <v>0</v>
      </c>
      <c r="O8" s="438">
        <f t="shared" si="4"/>
        <v>0</v>
      </c>
      <c r="P8" s="436">
        <f t="shared" si="4"/>
        <v>0</v>
      </c>
      <c r="Q8" s="43">
        <f t="shared" si="1"/>
        <v>1675791.95</v>
      </c>
      <c r="R8" s="43">
        <f t="shared" si="4"/>
        <v>1537423.8073394494</v>
      </c>
      <c r="S8" s="43">
        <f t="shared" si="4"/>
        <v>138368.1426605506</v>
      </c>
      <c r="T8" s="45">
        <f t="shared" si="4"/>
        <v>608101</v>
      </c>
      <c r="U8" s="71"/>
      <c r="V8" s="134"/>
      <c r="W8" s="105">
        <f>+SUM(W9:W18)</f>
        <v>1109032.4099999999</v>
      </c>
      <c r="Y8" s="138"/>
    </row>
    <row r="9" spans="1:26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447772.5</v>
      </c>
      <c r="J9" s="127">
        <f>759626+29053.5</f>
        <v>788679.5</v>
      </c>
      <c r="K9" s="36"/>
      <c r="L9" s="36"/>
      <c r="M9" s="36"/>
      <c r="N9" s="127"/>
      <c r="O9" s="36"/>
      <c r="P9" s="355"/>
      <c r="Q9" s="24">
        <f t="shared" si="1"/>
        <v>1236452</v>
      </c>
      <c r="R9" s="5">
        <f t="shared" ref="R9:R11" si="5">+Q9/1.09</f>
        <v>1134359.6330275228</v>
      </c>
      <c r="S9" s="5">
        <f t="shared" ref="S9:S11" si="6">+Q9-R9</f>
        <v>102092.36697247718</v>
      </c>
      <c r="T9" s="21">
        <f>Q9/D9</f>
        <v>353272</v>
      </c>
      <c r="U9" s="71"/>
      <c r="V9" s="61"/>
      <c r="W9" s="13"/>
      <c r="X9" s="2"/>
      <c r="Z9" s="1"/>
    </row>
    <row r="10" spans="1:26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170163</v>
      </c>
      <c r="J10" s="127">
        <f>253240.75+11529</f>
        <v>264769.75</v>
      </c>
      <c r="K10" s="143"/>
      <c r="L10" s="143"/>
      <c r="M10" s="143"/>
      <c r="N10" s="127"/>
      <c r="O10" s="143"/>
      <c r="P10" s="350"/>
      <c r="Q10" s="24">
        <f t="shared" si="1"/>
        <v>434932.75</v>
      </c>
      <c r="R10" s="5">
        <f t="shared" si="5"/>
        <v>399020.871559633</v>
      </c>
      <c r="S10" s="5">
        <f t="shared" si="6"/>
        <v>35911.878440367</v>
      </c>
      <c r="T10" s="21">
        <f>Q10/D10</f>
        <v>248533</v>
      </c>
      <c r="U10" s="71"/>
      <c r="V10" s="61">
        <v>1.75</v>
      </c>
      <c r="W10" s="13">
        <f>+T10*V10</f>
        <v>434932.75</v>
      </c>
      <c r="X10" s="1"/>
      <c r="Z10" s="1"/>
    </row>
    <row r="11" spans="1:26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2583.6999999999998</v>
      </c>
      <c r="J11" s="144">
        <f>1764+59.5</f>
        <v>1823.5</v>
      </c>
      <c r="K11" s="144"/>
      <c r="L11" s="144"/>
      <c r="M11" s="144"/>
      <c r="N11" s="144"/>
      <c r="O11" s="144"/>
      <c r="P11" s="350"/>
      <c r="Q11" s="24">
        <f t="shared" si="1"/>
        <v>4407.2</v>
      </c>
      <c r="R11" s="243">
        <f t="shared" si="5"/>
        <v>4043.3027522935777</v>
      </c>
      <c r="S11" s="243">
        <f t="shared" si="6"/>
        <v>363.89724770642215</v>
      </c>
      <c r="T11" s="244">
        <f>Q11/D11</f>
        <v>6296</v>
      </c>
      <c r="U11" s="71"/>
      <c r="V11" s="107">
        <v>2.8</v>
      </c>
      <c r="W11" s="13">
        <f>+T11*V11</f>
        <v>17628.8</v>
      </c>
      <c r="X11" s="2"/>
      <c r="Y11" s="138"/>
      <c r="Z11" s="2"/>
    </row>
    <row r="12" spans="1:26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29">
        <f t="shared" ref="E12:T12" si="8">+SUM(E13:E18)</f>
        <v>80932.179999999978</v>
      </c>
      <c r="F12" s="84">
        <f t="shared" si="8"/>
        <v>1796330.5799999998</v>
      </c>
      <c r="G12" s="84">
        <f t="shared" si="8"/>
        <v>269429.94</v>
      </c>
      <c r="H12" s="84">
        <f t="shared" si="8"/>
        <v>36055.94</v>
      </c>
      <c r="I12" s="84">
        <f t="shared" si="8"/>
        <v>0</v>
      </c>
      <c r="J12" s="74">
        <f t="shared" si="8"/>
        <v>0</v>
      </c>
      <c r="K12" s="101">
        <f t="shared" si="8"/>
        <v>1045921.82</v>
      </c>
      <c r="L12" s="101">
        <f t="shared" si="8"/>
        <v>3244.2399999998765</v>
      </c>
      <c r="M12" s="101">
        <f t="shared" si="8"/>
        <v>29324.46</v>
      </c>
      <c r="N12" s="101">
        <f t="shared" ref="N12" si="9">+SUM(N13:N18)</f>
        <v>97823.2</v>
      </c>
      <c r="O12" s="101">
        <f t="shared" si="8"/>
        <v>149690.37999999998</v>
      </c>
      <c r="P12" s="101">
        <f t="shared" si="8"/>
        <v>4.3999999999941792</v>
      </c>
      <c r="Q12" s="43">
        <f t="shared" ref="Q12" si="10">+SUM(Q13:Q18)</f>
        <v>3508757.14</v>
      </c>
      <c r="R12" s="43">
        <f t="shared" si="8"/>
        <v>3219043.2477064221</v>
      </c>
      <c r="S12" s="43">
        <f t="shared" si="8"/>
        <v>289713.89229357796</v>
      </c>
      <c r="T12" s="45">
        <f t="shared" si="8"/>
        <v>1859614.9999999995</v>
      </c>
      <c r="U12" s="71"/>
      <c r="V12" s="61"/>
      <c r="W12" s="13"/>
      <c r="X12" s="1"/>
      <c r="Z12" s="1"/>
    </row>
    <row r="13" spans="1:26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65304.800000000003</v>
      </c>
      <c r="F13" s="13">
        <v>1363634.8</v>
      </c>
      <c r="G13" s="13">
        <v>197181.6</v>
      </c>
      <c r="H13" s="13">
        <v>26719</v>
      </c>
      <c r="I13" s="13"/>
      <c r="J13" s="33"/>
      <c r="K13" s="33">
        <v>801288.4</v>
      </c>
      <c r="L13" s="305">
        <v>2496.9999999998836</v>
      </c>
      <c r="M13" s="33">
        <v>19635</v>
      </c>
      <c r="N13" s="127">
        <f>86006.8-13.2</f>
        <v>85993.600000000006</v>
      </c>
      <c r="O13" s="127">
        <v>131095.79999999999</v>
      </c>
      <c r="P13" s="164">
        <v>4.3999999999941792</v>
      </c>
      <c r="Q13" s="24">
        <f t="shared" ref="Q13:Q18" si="11">+SUM(E13:P13)</f>
        <v>2693354.4</v>
      </c>
      <c r="R13" s="5">
        <f t="shared" ref="R13:R18" si="12">+Q13/1.09</f>
        <v>2470967.3394495412</v>
      </c>
      <c r="S13" s="5">
        <f t="shared" ref="S13:S18" si="13">+Q13-R13</f>
        <v>222387.06055045873</v>
      </c>
      <c r="T13" s="21">
        <f t="shared" ref="T13:T18" si="14">Q13/D13</f>
        <v>1224251.9999999998</v>
      </c>
      <c r="U13" s="2"/>
      <c r="V13" s="61"/>
      <c r="W13" s="13"/>
    </row>
    <row r="14" spans="1:26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14428.7</v>
      </c>
      <c r="F14" s="13">
        <v>402909.1</v>
      </c>
      <c r="G14" s="13">
        <v>66207.899999999994</v>
      </c>
      <c r="H14" s="13">
        <v>9047.4999999999982</v>
      </c>
      <c r="I14" s="13"/>
      <c r="J14" s="33"/>
      <c r="K14" s="33">
        <v>84236.9</v>
      </c>
      <c r="L14" s="306">
        <v>233.19999999998254</v>
      </c>
      <c r="M14" s="33">
        <v>9067.2999999999993</v>
      </c>
      <c r="N14" s="127">
        <v>2642.2000000000003</v>
      </c>
      <c r="O14" s="127">
        <v>10077.1</v>
      </c>
      <c r="P14" s="164"/>
      <c r="Q14" s="24">
        <f t="shared" si="11"/>
        <v>598849.89999999991</v>
      </c>
      <c r="R14" s="5">
        <f t="shared" si="12"/>
        <v>549403.57798165129</v>
      </c>
      <c r="S14" s="5">
        <f t="shared" si="13"/>
        <v>49446.322018348612</v>
      </c>
      <c r="T14" s="21">
        <f t="shared" si="14"/>
        <v>544408.99999999988</v>
      </c>
      <c r="U14" s="71"/>
      <c r="V14" s="107">
        <v>1.1000000000000001</v>
      </c>
      <c r="W14" s="13">
        <f t="shared" ref="W14:W15" si="15">+T14*V14</f>
        <v>598849.89999999991</v>
      </c>
    </row>
    <row r="15" spans="1:26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174.68</v>
      </c>
      <c r="F15" s="13">
        <v>4389.88</v>
      </c>
      <c r="G15" s="13">
        <v>715</v>
      </c>
      <c r="H15" s="13">
        <v>156.64000000000001</v>
      </c>
      <c r="I15" s="13"/>
      <c r="J15" s="33"/>
      <c r="K15" s="33">
        <v>1370.6</v>
      </c>
      <c r="L15" s="306">
        <v>3.9600000000000364</v>
      </c>
      <c r="M15" s="33">
        <v>66</v>
      </c>
      <c r="N15" s="127">
        <v>400.84</v>
      </c>
      <c r="O15" s="127">
        <v>149.16</v>
      </c>
      <c r="P15" s="164"/>
      <c r="Q15" s="24">
        <f t="shared" si="11"/>
        <v>7426.7600000000011</v>
      </c>
      <c r="R15" s="5">
        <f t="shared" si="12"/>
        <v>6813.54128440367</v>
      </c>
      <c r="S15" s="5">
        <f t="shared" si="13"/>
        <v>613.21871559633109</v>
      </c>
      <c r="T15" s="21">
        <f t="shared" si="14"/>
        <v>16879.000000000004</v>
      </c>
      <c r="U15" s="71"/>
      <c r="V15" s="61">
        <v>1.76</v>
      </c>
      <c r="W15" s="13">
        <f t="shared" si="15"/>
        <v>29707.040000000008</v>
      </c>
    </row>
    <row r="16" spans="1:26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838.4</v>
      </c>
      <c r="F16" s="13">
        <v>20524.8</v>
      </c>
      <c r="G16" s="13">
        <v>4246.3999999999996</v>
      </c>
      <c r="H16" s="13">
        <v>64</v>
      </c>
      <c r="I16" s="13"/>
      <c r="J16" s="33"/>
      <c r="K16" s="33">
        <v>140505.60000000001</v>
      </c>
      <c r="L16" s="306">
        <v>467.20000000001164</v>
      </c>
      <c r="M16" s="33">
        <v>384</v>
      </c>
      <c r="N16" s="127">
        <f>8310.4-25.6</f>
        <v>8284.7999999999993</v>
      </c>
      <c r="O16" s="127">
        <v>7648</v>
      </c>
      <c r="P16" s="164"/>
      <c r="Q16" s="24">
        <f t="shared" si="11"/>
        <v>182963.20000000001</v>
      </c>
      <c r="R16" s="5">
        <f t="shared" si="12"/>
        <v>167856.14678899082</v>
      </c>
      <c r="S16" s="5">
        <f t="shared" si="13"/>
        <v>15107.053211009188</v>
      </c>
      <c r="T16" s="21">
        <f t="shared" si="14"/>
        <v>57176</v>
      </c>
      <c r="U16" s="71"/>
      <c r="V16" s="61"/>
      <c r="W16" s="13"/>
    </row>
    <row r="17" spans="1:26" ht="14.4" x14ac:dyDescent="0.3">
      <c r="A17" s="58" t="s">
        <v>59</v>
      </c>
      <c r="B17" s="53" t="s">
        <v>193</v>
      </c>
      <c r="C17" s="59" t="s">
        <v>94</v>
      </c>
      <c r="D17" s="62">
        <v>1.6</v>
      </c>
      <c r="E17" s="130">
        <v>179.2</v>
      </c>
      <c r="F17" s="13">
        <v>4731.2</v>
      </c>
      <c r="G17" s="13">
        <v>1068.8</v>
      </c>
      <c r="H17" s="13">
        <v>62.400000000000006</v>
      </c>
      <c r="I17" s="13"/>
      <c r="J17" s="33"/>
      <c r="K17" s="33">
        <v>18265.599999999999</v>
      </c>
      <c r="L17" s="306">
        <v>41.599999999998545</v>
      </c>
      <c r="M17" s="33">
        <v>169.6</v>
      </c>
      <c r="N17" s="127">
        <v>367.99999999999989</v>
      </c>
      <c r="O17" s="127">
        <v>692.8</v>
      </c>
      <c r="P17" s="164"/>
      <c r="Q17" s="24">
        <f t="shared" si="11"/>
        <v>25579.199999999993</v>
      </c>
      <c r="R17" s="5">
        <f t="shared" si="12"/>
        <v>23467.155963302743</v>
      </c>
      <c r="S17" s="5">
        <f t="shared" si="13"/>
        <v>2112.0440366972507</v>
      </c>
      <c r="T17" s="21">
        <f t="shared" si="14"/>
        <v>15986.999999999995</v>
      </c>
      <c r="U17" s="71"/>
      <c r="V17" s="107">
        <v>1.6</v>
      </c>
      <c r="W17" s="13">
        <f t="shared" ref="W17:W18" si="16">+T17*V17</f>
        <v>25579.199999999993</v>
      </c>
    </row>
    <row r="18" spans="1:26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2">
        <v>6.4</v>
      </c>
      <c r="F18" s="14">
        <v>140.80000000000001</v>
      </c>
      <c r="G18" s="13">
        <v>10.24</v>
      </c>
      <c r="H18" s="14">
        <v>6.4</v>
      </c>
      <c r="I18" s="14"/>
      <c r="J18" s="76"/>
      <c r="K18" s="76">
        <v>254.72</v>
      </c>
      <c r="L18" s="307">
        <v>1.2800000000000296</v>
      </c>
      <c r="M18" s="76">
        <v>2.56</v>
      </c>
      <c r="N18" s="127">
        <v>133.76000000000002</v>
      </c>
      <c r="O18" s="127">
        <v>27.52</v>
      </c>
      <c r="P18" s="164"/>
      <c r="Q18" s="24">
        <f t="shared" si="11"/>
        <v>583.68000000000006</v>
      </c>
      <c r="R18" s="5">
        <f t="shared" si="12"/>
        <v>535.48623853211006</v>
      </c>
      <c r="S18" s="5">
        <f t="shared" si="13"/>
        <v>48.193761467889999</v>
      </c>
      <c r="T18" s="22">
        <f t="shared" si="14"/>
        <v>912.00000000000011</v>
      </c>
      <c r="U18" s="71"/>
      <c r="V18" s="61">
        <v>2.56</v>
      </c>
      <c r="W18" s="13">
        <f t="shared" si="16"/>
        <v>2334.7200000000003</v>
      </c>
    </row>
    <row r="19" spans="1:26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135650.85000000006</v>
      </c>
      <c r="F19" s="118">
        <f t="shared" ref="F19:T19" si="17">+SUM(F20:F44)</f>
        <v>2660156.1949771685</v>
      </c>
      <c r="G19" s="118">
        <f t="shared" si="17"/>
        <v>406190.07904109586</v>
      </c>
      <c r="H19" s="118">
        <f t="shared" si="17"/>
        <v>72992.954200913242</v>
      </c>
      <c r="I19" s="118">
        <f t="shared" si="17"/>
        <v>0</v>
      </c>
      <c r="J19" s="118">
        <f t="shared" si="17"/>
        <v>0</v>
      </c>
      <c r="K19" s="118">
        <f t="shared" si="17"/>
        <v>0</v>
      </c>
      <c r="L19" s="118">
        <f t="shared" si="17"/>
        <v>0</v>
      </c>
      <c r="M19" s="118">
        <f t="shared" si="17"/>
        <v>39027.96</v>
      </c>
      <c r="N19" s="231">
        <f t="shared" ref="N19" si="18">+SUM(N20:N44)</f>
        <v>25527.53</v>
      </c>
      <c r="O19" s="118">
        <f t="shared" si="17"/>
        <v>232126.58099999995</v>
      </c>
      <c r="P19" s="118">
        <f t="shared" si="17"/>
        <v>90</v>
      </c>
      <c r="Q19" s="42">
        <f>+SUM(Q20:Q44)</f>
        <v>3571762.1492191772</v>
      </c>
      <c r="R19" s="118">
        <f t="shared" si="17"/>
        <v>3276846.008457961</v>
      </c>
      <c r="S19" s="118">
        <f t="shared" si="17"/>
        <v>294916.14076121658</v>
      </c>
      <c r="T19" s="253">
        <f t="shared" si="17"/>
        <v>70902.946997843741</v>
      </c>
      <c r="U19" s="71"/>
      <c r="V19" s="61"/>
      <c r="W19" s="105">
        <f>+SUM(W20:W43)</f>
        <v>3489093.8399999994</v>
      </c>
    </row>
    <row r="20" spans="1:26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82336.66</v>
      </c>
      <c r="F20" s="92">
        <v>1492016.6666666663</v>
      </c>
      <c r="G20" s="92">
        <v>217663.33</v>
      </c>
      <c r="H20" s="92">
        <v>40983.333333333336</v>
      </c>
      <c r="I20" s="23"/>
      <c r="J20" s="34"/>
      <c r="K20" s="34"/>
      <c r="L20" s="34"/>
      <c r="M20" s="34">
        <v>22153.33</v>
      </c>
      <c r="N20" s="127">
        <v>15706.666666666668</v>
      </c>
      <c r="O20" s="367">
        <v>123596.67</v>
      </c>
      <c r="P20" s="356"/>
      <c r="Q20" s="24">
        <f t="shared" ref="Q20:Q44" si="19">+SUM(E20:P20)</f>
        <v>1994456.6566666663</v>
      </c>
      <c r="R20" s="99">
        <f t="shared" ref="R20:R44" si="20">+Q20/1.09</f>
        <v>1829776.7492354736</v>
      </c>
      <c r="S20" s="24">
        <f>+Q20-R20</f>
        <v>164679.9074311927</v>
      </c>
      <c r="T20" s="94">
        <f t="shared" ref="T20:T43" si="21">Q20/D20</f>
        <v>19944.566566666661</v>
      </c>
      <c r="U20" s="41"/>
      <c r="V20" s="61"/>
      <c r="W20" s="106"/>
      <c r="X20"/>
      <c r="Y20" s="142"/>
      <c r="Z20"/>
    </row>
    <row r="21" spans="1:26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14410.000000000005</v>
      </c>
      <c r="F21" s="48">
        <v>399554.99999999953</v>
      </c>
      <c r="G21" s="48">
        <v>57948.33</v>
      </c>
      <c r="H21" s="48">
        <v>11874.999999999998</v>
      </c>
      <c r="I21" s="13"/>
      <c r="J21" s="33"/>
      <c r="K21" s="33"/>
      <c r="L21" s="33"/>
      <c r="M21" s="33">
        <v>8341.67</v>
      </c>
      <c r="N21" s="127">
        <v>198.33333333333331</v>
      </c>
      <c r="O21" s="36">
        <v>6576.67</v>
      </c>
      <c r="P21" s="357"/>
      <c r="Q21" s="24">
        <f t="shared" si="19"/>
        <v>498905.00333333283</v>
      </c>
      <c r="R21" s="5">
        <f t="shared" si="20"/>
        <v>457711.01223241544</v>
      </c>
      <c r="S21" s="5">
        <f t="shared" ref="S21:S44" si="22">+Q21-R21</f>
        <v>41193.991100917396</v>
      </c>
      <c r="T21" s="21">
        <f t="shared" si="21"/>
        <v>9978.1000666666569</v>
      </c>
      <c r="U21" s="41"/>
      <c r="V21" s="61">
        <v>50</v>
      </c>
      <c r="W21" s="13">
        <f t="shared" ref="W21:W22" si="23">+T21*V21</f>
        <v>498905.00333333283</v>
      </c>
      <c r="Y21" s="142"/>
    </row>
    <row r="22" spans="1:26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24458.67</v>
      </c>
      <c r="F22" s="95">
        <v>527115.32999999996</v>
      </c>
      <c r="G22" s="95">
        <v>90424</v>
      </c>
      <c r="H22" s="95">
        <v>8581.3333333333339</v>
      </c>
      <c r="I22" s="13"/>
      <c r="J22" s="33"/>
      <c r="K22" s="33"/>
      <c r="L22" s="33"/>
      <c r="M22" s="33">
        <v>5257.33</v>
      </c>
      <c r="N22" s="127">
        <v>6061.3333333333339</v>
      </c>
      <c r="O22" s="36">
        <v>52557.33</v>
      </c>
      <c r="P22" s="357"/>
      <c r="Q22" s="24">
        <f t="shared" si="19"/>
        <v>714455.32666666666</v>
      </c>
      <c r="R22" s="5">
        <f t="shared" si="20"/>
        <v>655463.6024464831</v>
      </c>
      <c r="S22" s="5">
        <f t="shared" si="22"/>
        <v>58991.724220183562</v>
      </c>
      <c r="T22" s="21">
        <f t="shared" si="21"/>
        <v>35722.766333333333</v>
      </c>
      <c r="U22" s="41"/>
      <c r="V22" s="61">
        <v>80</v>
      </c>
      <c r="W22" s="13">
        <f t="shared" si="23"/>
        <v>2857821.3066666666</v>
      </c>
      <c r="X22" s="112"/>
      <c r="Y22" s="142"/>
    </row>
    <row r="23" spans="1:26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12567</v>
      </c>
      <c r="F23" s="95">
        <v>211248</v>
      </c>
      <c r="G23" s="95">
        <v>35451</v>
      </c>
      <c r="H23" s="95">
        <v>9729</v>
      </c>
      <c r="I23" s="13"/>
      <c r="J23" s="33"/>
      <c r="K23" s="33"/>
      <c r="L23" s="33"/>
      <c r="M23" s="33">
        <v>2649</v>
      </c>
      <c r="N23" s="127">
        <v>2949</v>
      </c>
      <c r="O23" s="33">
        <v>38265</v>
      </c>
      <c r="P23" s="357">
        <v>90</v>
      </c>
      <c r="Q23" s="24">
        <f t="shared" si="19"/>
        <v>312948</v>
      </c>
      <c r="R23" s="5">
        <f t="shared" si="20"/>
        <v>287108.25688073394</v>
      </c>
      <c r="S23" s="5">
        <f t="shared" si="22"/>
        <v>25839.743119266059</v>
      </c>
      <c r="T23" s="21">
        <f t="shared" si="21"/>
        <v>3477.2</v>
      </c>
      <c r="U23" s="41"/>
      <c r="V23" s="61"/>
      <c r="W23" s="13"/>
      <c r="Y23" s="142"/>
    </row>
    <row r="24" spans="1:26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565.5</v>
      </c>
      <c r="F24" s="95">
        <v>12472.5</v>
      </c>
      <c r="G24" s="95">
        <v>2137.5</v>
      </c>
      <c r="H24" s="95">
        <v>814.5</v>
      </c>
      <c r="I24" s="13"/>
      <c r="J24" s="33"/>
      <c r="K24" s="33"/>
      <c r="L24" s="33"/>
      <c r="M24" s="33">
        <v>204</v>
      </c>
      <c r="N24" s="127">
        <v>0</v>
      </c>
      <c r="O24" s="33">
        <f>1590-45</f>
        <v>1545</v>
      </c>
      <c r="P24" s="357"/>
      <c r="Q24" s="24">
        <f t="shared" si="19"/>
        <v>17739</v>
      </c>
      <c r="R24" s="5">
        <f t="shared" si="20"/>
        <v>16274.311926605504</v>
      </c>
      <c r="S24" s="5">
        <f t="shared" si="22"/>
        <v>1464.6880733944963</v>
      </c>
      <c r="T24" s="21">
        <f t="shared" si="21"/>
        <v>394.2</v>
      </c>
      <c r="U24" s="35"/>
      <c r="V24" s="61">
        <v>45</v>
      </c>
      <c r="W24" s="13">
        <f t="shared" ref="W24:W25" si="24">+T24*V24</f>
        <v>17739</v>
      </c>
      <c r="Y24" s="142"/>
    </row>
    <row r="25" spans="1:26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1092</v>
      </c>
      <c r="F25" s="95">
        <v>13902.6</v>
      </c>
      <c r="G25" s="95">
        <v>2125.8000000000002</v>
      </c>
      <c r="H25" s="95">
        <v>279</v>
      </c>
      <c r="I25" s="13"/>
      <c r="J25" s="33"/>
      <c r="K25" s="33"/>
      <c r="L25" s="33"/>
      <c r="M25" s="33">
        <v>282</v>
      </c>
      <c r="N25" s="127">
        <v>366.59999999999991</v>
      </c>
      <c r="O25" s="33">
        <v>4653</v>
      </c>
      <c r="P25" s="357"/>
      <c r="Q25" s="24">
        <f t="shared" si="19"/>
        <v>22701</v>
      </c>
      <c r="R25" s="5">
        <f t="shared" si="20"/>
        <v>20826.605504587154</v>
      </c>
      <c r="S25" s="5">
        <f t="shared" si="22"/>
        <v>1874.3944954128456</v>
      </c>
      <c r="T25" s="21">
        <f t="shared" si="21"/>
        <v>1261.1666666666667</v>
      </c>
      <c r="U25" s="35"/>
      <c r="V25" s="61">
        <v>72</v>
      </c>
      <c r="W25" s="13">
        <f t="shared" si="24"/>
        <v>90804</v>
      </c>
      <c r="Y25" s="142"/>
    </row>
    <row r="26" spans="1:26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>
        <v>6.67</v>
      </c>
      <c r="F26" s="95">
        <v>539.99999999999989</v>
      </c>
      <c r="G26" s="95">
        <v>0</v>
      </c>
      <c r="H26" s="95">
        <v>193.33333333333331</v>
      </c>
      <c r="I26" s="13"/>
      <c r="J26" s="33"/>
      <c r="K26" s="33"/>
      <c r="L26" s="33"/>
      <c r="M26" s="33"/>
      <c r="N26" s="127">
        <v>13.333333333333332</v>
      </c>
      <c r="O26" s="33">
        <v>1450</v>
      </c>
      <c r="P26" s="357"/>
      <c r="Q26" s="24">
        <f t="shared" si="19"/>
        <v>2203.3366666666666</v>
      </c>
      <c r="R26" s="5">
        <f t="shared" si="20"/>
        <v>2021.4097859327214</v>
      </c>
      <c r="S26" s="5">
        <f t="shared" si="22"/>
        <v>181.92688073394515</v>
      </c>
      <c r="T26" s="21">
        <f t="shared" si="21"/>
        <v>7.3444555555555553</v>
      </c>
      <c r="U26" s="35"/>
      <c r="V26" s="61"/>
      <c r="W26" s="13"/>
      <c r="Y26" s="142"/>
    </row>
    <row r="27" spans="1:26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688.33333333333326</v>
      </c>
      <c r="G27" s="95">
        <v>28.33</v>
      </c>
      <c r="H27" s="95">
        <v>8.3333333333333144</v>
      </c>
      <c r="I27" s="13"/>
      <c r="J27" s="33"/>
      <c r="K27" s="33"/>
      <c r="L27" s="33"/>
      <c r="M27" s="33">
        <v>26.67</v>
      </c>
      <c r="N27" s="127">
        <v>0</v>
      </c>
      <c r="O27" s="33">
        <v>93.33</v>
      </c>
      <c r="P27" s="357"/>
      <c r="Q27" s="24">
        <f t="shared" si="19"/>
        <v>844.99666666666667</v>
      </c>
      <c r="R27" s="5">
        <f t="shared" si="20"/>
        <v>775.22629969418949</v>
      </c>
      <c r="S27" s="5">
        <f t="shared" si="22"/>
        <v>69.770366972477177</v>
      </c>
      <c r="T27" s="21">
        <f t="shared" si="21"/>
        <v>5.6333111111111114</v>
      </c>
      <c r="U27" s="35"/>
      <c r="V27" s="61">
        <v>150</v>
      </c>
      <c r="W27" s="13">
        <f t="shared" ref="W27:W43" si="25">+T27*V27</f>
        <v>844.99666666666667</v>
      </c>
      <c r="Y27" s="142"/>
    </row>
    <row r="28" spans="1:26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98.67</v>
      </c>
      <c r="F28" s="95">
        <v>1916.67</v>
      </c>
      <c r="G28" s="95">
        <v>348</v>
      </c>
      <c r="H28" s="95">
        <v>251.33333333333348</v>
      </c>
      <c r="I28" s="13"/>
      <c r="J28" s="33"/>
      <c r="K28" s="33"/>
      <c r="L28" s="33"/>
      <c r="M28" s="33">
        <v>87.33</v>
      </c>
      <c r="N28" s="127">
        <v>151.33333333333331</v>
      </c>
      <c r="O28" s="33">
        <v>1893.33</v>
      </c>
      <c r="P28" s="357"/>
      <c r="Q28" s="24">
        <f t="shared" si="19"/>
        <v>4746.666666666667</v>
      </c>
      <c r="R28" s="5">
        <f t="shared" si="20"/>
        <v>4354.7400611620797</v>
      </c>
      <c r="S28" s="5">
        <f t="shared" si="22"/>
        <v>391.92660550458731</v>
      </c>
      <c r="T28" s="21">
        <f t="shared" si="21"/>
        <v>79.111111111111114</v>
      </c>
      <c r="U28" s="35"/>
      <c r="V28" s="61">
        <v>240</v>
      </c>
      <c r="W28" s="13">
        <f t="shared" si="25"/>
        <v>18986.666666666668</v>
      </c>
      <c r="Y28" s="142"/>
    </row>
    <row r="29" spans="1:26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>
        <v>90</v>
      </c>
      <c r="F29" s="95">
        <v>108</v>
      </c>
      <c r="G29" s="95"/>
      <c r="H29" s="95">
        <v>75</v>
      </c>
      <c r="I29" s="13"/>
      <c r="J29" s="33"/>
      <c r="K29" s="33"/>
      <c r="L29" s="33"/>
      <c r="M29" s="33"/>
      <c r="N29" s="127">
        <v>9</v>
      </c>
      <c r="O29" s="33">
        <v>777</v>
      </c>
      <c r="P29" s="357"/>
      <c r="Q29" s="24">
        <f t="shared" si="19"/>
        <v>1059</v>
      </c>
      <c r="R29" s="5">
        <f t="shared" si="20"/>
        <v>971.55963302752286</v>
      </c>
      <c r="S29" s="5">
        <f t="shared" si="22"/>
        <v>87.440366972477136</v>
      </c>
      <c r="T29" s="21">
        <f t="shared" si="21"/>
        <v>3.9222222222222221</v>
      </c>
      <c r="U29" s="35"/>
      <c r="V29" s="61"/>
      <c r="W29" s="13"/>
      <c r="Y29" s="142"/>
    </row>
    <row r="30" spans="1:26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0</v>
      </c>
      <c r="G30" s="95"/>
      <c r="H30" s="95">
        <v>0</v>
      </c>
      <c r="I30" s="13"/>
      <c r="J30" s="33"/>
      <c r="K30" s="33"/>
      <c r="L30" s="33"/>
      <c r="M30" s="33"/>
      <c r="N30" s="127">
        <v>0</v>
      </c>
      <c r="O30" s="33">
        <v>3</v>
      </c>
      <c r="P30" s="357"/>
      <c r="Q30" s="24">
        <f t="shared" si="19"/>
        <v>3</v>
      </c>
      <c r="R30" s="5">
        <f t="shared" si="20"/>
        <v>2.7522935779816513</v>
      </c>
      <c r="S30" s="5">
        <f t="shared" si="22"/>
        <v>0.24770642201834869</v>
      </c>
      <c r="T30" s="21">
        <f t="shared" si="21"/>
        <v>2.2222222222222223E-2</v>
      </c>
      <c r="U30" s="35"/>
      <c r="V30" s="61">
        <v>135</v>
      </c>
      <c r="W30" s="13">
        <f t="shared" si="25"/>
        <v>3</v>
      </c>
      <c r="Y30" s="142"/>
    </row>
    <row r="31" spans="1:26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6.6</v>
      </c>
      <c r="F31" s="95">
        <v>28.2</v>
      </c>
      <c r="G31" s="95">
        <v>10.199999999999999</v>
      </c>
      <c r="H31" s="95">
        <v>28.800000000000011</v>
      </c>
      <c r="I31" s="13"/>
      <c r="J31" s="33"/>
      <c r="K31" s="33"/>
      <c r="L31" s="33"/>
      <c r="M31" s="33"/>
      <c r="N31" s="127">
        <v>36.6</v>
      </c>
      <c r="O31" s="36">
        <v>298.8</v>
      </c>
      <c r="P31" s="357"/>
      <c r="Q31" s="24">
        <f t="shared" si="19"/>
        <v>409.20000000000005</v>
      </c>
      <c r="R31" s="5">
        <f t="shared" si="20"/>
        <v>375.41284403669727</v>
      </c>
      <c r="S31" s="5">
        <f t="shared" si="22"/>
        <v>33.78715596330278</v>
      </c>
      <c r="T31" s="21">
        <f t="shared" si="21"/>
        <v>7.5777777777777784</v>
      </c>
      <c r="U31" s="35"/>
      <c r="V31" s="61">
        <v>216</v>
      </c>
      <c r="W31" s="13">
        <f t="shared" si="25"/>
        <v>1636.8000000000002</v>
      </c>
      <c r="Y31" s="142"/>
    </row>
    <row r="32" spans="1:26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100</v>
      </c>
      <c r="G32" s="95">
        <v>40</v>
      </c>
      <c r="H32" s="95">
        <v>93.333333333333314</v>
      </c>
      <c r="I32" s="13"/>
      <c r="J32" s="33"/>
      <c r="K32" s="33"/>
      <c r="L32" s="33"/>
      <c r="M32" s="33"/>
      <c r="N32" s="127">
        <v>0</v>
      </c>
      <c r="O32" s="33"/>
      <c r="P32" s="357"/>
      <c r="Q32" s="24">
        <f t="shared" si="19"/>
        <v>233.33333333333331</v>
      </c>
      <c r="R32" s="5">
        <f t="shared" si="20"/>
        <v>214.06727828746173</v>
      </c>
      <c r="S32" s="5">
        <f t="shared" si="22"/>
        <v>19.266055045871582</v>
      </c>
      <c r="T32" s="21">
        <f t="shared" si="21"/>
        <v>0.38888888888888884</v>
      </c>
      <c r="U32" s="35"/>
      <c r="V32" s="61"/>
      <c r="W32" s="13"/>
      <c r="Y32" s="142"/>
    </row>
    <row r="33" spans="1:26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/>
      <c r="G33" s="95"/>
      <c r="H33" s="95">
        <v>0</v>
      </c>
      <c r="I33" s="13"/>
      <c r="J33" s="33"/>
      <c r="K33" s="33"/>
      <c r="L33" s="33"/>
      <c r="M33" s="33"/>
      <c r="N33" s="127">
        <v>0</v>
      </c>
      <c r="O33" s="33"/>
      <c r="P33" s="357"/>
      <c r="Q33" s="24">
        <f t="shared" si="19"/>
        <v>0</v>
      </c>
      <c r="R33" s="5">
        <f t="shared" si="20"/>
        <v>0</v>
      </c>
      <c r="S33" s="5">
        <f t="shared" si="22"/>
        <v>0</v>
      </c>
      <c r="T33" s="21">
        <f t="shared" si="21"/>
        <v>0</v>
      </c>
      <c r="U33" s="35"/>
      <c r="V33" s="61">
        <v>300</v>
      </c>
      <c r="W33" s="13">
        <f t="shared" si="25"/>
        <v>0</v>
      </c>
      <c r="Y33" s="142"/>
    </row>
    <row r="34" spans="1:26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16.670000000000002</v>
      </c>
      <c r="F34" s="95">
        <v>70.67</v>
      </c>
      <c r="G34" s="95"/>
      <c r="H34" s="95">
        <v>23.33</v>
      </c>
      <c r="I34" s="13"/>
      <c r="J34" s="33"/>
      <c r="K34" s="33"/>
      <c r="L34" s="33"/>
      <c r="M34" s="33">
        <v>2.67</v>
      </c>
      <c r="N34" s="127">
        <v>19.329999999999998</v>
      </c>
      <c r="O34" s="33">
        <v>156</v>
      </c>
      <c r="P34" s="357"/>
      <c r="Q34" s="24">
        <f t="shared" si="19"/>
        <v>288.67</v>
      </c>
      <c r="R34" s="5">
        <f t="shared" si="20"/>
        <v>264.83486238532112</v>
      </c>
      <c r="S34" s="5">
        <f t="shared" si="22"/>
        <v>23.835137614678899</v>
      </c>
      <c r="T34" s="21">
        <f t="shared" si="21"/>
        <v>2.4055833333333334</v>
      </c>
      <c r="U34" s="35"/>
      <c r="V34" s="61">
        <v>480</v>
      </c>
      <c r="W34" s="13">
        <f t="shared" si="25"/>
        <v>1154.68</v>
      </c>
      <c r="Y34" s="142"/>
    </row>
    <row r="35" spans="1:26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>
        <v>0</v>
      </c>
      <c r="I35" s="13"/>
      <c r="J35" s="33"/>
      <c r="K35" s="33"/>
      <c r="L35" s="33"/>
      <c r="M35" s="33"/>
      <c r="N35" s="127">
        <v>0</v>
      </c>
      <c r="O35" s="33">
        <v>174</v>
      </c>
      <c r="P35" s="357"/>
      <c r="Q35" s="24">
        <f t="shared" si="19"/>
        <v>174</v>
      </c>
      <c r="R35" s="5">
        <f t="shared" si="20"/>
        <v>159.63302752293578</v>
      </c>
      <c r="S35" s="5">
        <f t="shared" si="22"/>
        <v>14.366972477064223</v>
      </c>
      <c r="T35" s="21">
        <f t="shared" si="21"/>
        <v>0.32222222222222224</v>
      </c>
      <c r="U35" s="35"/>
      <c r="V35" s="61"/>
      <c r="W35" s="13"/>
      <c r="Y35" s="142"/>
    </row>
    <row r="36" spans="1:26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>
        <v>0</v>
      </c>
      <c r="I36" s="13"/>
      <c r="J36" s="33"/>
      <c r="K36" s="33"/>
      <c r="L36" s="33"/>
      <c r="M36" s="33"/>
      <c r="N36" s="127">
        <v>0</v>
      </c>
      <c r="O36" s="33"/>
      <c r="P36" s="357"/>
      <c r="Q36" s="24">
        <f t="shared" si="19"/>
        <v>0</v>
      </c>
      <c r="R36" s="5">
        <f t="shared" si="20"/>
        <v>0</v>
      </c>
      <c r="S36" s="5">
        <f t="shared" si="22"/>
        <v>0</v>
      </c>
      <c r="T36" s="21">
        <f t="shared" si="21"/>
        <v>0</v>
      </c>
      <c r="U36" s="35"/>
      <c r="V36" s="61">
        <v>270</v>
      </c>
      <c r="W36" s="13">
        <f t="shared" si="25"/>
        <v>0</v>
      </c>
      <c r="Y36" s="142"/>
    </row>
    <row r="37" spans="1:26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>
        <v>35.4</v>
      </c>
      <c r="G37" s="95"/>
      <c r="H37" s="95">
        <v>0</v>
      </c>
      <c r="I37" s="13"/>
      <c r="J37" s="33"/>
      <c r="K37" s="33"/>
      <c r="L37" s="33"/>
      <c r="M37" s="33"/>
      <c r="N37" s="127">
        <v>0</v>
      </c>
      <c r="O37" s="33">
        <v>15.6</v>
      </c>
      <c r="P37" s="357"/>
      <c r="Q37" s="24">
        <f t="shared" si="19"/>
        <v>51</v>
      </c>
      <c r="R37" s="5">
        <f t="shared" si="20"/>
        <v>46.788990825688067</v>
      </c>
      <c r="S37" s="5">
        <f t="shared" si="22"/>
        <v>4.2110091743119327</v>
      </c>
      <c r="T37" s="21">
        <f t="shared" si="21"/>
        <v>0.47222222222222221</v>
      </c>
      <c r="U37" s="35"/>
      <c r="V37" s="61">
        <v>432</v>
      </c>
      <c r="W37" s="13">
        <f t="shared" si="25"/>
        <v>204</v>
      </c>
      <c r="Y37" s="142"/>
    </row>
    <row r="38" spans="1:26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>
        <v>103.33333333333331</v>
      </c>
      <c r="G38" s="95"/>
      <c r="H38" s="95">
        <v>0</v>
      </c>
      <c r="I38" s="13"/>
      <c r="J38" s="33"/>
      <c r="K38" s="33"/>
      <c r="L38" s="33"/>
      <c r="M38" s="33"/>
      <c r="N38" s="127">
        <v>0</v>
      </c>
      <c r="O38" s="33"/>
      <c r="P38" s="357"/>
      <c r="Q38" s="24">
        <f t="shared" si="19"/>
        <v>103.33333333333331</v>
      </c>
      <c r="R38" s="5">
        <f t="shared" si="20"/>
        <v>94.801223241590193</v>
      </c>
      <c r="S38" s="5">
        <f t="shared" si="22"/>
        <v>8.532110091743121</v>
      </c>
      <c r="T38" s="21">
        <f t="shared" si="21"/>
        <v>0.1148148148148148</v>
      </c>
      <c r="U38" s="35"/>
      <c r="V38" s="61"/>
      <c r="W38" s="13"/>
      <c r="Y38" s="142"/>
    </row>
    <row r="39" spans="1:26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/>
      <c r="G39" s="95"/>
      <c r="H39" s="95">
        <v>0</v>
      </c>
      <c r="I39" s="13"/>
      <c r="J39" s="33"/>
      <c r="K39" s="33"/>
      <c r="L39" s="33"/>
      <c r="M39" s="33"/>
      <c r="N39" s="127">
        <v>0</v>
      </c>
      <c r="O39" s="33"/>
      <c r="P39" s="357"/>
      <c r="Q39" s="24">
        <f t="shared" si="19"/>
        <v>0</v>
      </c>
      <c r="R39" s="5">
        <f t="shared" si="20"/>
        <v>0</v>
      </c>
      <c r="S39" s="5">
        <f t="shared" si="22"/>
        <v>0</v>
      </c>
      <c r="T39" s="21">
        <f t="shared" si="21"/>
        <v>0</v>
      </c>
      <c r="U39" s="35"/>
      <c r="V39" s="61">
        <v>450</v>
      </c>
      <c r="W39" s="13">
        <f t="shared" si="25"/>
        <v>0</v>
      </c>
      <c r="Y39" s="142"/>
    </row>
    <row r="40" spans="1:26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250">
        <v>127.33</v>
      </c>
      <c r="G40" s="95"/>
      <c r="H40" s="95">
        <v>22.666666666666686</v>
      </c>
      <c r="I40" s="13"/>
      <c r="J40" s="33"/>
      <c r="K40" s="33"/>
      <c r="L40" s="33"/>
      <c r="M40" s="33">
        <v>22.67</v>
      </c>
      <c r="N40" s="127">
        <v>15.999999999999995</v>
      </c>
      <c r="O40" s="33">
        <v>41.33</v>
      </c>
      <c r="P40" s="357"/>
      <c r="Q40" s="24">
        <f t="shared" si="19"/>
        <v>229.99666666666667</v>
      </c>
      <c r="R40" s="5">
        <f t="shared" si="20"/>
        <v>211.00611620795107</v>
      </c>
      <c r="S40" s="5">
        <f t="shared" si="22"/>
        <v>18.990550458715603</v>
      </c>
      <c r="T40" s="21">
        <f t="shared" si="21"/>
        <v>1.2777592592592593</v>
      </c>
      <c r="U40" s="35"/>
      <c r="V40" s="61">
        <v>720</v>
      </c>
      <c r="W40" s="13">
        <f t="shared" si="25"/>
        <v>919.98666666666668</v>
      </c>
      <c r="Y40" s="142"/>
    </row>
    <row r="41" spans="1:26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>
        <v>0</v>
      </c>
      <c r="I41" s="13"/>
      <c r="J41" s="33"/>
      <c r="K41" s="33"/>
      <c r="L41" s="33"/>
      <c r="M41" s="33"/>
      <c r="N41" s="127">
        <v>0</v>
      </c>
      <c r="O41" s="33">
        <v>30</v>
      </c>
      <c r="P41" s="357"/>
      <c r="Q41" s="24">
        <f t="shared" si="19"/>
        <v>30</v>
      </c>
      <c r="R41" s="5">
        <f t="shared" si="20"/>
        <v>27.52293577981651</v>
      </c>
      <c r="S41" s="5">
        <f t="shared" si="22"/>
        <v>2.4770642201834896</v>
      </c>
      <c r="T41" s="21">
        <f t="shared" si="21"/>
        <v>3.7037037037037035E-2</v>
      </c>
      <c r="U41" s="71"/>
      <c r="V41" s="61"/>
      <c r="W41" s="13"/>
      <c r="Y41" s="142"/>
    </row>
    <row r="42" spans="1:26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>
        <v>0</v>
      </c>
      <c r="I42" s="13"/>
      <c r="J42" s="33"/>
      <c r="K42" s="33"/>
      <c r="L42" s="33"/>
      <c r="M42" s="33"/>
      <c r="N42" s="127">
        <v>0</v>
      </c>
      <c r="O42" s="33"/>
      <c r="P42" s="357"/>
      <c r="Q42" s="24">
        <f t="shared" si="19"/>
        <v>0</v>
      </c>
      <c r="R42" s="5">
        <f t="shared" si="20"/>
        <v>0</v>
      </c>
      <c r="S42" s="5">
        <f t="shared" si="22"/>
        <v>0</v>
      </c>
      <c r="T42" s="21">
        <f t="shared" si="21"/>
        <v>0</v>
      </c>
      <c r="U42" s="71"/>
      <c r="V42" s="61">
        <v>405</v>
      </c>
      <c r="W42" s="13">
        <f t="shared" si="25"/>
        <v>0</v>
      </c>
      <c r="Y42" s="142"/>
    </row>
    <row r="43" spans="1:26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>
        <v>18.600000000000001</v>
      </c>
      <c r="G43" s="250"/>
      <c r="H43" s="250">
        <v>0</v>
      </c>
      <c r="I43" s="25"/>
      <c r="J43" s="239"/>
      <c r="K43" s="239"/>
      <c r="L43" s="239"/>
      <c r="M43" s="239"/>
      <c r="N43" s="221">
        <v>0</v>
      </c>
      <c r="O43" s="239"/>
      <c r="P43" s="358"/>
      <c r="Q43" s="24">
        <f t="shared" si="19"/>
        <v>18.600000000000001</v>
      </c>
      <c r="R43" s="26">
        <f t="shared" si="20"/>
        <v>17.064220183486238</v>
      </c>
      <c r="S43" s="26">
        <f t="shared" si="22"/>
        <v>1.5357798165137631</v>
      </c>
      <c r="T43" s="39">
        <f t="shared" si="21"/>
        <v>0.11481481481481483</v>
      </c>
      <c r="U43" s="71"/>
      <c r="V43" s="61">
        <v>648</v>
      </c>
      <c r="W43" s="13">
        <f t="shared" si="25"/>
        <v>74.400000000000006</v>
      </c>
      <c r="Y43" s="142"/>
    </row>
    <row r="44" spans="1:26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2.41</v>
      </c>
      <c r="F44" s="124">
        <v>109.56164383561641</v>
      </c>
      <c r="G44" s="124">
        <v>13.589041095890412</v>
      </c>
      <c r="H44" s="124">
        <v>34.657534246575551</v>
      </c>
      <c r="I44" s="124"/>
      <c r="J44" s="124"/>
      <c r="K44" s="124"/>
      <c r="L44" s="124"/>
      <c r="M44" s="124">
        <v>1.29</v>
      </c>
      <c r="N44" s="124"/>
      <c r="O44" s="124">
        <v>0.52100000000000002</v>
      </c>
      <c r="P44" s="352"/>
      <c r="Q44" s="24">
        <f t="shared" si="19"/>
        <v>162.02921917808234</v>
      </c>
      <c r="R44" s="124">
        <f t="shared" si="20"/>
        <v>148.65065979640582</v>
      </c>
      <c r="S44" s="6">
        <f t="shared" si="22"/>
        <v>13.378559381676524</v>
      </c>
      <c r="T44" s="22">
        <f>+Q44/D44</f>
        <v>16.202921917808233</v>
      </c>
      <c r="U44" s="71"/>
      <c r="V44" s="61"/>
      <c r="W44" s="13"/>
      <c r="X44" s="2"/>
      <c r="Y44" s="1"/>
    </row>
    <row r="45" spans="1:26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6814.2000000000007</v>
      </c>
      <c r="F45" s="82">
        <f>+SUM(F46:F54)</f>
        <v>140566.51999999999</v>
      </c>
      <c r="G45" s="82">
        <f>+SUM(G46:G54)</f>
        <v>20994.109999999997</v>
      </c>
      <c r="H45" s="82">
        <f>+SUM(H46:H54)</f>
        <v>4216.53</v>
      </c>
      <c r="I45" s="82">
        <f t="shared" ref="I45:T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1826.9999999999998</v>
      </c>
      <c r="N45" s="100">
        <f t="shared" si="26"/>
        <v>3348.68</v>
      </c>
      <c r="O45" s="100">
        <f t="shared" si="26"/>
        <v>11353.09</v>
      </c>
      <c r="P45" s="100">
        <f t="shared" si="26"/>
        <v>0</v>
      </c>
      <c r="Q45" s="42">
        <f>+SUM(Q46:Q54)</f>
        <v>189120.13</v>
      </c>
      <c r="R45" s="82">
        <f t="shared" si="26"/>
        <v>173504.70642201832</v>
      </c>
      <c r="S45" s="82">
        <f t="shared" si="26"/>
        <v>15615.423577981664</v>
      </c>
      <c r="T45" s="19">
        <f t="shared" si="26"/>
        <v>29050.066666666669</v>
      </c>
      <c r="U45" s="71"/>
      <c r="V45" s="61"/>
      <c r="W45" s="105">
        <f>+SUM(W46:W69)</f>
        <v>276335.27</v>
      </c>
    </row>
    <row r="46" spans="1:26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912</v>
      </c>
      <c r="F46" s="92">
        <v>15408</v>
      </c>
      <c r="G46" s="28">
        <v>2088</v>
      </c>
      <c r="H46" s="347">
        <v>444</v>
      </c>
      <c r="I46" s="83"/>
      <c r="J46" s="75"/>
      <c r="K46" s="75"/>
      <c r="L46" s="75"/>
      <c r="M46" s="75">
        <v>192</v>
      </c>
      <c r="N46" s="127">
        <v>660</v>
      </c>
      <c r="O46" s="367">
        <v>1440</v>
      </c>
      <c r="P46" s="356"/>
      <c r="Q46" s="24">
        <f t="shared" ref="Q46:Q54" si="27">+SUM(E46:P46)</f>
        <v>21144</v>
      </c>
      <c r="R46" s="99">
        <f t="shared" ref="R46:R54" si="28">+Q46/1.09</f>
        <v>19398.165137614676</v>
      </c>
      <c r="S46" s="64">
        <f t="shared" ref="S46:S54" si="29">+Q46-R46</f>
        <v>1745.8348623853235</v>
      </c>
      <c r="T46" s="85">
        <f t="shared" ref="T46:T54" si="30">Q46/D46</f>
        <v>1762</v>
      </c>
      <c r="U46" s="71"/>
      <c r="V46" s="61"/>
      <c r="W46" s="13"/>
      <c r="X46"/>
      <c r="Y46" s="142"/>
      <c r="Z46"/>
    </row>
    <row r="47" spans="1:26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342</v>
      </c>
      <c r="F47" s="48">
        <v>2148</v>
      </c>
      <c r="G47" s="17">
        <v>366</v>
      </c>
      <c r="H47" s="347">
        <v>12</v>
      </c>
      <c r="I47" s="13"/>
      <c r="J47" s="33"/>
      <c r="K47" s="33"/>
      <c r="L47" s="33"/>
      <c r="M47" s="33">
        <v>54</v>
      </c>
      <c r="N47" s="127">
        <v>30</v>
      </c>
      <c r="O47" s="36">
        <v>150</v>
      </c>
      <c r="P47" s="357"/>
      <c r="Q47" s="24">
        <f t="shared" si="27"/>
        <v>3102</v>
      </c>
      <c r="R47" s="5">
        <f t="shared" si="28"/>
        <v>2845.8715596330271</v>
      </c>
      <c r="S47" s="5">
        <f t="shared" si="29"/>
        <v>256.12844036697288</v>
      </c>
      <c r="T47" s="31">
        <f t="shared" si="30"/>
        <v>517</v>
      </c>
      <c r="U47" s="71"/>
      <c r="V47" s="61">
        <v>6</v>
      </c>
      <c r="W47" s="13">
        <f t="shared" ref="W47:W48" si="31">+T47*V47</f>
        <v>3102</v>
      </c>
      <c r="Y47" s="142"/>
    </row>
    <row r="48" spans="1:26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1310.4000000000001</v>
      </c>
      <c r="F48" s="95">
        <v>36528</v>
      </c>
      <c r="G48" s="17">
        <v>6847.2</v>
      </c>
      <c r="H48" s="347">
        <v>235.20000000000005</v>
      </c>
      <c r="I48" s="13"/>
      <c r="J48" s="33"/>
      <c r="K48" s="33"/>
      <c r="L48" s="33"/>
      <c r="M48" s="33">
        <v>484.8</v>
      </c>
      <c r="N48" s="127">
        <v>871.19999999999982</v>
      </c>
      <c r="O48" s="36">
        <v>2052</v>
      </c>
      <c r="P48" s="357"/>
      <c r="Q48" s="24">
        <f t="shared" si="27"/>
        <v>48328.799999999996</v>
      </c>
      <c r="R48" s="5">
        <f t="shared" si="28"/>
        <v>44338.348623853206</v>
      </c>
      <c r="S48" s="5">
        <f t="shared" si="29"/>
        <v>3990.4513761467897</v>
      </c>
      <c r="T48" s="31">
        <f t="shared" si="30"/>
        <v>20137</v>
      </c>
      <c r="U48" s="71"/>
      <c r="V48" s="61">
        <v>9.6</v>
      </c>
      <c r="W48" s="13">
        <f t="shared" si="31"/>
        <v>193315.19999999998</v>
      </c>
      <c r="Y48" s="142"/>
    </row>
    <row r="49" spans="1:25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903</v>
      </c>
      <c r="F49" s="13">
        <v>16506</v>
      </c>
      <c r="G49" s="13">
        <v>1925</v>
      </c>
      <c r="H49" s="348">
        <v>952</v>
      </c>
      <c r="I49" s="13"/>
      <c r="J49" s="33"/>
      <c r="K49" s="33"/>
      <c r="L49" s="33"/>
      <c r="M49" s="33">
        <v>238</v>
      </c>
      <c r="N49" s="127">
        <v>322</v>
      </c>
      <c r="O49" s="36">
        <v>2331</v>
      </c>
      <c r="P49" s="357"/>
      <c r="Q49" s="24">
        <f t="shared" si="27"/>
        <v>23177</v>
      </c>
      <c r="R49" s="5">
        <f t="shared" si="28"/>
        <v>21263.302752293577</v>
      </c>
      <c r="S49" s="5">
        <f t="shared" si="29"/>
        <v>1913.6972477064228</v>
      </c>
      <c r="T49" s="31">
        <f t="shared" si="30"/>
        <v>1103.6666666666667</v>
      </c>
      <c r="U49" s="71"/>
      <c r="V49" s="61"/>
      <c r="W49" s="13"/>
      <c r="Y49" s="142"/>
    </row>
    <row r="50" spans="1:25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94.5</v>
      </c>
      <c r="F50" s="13">
        <v>1837.5</v>
      </c>
      <c r="G50" s="13">
        <v>245</v>
      </c>
      <c r="H50" s="348">
        <v>31.5</v>
      </c>
      <c r="I50" s="13"/>
      <c r="J50" s="33"/>
      <c r="K50" s="33"/>
      <c r="L50" s="33"/>
      <c r="M50" s="33">
        <v>31.5</v>
      </c>
      <c r="N50" s="127">
        <v>63</v>
      </c>
      <c r="O50" s="36">
        <v>70</v>
      </c>
      <c r="P50" s="357"/>
      <c r="Q50" s="24">
        <f t="shared" si="27"/>
        <v>2373</v>
      </c>
      <c r="R50" s="5">
        <f t="shared" si="28"/>
        <v>2177.0642201834862</v>
      </c>
      <c r="S50" s="5">
        <f t="shared" si="29"/>
        <v>195.93577981651379</v>
      </c>
      <c r="T50" s="21">
        <f t="shared" si="30"/>
        <v>226</v>
      </c>
      <c r="U50" s="71"/>
      <c r="V50" s="61">
        <v>10.5</v>
      </c>
      <c r="W50" s="13">
        <f t="shared" ref="W50:W51" si="32">+T50*V50</f>
        <v>2373</v>
      </c>
      <c r="Y50" s="142"/>
    </row>
    <row r="51" spans="1:25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271.60000000000002</v>
      </c>
      <c r="F51" s="13">
        <v>7646.8</v>
      </c>
      <c r="G51" s="13">
        <v>1015</v>
      </c>
      <c r="H51" s="348">
        <v>170.80000000000007</v>
      </c>
      <c r="I51" s="13"/>
      <c r="J51" s="33"/>
      <c r="K51" s="33"/>
      <c r="L51" s="33"/>
      <c r="M51" s="33">
        <v>51.8</v>
      </c>
      <c r="N51" s="127">
        <v>275.80000000000007</v>
      </c>
      <c r="O51" s="36">
        <v>845.6</v>
      </c>
      <c r="P51" s="357"/>
      <c r="Q51" s="24">
        <f t="shared" si="27"/>
        <v>10277.4</v>
      </c>
      <c r="R51" s="5">
        <f t="shared" si="28"/>
        <v>9428.8073394495405</v>
      </c>
      <c r="S51" s="5">
        <f t="shared" si="29"/>
        <v>848.59266055045919</v>
      </c>
      <c r="T51" s="21">
        <f t="shared" si="30"/>
        <v>2447</v>
      </c>
      <c r="U51" s="71"/>
      <c r="V51" s="61">
        <v>16.8</v>
      </c>
      <c r="W51" s="13">
        <f t="shared" si="32"/>
        <v>41109.599999999999</v>
      </c>
      <c r="Y51" s="142"/>
    </row>
    <row r="52" spans="1:25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2554.3000000000002</v>
      </c>
      <c r="F52" s="13">
        <v>50577.599999999999</v>
      </c>
      <c r="G52" s="13">
        <v>6818.3</v>
      </c>
      <c r="H52" s="348">
        <v>2078.6999999999998</v>
      </c>
      <c r="I52" s="13"/>
      <c r="J52" s="33"/>
      <c r="K52" s="33"/>
      <c r="L52" s="33"/>
      <c r="M52" s="33">
        <v>660.1</v>
      </c>
      <c r="N52" s="127">
        <v>930.7</v>
      </c>
      <c r="O52" s="36">
        <v>3439.9</v>
      </c>
      <c r="P52" s="357"/>
      <c r="Q52" s="24">
        <f t="shared" si="27"/>
        <v>67059.599999999991</v>
      </c>
      <c r="R52" s="5">
        <f t="shared" si="28"/>
        <v>61522.568807339434</v>
      </c>
      <c r="S52" s="5">
        <f t="shared" si="29"/>
        <v>5537.0311926605573</v>
      </c>
      <c r="T52" s="21">
        <f t="shared" si="30"/>
        <v>1635.5999999999997</v>
      </c>
      <c r="U52" s="71"/>
      <c r="V52" s="61"/>
      <c r="W52" s="13"/>
      <c r="Y52" s="142"/>
    </row>
    <row r="53" spans="1:25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196.8</v>
      </c>
      <c r="F53" s="13">
        <v>4596.1000000000004</v>
      </c>
      <c r="G53" s="13">
        <v>854.85</v>
      </c>
      <c r="H53" s="348">
        <v>174.25</v>
      </c>
      <c r="I53" s="13"/>
      <c r="J53" s="33"/>
      <c r="K53" s="33"/>
      <c r="L53" s="33"/>
      <c r="M53" s="33">
        <v>82</v>
      </c>
      <c r="N53" s="127">
        <v>41.000000000000007</v>
      </c>
      <c r="O53" s="36">
        <v>120.95</v>
      </c>
      <c r="P53" s="357"/>
      <c r="Q53" s="24">
        <f t="shared" si="27"/>
        <v>6065.9500000000007</v>
      </c>
      <c r="R53" s="5">
        <f t="shared" si="28"/>
        <v>5565.0917431192665</v>
      </c>
      <c r="S53" s="5">
        <f t="shared" si="29"/>
        <v>500.85825688073419</v>
      </c>
      <c r="T53" s="21">
        <f t="shared" si="30"/>
        <v>295.90000000000003</v>
      </c>
      <c r="U53" s="71"/>
      <c r="V53" s="61">
        <v>20.5</v>
      </c>
      <c r="W53" s="13">
        <f t="shared" ref="W53:W54" si="33">+T53*V53</f>
        <v>6065.9500000000007</v>
      </c>
      <c r="Y53" s="142"/>
    </row>
    <row r="54" spans="1:25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229.6</v>
      </c>
      <c r="F54" s="14">
        <v>5318.52</v>
      </c>
      <c r="G54" s="14">
        <v>834.76</v>
      </c>
      <c r="H54" s="349">
        <v>118.08000000000001</v>
      </c>
      <c r="I54" s="14"/>
      <c r="J54" s="76"/>
      <c r="K54" s="76"/>
      <c r="L54" s="76"/>
      <c r="M54" s="76">
        <v>32.799999999999997</v>
      </c>
      <c r="N54" s="148">
        <v>154.98000000000002</v>
      </c>
      <c r="O54" s="144">
        <v>903.64</v>
      </c>
      <c r="P54" s="224"/>
      <c r="Q54" s="359">
        <f t="shared" si="27"/>
        <v>7592.3800000000019</v>
      </c>
      <c r="R54" s="6">
        <f t="shared" si="28"/>
        <v>6965.4862385321112</v>
      </c>
      <c r="S54" s="6">
        <f t="shared" si="29"/>
        <v>626.89376146789073</v>
      </c>
      <c r="T54" s="22">
        <f t="shared" si="30"/>
        <v>925.90000000000032</v>
      </c>
      <c r="U54" s="35"/>
      <c r="V54" s="61">
        <v>32.799999999999997</v>
      </c>
      <c r="W54" s="13">
        <f t="shared" si="33"/>
        <v>30369.520000000008</v>
      </c>
      <c r="Y54" s="142"/>
    </row>
    <row r="55" spans="1:25" x14ac:dyDescent="0.25"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6" spans="1:2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</row>
    <row r="58" spans="1:25" x14ac:dyDescent="0.25">
      <c r="O58" s="137"/>
      <c r="P58" s="137"/>
    </row>
    <row r="74" spans="2:2" x14ac:dyDescent="0.25">
      <c r="B74" s="1"/>
    </row>
  </sheetData>
  <mergeCells count="19">
    <mergeCell ref="W4:W5"/>
    <mergeCell ref="N4:N5"/>
    <mergeCell ref="O4:P4"/>
    <mergeCell ref="Q4:Q5"/>
    <mergeCell ref="R4:R5"/>
    <mergeCell ref="S4:S5"/>
    <mergeCell ref="T4:T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AL66"/>
  <sheetViews>
    <sheetView zoomScaleNormal="100" workbookViewId="0">
      <pane xSplit="4" ySplit="4" topLeftCell="Q17" activePane="bottomRight" state="frozen"/>
      <selection pane="topRight" activeCell="E1" sqref="E1"/>
      <selection pane="bottomLeft" activeCell="A5" sqref="A5"/>
      <selection pane="bottomRight" activeCell="X19" sqref="X19:AN25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47" style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10937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2.109375" style="1" customWidth="1"/>
    <col min="16" max="16" width="11.6640625" style="1" customWidth="1" outlineLevel="1"/>
    <col min="17" max="17" width="12.33203125" style="1" bestFit="1" customWidth="1"/>
    <col min="18" max="19" width="12.33203125" style="1" customWidth="1"/>
    <col min="20" max="20" width="11.33203125" style="1" customWidth="1" outlineLevel="1"/>
    <col min="21" max="21" width="3.109375" style="1" customWidth="1"/>
    <col min="22" max="22" width="5.109375" style="1" customWidth="1"/>
    <col min="23" max="23" width="13.33203125" style="2" customWidth="1"/>
    <col min="24" max="24" width="9.88671875" style="1" bestFit="1" customWidth="1"/>
    <col min="25" max="16384" width="8.88671875" style="1"/>
  </cols>
  <sheetData>
    <row r="1" spans="1:23" ht="15.6" customHeight="1" x14ac:dyDescent="0.3">
      <c r="A1" s="40" t="s">
        <v>484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"/>
    </row>
    <row r="2" spans="1:23" ht="18" customHeight="1" x14ac:dyDescent="0.25">
      <c r="A2" s="198" t="s">
        <v>168</v>
      </c>
      <c r="D2" s="3"/>
      <c r="E2" s="4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9"/>
      <c r="R2" s="2"/>
      <c r="S2" s="2"/>
    </row>
    <row r="3" spans="1:23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3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7"/>
      <c r="R4" s="597"/>
      <c r="S4" s="597"/>
      <c r="T4" s="597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111435.29849315071</v>
      </c>
      <c r="F5" s="187">
        <f t="shared" si="0"/>
        <v>2224557.918173518</v>
      </c>
      <c r="G5" s="82">
        <f t="shared" si="0"/>
        <v>331149.42</v>
      </c>
      <c r="H5" s="82">
        <f t="shared" si="0"/>
        <v>60383.619999999988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36835.510000000009</v>
      </c>
      <c r="N5" s="192">
        <f>+N6+N18+N44</f>
        <v>17570.062648401821</v>
      </c>
      <c r="O5" s="42">
        <f>+O6+O18+O44</f>
        <v>251135.47000000006</v>
      </c>
      <c r="P5" s="42">
        <f>+P6+P18+P44</f>
        <v>0</v>
      </c>
      <c r="Q5" s="42">
        <f t="shared" ref="Q5:Q10" si="1">+SUM(E5:P5)</f>
        <v>3033067.2993150703</v>
      </c>
      <c r="R5" s="42">
        <f>+R6+R18+R44</f>
        <v>2782630.5498303389</v>
      </c>
      <c r="S5" s="42">
        <f>+S6+S18+S44</f>
        <v>250436.74948473077</v>
      </c>
      <c r="T5" s="44">
        <f>+T6+T18+T44</f>
        <v>57172.452764840193</v>
      </c>
      <c r="U5" s="71"/>
      <c r="V5" s="87"/>
      <c r="W5" s="135">
        <f>+W7+W18+W44</f>
        <v>2604474.4233333333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42">
        <f>+O7+O11</f>
        <v>0</v>
      </c>
      <c r="P6" s="42">
        <f>+P7+P11</f>
        <v>0</v>
      </c>
      <c r="Q6" s="42">
        <f t="shared" si="1"/>
        <v>0</v>
      </c>
      <c r="R6" s="42">
        <f>+R7+R11</f>
        <v>0</v>
      </c>
      <c r="S6" s="42">
        <f>+S7+S11</f>
        <v>0</v>
      </c>
      <c r="T6" s="44">
        <f>+T7+T11</f>
        <v>0</v>
      </c>
      <c r="V6" s="61"/>
      <c r="W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354">
        <f t="shared" si="4"/>
        <v>0</v>
      </c>
      <c r="P7" s="354">
        <f t="shared" si="4"/>
        <v>0</v>
      </c>
      <c r="Q7" s="43">
        <f t="shared" si="1"/>
        <v>0</v>
      </c>
      <c r="R7" s="354">
        <f t="shared" si="4"/>
        <v>0</v>
      </c>
      <c r="S7" s="354">
        <f t="shared" si="4"/>
        <v>0</v>
      </c>
      <c r="T7" s="240">
        <f t="shared" si="4"/>
        <v>0</v>
      </c>
      <c r="U7" s="71"/>
      <c r="V7" s="134"/>
      <c r="W7" s="105">
        <f>+SUM(W8:W17)</f>
        <v>0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64"/>
      <c r="Q8" s="24">
        <f t="shared" si="1"/>
        <v>0</v>
      </c>
      <c r="R8" s="127">
        <f t="shared" ref="R8:R53" si="5">+Q8/1.09</f>
        <v>0</v>
      </c>
      <c r="S8" s="24">
        <f t="shared" ref="S8:S17" si="6">+Q8-R8</f>
        <v>0</v>
      </c>
      <c r="T8" s="94">
        <f>+Q8/D8</f>
        <v>0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64"/>
      <c r="Q9" s="24">
        <f t="shared" si="1"/>
        <v>0</v>
      </c>
      <c r="R9" s="127">
        <f t="shared" si="5"/>
        <v>0</v>
      </c>
      <c r="S9" s="26">
        <f t="shared" si="6"/>
        <v>0</v>
      </c>
      <c r="T9" s="94">
        <f>+Q9/D9</f>
        <v>0</v>
      </c>
      <c r="U9" s="71"/>
      <c r="V9" s="61">
        <v>1.75</v>
      </c>
      <c r="W9" s="13">
        <f>+T9*V9</f>
        <v>0</v>
      </c>
    </row>
    <row r="10" spans="1:23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44"/>
      <c r="P10" s="350"/>
      <c r="Q10" s="24">
        <f t="shared" si="1"/>
        <v>0</v>
      </c>
      <c r="R10" s="26">
        <f t="shared" si="5"/>
        <v>0</v>
      </c>
      <c r="S10" s="26">
        <f t="shared" si="6"/>
        <v>0</v>
      </c>
      <c r="T10" s="39">
        <f>Q10/D10</f>
        <v>0</v>
      </c>
      <c r="U10" s="71"/>
      <c r="V10" s="107">
        <v>2.8</v>
      </c>
      <c r="W10" s="13">
        <f>+T10*V10</f>
        <v>0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" si="9">+SUM(N12:N17)</f>
        <v>0</v>
      </c>
      <c r="O11" s="101">
        <f t="shared" si="8"/>
        <v>0</v>
      </c>
      <c r="P11" s="101">
        <f t="shared" si="8"/>
        <v>0</v>
      </c>
      <c r="Q11" s="43">
        <f t="shared" si="8"/>
        <v>0</v>
      </c>
      <c r="R11" s="72">
        <f t="shared" si="8"/>
        <v>0</v>
      </c>
      <c r="S11" s="43">
        <f t="shared" si="8"/>
        <v>0</v>
      </c>
      <c r="T11" s="45">
        <f t="shared" si="8"/>
        <v>0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64"/>
      <c r="Q12" s="24">
        <f t="shared" ref="Q12:Q17" si="10">+SUM(E12:P12)</f>
        <v>0</v>
      </c>
      <c r="R12" s="127">
        <f t="shared" si="5"/>
        <v>0</v>
      </c>
      <c r="S12" s="5">
        <f t="shared" si="6"/>
        <v>0</v>
      </c>
      <c r="T12" s="94">
        <f t="shared" ref="T12:T17" si="11">+Q12/D12</f>
        <v>0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64"/>
      <c r="Q13" s="24">
        <f t="shared" si="10"/>
        <v>0</v>
      </c>
      <c r="R13" s="127">
        <f t="shared" si="5"/>
        <v>0</v>
      </c>
      <c r="S13" s="5">
        <f t="shared" si="6"/>
        <v>0</v>
      </c>
      <c r="T13" s="94">
        <f t="shared" si="11"/>
        <v>0</v>
      </c>
      <c r="U13" s="71"/>
      <c r="V13" s="107">
        <v>1.1000000000000001</v>
      </c>
      <c r="W13" s="13">
        <f t="shared" ref="W13:W14" si="12">+T13*V13</f>
        <v>0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64"/>
      <c r="Q14" s="24">
        <f t="shared" si="10"/>
        <v>0</v>
      </c>
      <c r="R14" s="127">
        <f t="shared" si="5"/>
        <v>0</v>
      </c>
      <c r="S14" s="5">
        <f t="shared" si="6"/>
        <v>0</v>
      </c>
      <c r="T14" s="94">
        <f t="shared" si="11"/>
        <v>0</v>
      </c>
      <c r="U14" s="71"/>
      <c r="V14" s="61">
        <v>1.76</v>
      </c>
      <c r="W14" s="13">
        <f t="shared" si="12"/>
        <v>0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64"/>
      <c r="Q15" s="24">
        <f t="shared" si="10"/>
        <v>0</v>
      </c>
      <c r="R15" s="127">
        <f t="shared" si="5"/>
        <v>0</v>
      </c>
      <c r="S15" s="5">
        <f t="shared" si="6"/>
        <v>0</v>
      </c>
      <c r="T15" s="94">
        <f t="shared" si="11"/>
        <v>0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64"/>
      <c r="Q16" s="24">
        <f t="shared" si="10"/>
        <v>0</v>
      </c>
      <c r="R16" s="127">
        <f t="shared" si="5"/>
        <v>0</v>
      </c>
      <c r="S16" s="5">
        <f t="shared" si="6"/>
        <v>0</v>
      </c>
      <c r="T16" s="94">
        <f t="shared" si="11"/>
        <v>0</v>
      </c>
      <c r="U16" s="71"/>
      <c r="V16" s="61">
        <v>1.6</v>
      </c>
      <c r="W16" s="13">
        <f t="shared" ref="W16:W17" si="13">+T16*V16</f>
        <v>0</v>
      </c>
    </row>
    <row r="17" spans="1:38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64"/>
      <c r="Q17" s="24">
        <f t="shared" si="10"/>
        <v>0</v>
      </c>
      <c r="R17" s="127">
        <f t="shared" si="5"/>
        <v>0</v>
      </c>
      <c r="S17" s="5">
        <f t="shared" si="6"/>
        <v>0</v>
      </c>
      <c r="T17" s="94">
        <f t="shared" si="11"/>
        <v>0</v>
      </c>
      <c r="U17" s="71"/>
      <c r="V17" s="61">
        <v>2.56</v>
      </c>
      <c r="W17" s="13">
        <f t="shared" si="13"/>
        <v>0</v>
      </c>
    </row>
    <row r="18" spans="1:38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110783.46849315071</v>
      </c>
      <c r="F18" s="231">
        <f t="shared" ref="F18:P18" si="14">+SUM(F19:F43)</f>
        <v>2213116.7281735181</v>
      </c>
      <c r="G18" s="231">
        <f t="shared" si="14"/>
        <v>329259.13</v>
      </c>
      <c r="H18" s="231">
        <f t="shared" si="14"/>
        <v>60133.759999999987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36723.210000000006</v>
      </c>
      <c r="N18" s="231">
        <f t="shared" si="14"/>
        <v>17303.782648401822</v>
      </c>
      <c r="O18" s="238">
        <f t="shared" si="14"/>
        <v>250172.87000000005</v>
      </c>
      <c r="P18" s="238">
        <f t="shared" si="14"/>
        <v>0</v>
      </c>
      <c r="Q18" s="42">
        <f>+SUM(Q19:Q43)</f>
        <v>3017492.9493150706</v>
      </c>
      <c r="R18" s="42">
        <f t="shared" ref="R18:T18" si="15">+SUM(R19:R43)</f>
        <v>2768342.1553349262</v>
      </c>
      <c r="S18" s="42">
        <f t="shared" si="15"/>
        <v>249150.79398014362</v>
      </c>
      <c r="T18" s="42">
        <f t="shared" si="15"/>
        <v>56522.052764840191</v>
      </c>
      <c r="U18" s="71"/>
      <c r="V18" s="61"/>
      <c r="W18" s="105">
        <f>+SUM(W19:W42)</f>
        <v>2596142.3733333335</v>
      </c>
    </row>
    <row r="19" spans="1:38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66106.666666666686</v>
      </c>
      <c r="F19" s="127">
        <v>1256583.3333333356</v>
      </c>
      <c r="G19" s="127">
        <v>181623.33</v>
      </c>
      <c r="H19" s="127">
        <v>30256.67</v>
      </c>
      <c r="I19" s="127"/>
      <c r="J19" s="127"/>
      <c r="K19" s="127"/>
      <c r="L19" s="127"/>
      <c r="M19" s="127">
        <v>21480.000000000004</v>
      </c>
      <c r="N19" s="127">
        <v>10170</v>
      </c>
      <c r="O19" s="127">
        <f>116853.34-56.71</f>
        <v>116796.62999999999</v>
      </c>
      <c r="P19" s="164"/>
      <c r="Q19" s="24">
        <f t="shared" ref="Q19:Q43" si="16">+SUM(E19:P19)</f>
        <v>1683016.6300000022</v>
      </c>
      <c r="R19" s="127">
        <f t="shared" si="5"/>
        <v>1544051.9541284423</v>
      </c>
      <c r="S19" s="24">
        <f>+Q19-R19</f>
        <v>138964.67587155988</v>
      </c>
      <c r="T19" s="94">
        <f t="shared" ref="T19:T43" si="17">+Q19/D19</f>
        <v>16830.166300000023</v>
      </c>
      <c r="U19" s="71"/>
      <c r="V19" s="61"/>
      <c r="W19" s="106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13001.666666666668</v>
      </c>
      <c r="F20" s="127">
        <v>350978.33333333296</v>
      </c>
      <c r="G20" s="127">
        <v>49536.67</v>
      </c>
      <c r="H20" s="127">
        <v>9880</v>
      </c>
      <c r="I20" s="127"/>
      <c r="J20" s="127"/>
      <c r="K20" s="127"/>
      <c r="L20" s="127"/>
      <c r="M20" s="127">
        <v>8208.33</v>
      </c>
      <c r="N20" s="127">
        <v>181.66666666666663</v>
      </c>
      <c r="O20" s="127">
        <f>6741.67-23.33</f>
        <v>6718.34</v>
      </c>
      <c r="P20" s="164"/>
      <c r="Q20" s="24">
        <f>+SUM(E20:P20)</f>
        <v>438505.00666666636</v>
      </c>
      <c r="R20" s="127">
        <f t="shared" si="5"/>
        <v>402298.17125382234</v>
      </c>
      <c r="S20" s="5">
        <f t="shared" ref="S20:S43" si="18">+Q20-R20</f>
        <v>36206.835412844026</v>
      </c>
      <c r="T20" s="94">
        <f t="shared" si="17"/>
        <v>8770.1001333333279</v>
      </c>
      <c r="U20" s="71"/>
      <c r="V20" s="61">
        <v>50</v>
      </c>
      <c r="W20" s="13">
        <f t="shared" ref="W20:W21" si="19">+T20*V20</f>
        <v>438505.00666666642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17475.330000000002</v>
      </c>
      <c r="F21" s="127">
        <v>357685.33</v>
      </c>
      <c r="G21" s="127">
        <v>58614</v>
      </c>
      <c r="H21" s="127">
        <v>6877.33</v>
      </c>
      <c r="I21" s="17"/>
      <c r="J21" s="127"/>
      <c r="K21" s="127"/>
      <c r="L21" s="127"/>
      <c r="M21" s="127">
        <v>3917.33</v>
      </c>
      <c r="N21" s="127">
        <v>3444.6666666666665</v>
      </c>
      <c r="O21" s="127">
        <v>39585.33</v>
      </c>
      <c r="P21" s="164"/>
      <c r="Q21" s="24">
        <f>+SUM(E21:P21)</f>
        <v>487599.31666666677</v>
      </c>
      <c r="R21" s="127">
        <f t="shared" si="5"/>
        <v>447338.82262996945</v>
      </c>
      <c r="S21" s="5">
        <f t="shared" si="18"/>
        <v>40260.494036697317</v>
      </c>
      <c r="T21" s="94">
        <f t="shared" si="17"/>
        <v>24379.965833333339</v>
      </c>
      <c r="U21" s="71"/>
      <c r="V21" s="61">
        <v>80</v>
      </c>
      <c r="W21" s="13">
        <f t="shared" si="19"/>
        <v>1950397.2666666671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11544</v>
      </c>
      <c r="F22" s="127">
        <v>192093</v>
      </c>
      <c r="G22" s="127">
        <v>32418</v>
      </c>
      <c r="H22" s="127">
        <v>7020</v>
      </c>
      <c r="I22" s="96"/>
      <c r="J22" s="127"/>
      <c r="K22" s="127"/>
      <c r="L22" s="127"/>
      <c r="M22" s="127">
        <v>2355</v>
      </c>
      <c r="N22" s="127">
        <v>2376</v>
      </c>
      <c r="O22" s="127">
        <v>51378</v>
      </c>
      <c r="P22" s="164"/>
      <c r="Q22" s="24">
        <f t="shared" si="16"/>
        <v>299184</v>
      </c>
      <c r="R22" s="127">
        <f t="shared" si="5"/>
        <v>274480.73394495412</v>
      </c>
      <c r="S22" s="5">
        <f t="shared" si="18"/>
        <v>24703.266055045882</v>
      </c>
      <c r="T22" s="94">
        <f t="shared" si="17"/>
        <v>3324.2666666666669</v>
      </c>
      <c r="U22" s="71"/>
      <c r="V22" s="61"/>
      <c r="W22" s="1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4">
        <v>388.5</v>
      </c>
      <c r="F23" s="127">
        <v>12114</v>
      </c>
      <c r="G23" s="127">
        <v>1983</v>
      </c>
      <c r="H23" s="127">
        <v>424.5</v>
      </c>
      <c r="I23" s="127"/>
      <c r="J23" s="127"/>
      <c r="K23" s="127"/>
      <c r="L23" s="127"/>
      <c r="M23" s="127">
        <v>222</v>
      </c>
      <c r="N23" s="127">
        <v>30</v>
      </c>
      <c r="O23" s="127">
        <v>1972.5</v>
      </c>
      <c r="P23" s="164"/>
      <c r="Q23" s="24">
        <f t="shared" si="16"/>
        <v>17134.5</v>
      </c>
      <c r="R23" s="127">
        <f t="shared" si="5"/>
        <v>15719.7247706422</v>
      </c>
      <c r="S23" s="5">
        <f t="shared" si="18"/>
        <v>1414.7752293577996</v>
      </c>
      <c r="T23" s="94">
        <f t="shared" si="17"/>
        <v>380.76666666666665</v>
      </c>
      <c r="U23" s="71"/>
      <c r="V23" s="61">
        <v>45</v>
      </c>
      <c r="W23" s="13">
        <f t="shared" ref="W23:W24" si="20">+T23*V23</f>
        <v>17134.5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537</v>
      </c>
      <c r="F24" s="127">
        <v>5863.2</v>
      </c>
      <c r="G24" s="127">
        <v>963</v>
      </c>
      <c r="H24" s="127">
        <v>193.2</v>
      </c>
      <c r="I24" s="127"/>
      <c r="J24" s="127"/>
      <c r="K24" s="127"/>
      <c r="L24" s="127"/>
      <c r="M24" s="127">
        <v>95.4</v>
      </c>
      <c r="N24" s="127">
        <v>223.79999999999998</v>
      </c>
      <c r="O24" s="127">
        <v>2167.1999999999998</v>
      </c>
      <c r="P24" s="164"/>
      <c r="Q24" s="24">
        <f t="shared" si="16"/>
        <v>10042.799999999999</v>
      </c>
      <c r="R24" s="127">
        <f t="shared" si="5"/>
        <v>9213.577981651375</v>
      </c>
      <c r="S24" s="5">
        <f t="shared" si="18"/>
        <v>829.22201834862426</v>
      </c>
      <c r="T24" s="94">
        <f t="shared" si="17"/>
        <v>557.93333333333328</v>
      </c>
      <c r="U24" s="71"/>
      <c r="V24" s="61">
        <v>72</v>
      </c>
      <c r="W24" s="13">
        <f t="shared" si="20"/>
        <v>40171.199999999997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206.66666666666663</v>
      </c>
      <c r="F25" s="127">
        <v>4276.6666666666661</v>
      </c>
      <c r="G25" s="127">
        <v>103.33</v>
      </c>
      <c r="H25" s="127">
        <v>200</v>
      </c>
      <c r="I25" s="127"/>
      <c r="J25" s="127"/>
      <c r="K25" s="127"/>
      <c r="L25" s="127"/>
      <c r="M25" s="127">
        <v>43.33</v>
      </c>
      <c r="N25" s="127">
        <v>309.99999999999989</v>
      </c>
      <c r="O25" s="127">
        <v>5296.67</v>
      </c>
      <c r="P25" s="164"/>
      <c r="Q25" s="24">
        <f t="shared" si="16"/>
        <v>10436.663333333334</v>
      </c>
      <c r="R25" s="127">
        <f t="shared" si="5"/>
        <v>9574.9204892966354</v>
      </c>
      <c r="S25" s="5">
        <f t="shared" si="18"/>
        <v>861.74284403669844</v>
      </c>
      <c r="T25" s="94">
        <f t="shared" si="17"/>
        <v>34.788877777777778</v>
      </c>
      <c r="U25" s="71"/>
      <c r="V25" s="61"/>
      <c r="W25" s="13"/>
    </row>
    <row r="26" spans="1:38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v>51.666666666666657</v>
      </c>
      <c r="F26" s="127">
        <v>3688.3333333333326</v>
      </c>
      <c r="G26" s="127">
        <v>299.99999999999994</v>
      </c>
      <c r="H26" s="127">
        <f>300+206.67</f>
        <v>506.66999999999996</v>
      </c>
      <c r="I26" s="127"/>
      <c r="J26" s="127"/>
      <c r="K26" s="127"/>
      <c r="L26" s="127"/>
      <c r="M26" s="127">
        <v>51.67</v>
      </c>
      <c r="N26" s="127">
        <v>0</v>
      </c>
      <c r="O26" s="127">
        <v>921.67</v>
      </c>
      <c r="P26" s="164"/>
      <c r="Q26" s="24">
        <f t="shared" si="16"/>
        <v>5520.0099999999993</v>
      </c>
      <c r="R26" s="127">
        <f t="shared" si="5"/>
        <v>5064.2293577981645</v>
      </c>
      <c r="S26" s="5">
        <f t="shared" si="18"/>
        <v>455.78064220183478</v>
      </c>
      <c r="T26" s="94">
        <f t="shared" si="17"/>
        <v>36.800066666666659</v>
      </c>
      <c r="U26" s="71"/>
      <c r="V26" s="61">
        <v>150</v>
      </c>
      <c r="W26" s="13">
        <f t="shared" ref="W26:W42" si="21">+T26*V26</f>
        <v>5520.0099999999984</v>
      </c>
    </row>
    <row r="27" spans="1:38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781.33</v>
      </c>
      <c r="F27" s="127">
        <v>11456</v>
      </c>
      <c r="G27" s="127">
        <v>1324</v>
      </c>
      <c r="H27" s="127">
        <f>900+392.67</f>
        <v>1292.67</v>
      </c>
      <c r="I27" s="127"/>
      <c r="J27" s="127"/>
      <c r="K27" s="127"/>
      <c r="L27" s="127"/>
      <c r="M27" s="127">
        <v>227.33</v>
      </c>
      <c r="N27" s="127">
        <v>356</v>
      </c>
      <c r="O27" s="127">
        <v>9712</v>
      </c>
      <c r="P27" s="164"/>
      <c r="Q27" s="24">
        <f t="shared" si="16"/>
        <v>25149.33</v>
      </c>
      <c r="R27" s="127">
        <f t="shared" si="5"/>
        <v>23072.779816513761</v>
      </c>
      <c r="S27" s="5">
        <f t="shared" si="18"/>
        <v>2076.5501834862407</v>
      </c>
      <c r="T27" s="94">
        <f t="shared" si="17"/>
        <v>419.15550000000002</v>
      </c>
      <c r="U27" s="71"/>
      <c r="V27" s="61">
        <v>240</v>
      </c>
      <c r="W27" s="13">
        <f t="shared" si="21"/>
        <v>100597.32</v>
      </c>
    </row>
    <row r="28" spans="1:38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/>
      <c r="F28" s="127">
        <v>1164</v>
      </c>
      <c r="G28" s="127">
        <v>93</v>
      </c>
      <c r="H28" s="127">
        <f>93+78</f>
        <v>171</v>
      </c>
      <c r="I28" s="127"/>
      <c r="J28" s="127"/>
      <c r="K28" s="127"/>
      <c r="L28" s="127"/>
      <c r="M28" s="127"/>
      <c r="N28" s="127">
        <v>0</v>
      </c>
      <c r="O28" s="127">
        <v>8904</v>
      </c>
      <c r="P28" s="164"/>
      <c r="Q28" s="24">
        <f t="shared" si="16"/>
        <v>10332</v>
      </c>
      <c r="R28" s="127">
        <f t="shared" si="5"/>
        <v>9478.899082568807</v>
      </c>
      <c r="S28" s="5">
        <f t="shared" si="18"/>
        <v>853.10091743119301</v>
      </c>
      <c r="T28" s="94">
        <f t="shared" si="17"/>
        <v>38.266666666666666</v>
      </c>
      <c r="U28" s="71"/>
      <c r="V28" s="61"/>
      <c r="W28" s="13"/>
    </row>
    <row r="29" spans="1:38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>
        <v>46.5</v>
      </c>
      <c r="F29" s="127">
        <v>84</v>
      </c>
      <c r="G29" s="127"/>
      <c r="H29" s="127">
        <f>45+93</f>
        <v>138</v>
      </c>
      <c r="I29" s="127"/>
      <c r="J29" s="127"/>
      <c r="K29" s="127"/>
      <c r="L29" s="127"/>
      <c r="M29" s="127"/>
      <c r="N29" s="127">
        <v>0</v>
      </c>
      <c r="O29" s="127">
        <v>0</v>
      </c>
      <c r="P29" s="164"/>
      <c r="Q29" s="24">
        <f t="shared" si="16"/>
        <v>268.5</v>
      </c>
      <c r="R29" s="127">
        <f t="shared" si="5"/>
        <v>246.33027522935777</v>
      </c>
      <c r="S29" s="5">
        <f t="shared" si="18"/>
        <v>22.169724770642233</v>
      </c>
      <c r="T29" s="94">
        <f t="shared" si="17"/>
        <v>1.9888888888888889</v>
      </c>
      <c r="U29" s="71"/>
      <c r="V29" s="61">
        <v>135</v>
      </c>
      <c r="W29" s="13">
        <f t="shared" si="21"/>
        <v>268.5</v>
      </c>
    </row>
    <row r="30" spans="1:38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37.200000000000003</v>
      </c>
      <c r="F30" s="127">
        <v>502.2</v>
      </c>
      <c r="G30" s="127">
        <v>93</v>
      </c>
      <c r="H30" s="127">
        <f>36+18.6</f>
        <v>54.6</v>
      </c>
      <c r="I30" s="127"/>
      <c r="J30" s="127"/>
      <c r="K30" s="127"/>
      <c r="L30" s="127"/>
      <c r="M30" s="127">
        <v>18.600000000000001</v>
      </c>
      <c r="N30" s="127">
        <v>55.800000000000004</v>
      </c>
      <c r="O30" s="127">
        <f>1201.8-18.6</f>
        <v>1183.2</v>
      </c>
      <c r="P30" s="164"/>
      <c r="Q30" s="24">
        <f t="shared" si="16"/>
        <v>1944.6</v>
      </c>
      <c r="R30" s="127">
        <f t="shared" si="5"/>
        <v>1784.0366972477061</v>
      </c>
      <c r="S30" s="5">
        <f t="shared" si="18"/>
        <v>160.56330275229379</v>
      </c>
      <c r="T30" s="94">
        <f t="shared" si="17"/>
        <v>36.011111111111113</v>
      </c>
      <c r="U30" s="71"/>
      <c r="V30" s="61">
        <v>216</v>
      </c>
      <c r="W30" s="13">
        <f t="shared" si="21"/>
        <v>7778.4000000000005</v>
      </c>
    </row>
    <row r="31" spans="1:38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103.33333333333331</v>
      </c>
      <c r="F31" s="127">
        <v>206.66666666666663</v>
      </c>
      <c r="G31" s="127"/>
      <c r="H31" s="127">
        <v>13.33</v>
      </c>
      <c r="I31" s="127"/>
      <c r="J31" s="127"/>
      <c r="K31" s="127"/>
      <c r="L31" s="127"/>
      <c r="M31" s="127"/>
      <c r="N31" s="127">
        <v>0</v>
      </c>
      <c r="O31" s="127">
        <v>206.67</v>
      </c>
      <c r="P31" s="164"/>
      <c r="Q31" s="24">
        <f t="shared" si="16"/>
        <v>529.99999999999989</v>
      </c>
      <c r="R31" s="127">
        <f t="shared" si="5"/>
        <v>486.23853211009163</v>
      </c>
      <c r="S31" s="5">
        <f t="shared" si="18"/>
        <v>43.761467889908261</v>
      </c>
      <c r="T31" s="94">
        <f t="shared" si="17"/>
        <v>0.88333333333333319</v>
      </c>
      <c r="U31" s="71"/>
      <c r="V31" s="61"/>
      <c r="W31" s="13"/>
    </row>
    <row r="32" spans="1:38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413.33333333333326</v>
      </c>
      <c r="G32" s="127">
        <v>154.99999999999997</v>
      </c>
      <c r="H32" s="127">
        <f>50+51.67+155+30</f>
        <v>286.67</v>
      </c>
      <c r="I32" s="127"/>
      <c r="J32" s="127"/>
      <c r="K32" s="127"/>
      <c r="L32" s="127"/>
      <c r="M32" s="127"/>
      <c r="N32" s="127">
        <v>0</v>
      </c>
      <c r="O32" s="127">
        <v>155</v>
      </c>
      <c r="P32" s="164"/>
      <c r="Q32" s="24">
        <f t="shared" si="16"/>
        <v>1010.0033333333333</v>
      </c>
      <c r="R32" s="127">
        <f t="shared" si="5"/>
        <v>926.6085626911314</v>
      </c>
      <c r="S32" s="5">
        <f t="shared" si="18"/>
        <v>83.394770642201934</v>
      </c>
      <c r="T32" s="94">
        <f t="shared" si="17"/>
        <v>3.3666777777777779</v>
      </c>
      <c r="U32" s="71"/>
      <c r="V32" s="61">
        <v>300</v>
      </c>
      <c r="W32" s="13">
        <f t="shared" si="21"/>
        <v>1010.0033333333333</v>
      </c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158.66999999999999</v>
      </c>
      <c r="F33" s="127">
        <v>1160.67</v>
      </c>
      <c r="G33" s="127">
        <v>144.66999999999999</v>
      </c>
      <c r="H33" s="127">
        <f>40+20.67</f>
        <v>60.67</v>
      </c>
      <c r="I33" s="127"/>
      <c r="J33" s="127"/>
      <c r="K33" s="127"/>
      <c r="L33" s="127"/>
      <c r="M33" s="127">
        <v>24.67</v>
      </c>
      <c r="N33" s="127">
        <v>20.666666666666668</v>
      </c>
      <c r="O33" s="127">
        <v>1258.67</v>
      </c>
      <c r="P33" s="164"/>
      <c r="Q33" s="24">
        <f t="shared" si="16"/>
        <v>2828.6866666666674</v>
      </c>
      <c r="R33" s="127">
        <f t="shared" si="5"/>
        <v>2595.1253822629974</v>
      </c>
      <c r="S33" s="5">
        <f t="shared" si="18"/>
        <v>233.56128440367002</v>
      </c>
      <c r="T33" s="94">
        <f t="shared" si="17"/>
        <v>23.572388888888895</v>
      </c>
      <c r="U33" s="71"/>
      <c r="V33" s="61">
        <v>480</v>
      </c>
      <c r="W33" s="13">
        <f t="shared" si="21"/>
        <v>11314.74666666667</v>
      </c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0</v>
      </c>
      <c r="O34" s="127">
        <v>372</v>
      </c>
      <c r="P34" s="164"/>
      <c r="Q34" s="24">
        <f t="shared" si="16"/>
        <v>372</v>
      </c>
      <c r="R34" s="127">
        <f t="shared" si="5"/>
        <v>341.28440366972472</v>
      </c>
      <c r="S34" s="5">
        <f t="shared" si="18"/>
        <v>30.715596330275275</v>
      </c>
      <c r="T34" s="94">
        <f t="shared" si="17"/>
        <v>0.68888888888888888</v>
      </c>
      <c r="U34" s="71"/>
      <c r="V34" s="61"/>
      <c r="W34" s="13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/>
      <c r="H35" s="127"/>
      <c r="I35" s="127"/>
      <c r="J35" s="127"/>
      <c r="K35" s="127"/>
      <c r="L35" s="127"/>
      <c r="M35" s="127"/>
      <c r="N35" s="127">
        <v>0</v>
      </c>
      <c r="O35" s="127"/>
      <c r="P35" s="164"/>
      <c r="Q35" s="24">
        <f t="shared" si="16"/>
        <v>0</v>
      </c>
      <c r="R35" s="127">
        <f t="shared" si="5"/>
        <v>0</v>
      </c>
      <c r="S35" s="5">
        <f t="shared" si="18"/>
        <v>0</v>
      </c>
      <c r="T35" s="94">
        <f t="shared" si="17"/>
        <v>0</v>
      </c>
      <c r="U35" s="71"/>
      <c r="V35" s="61">
        <v>270</v>
      </c>
      <c r="W35" s="13">
        <f t="shared" si="21"/>
        <v>0</v>
      </c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37.200000000000003</v>
      </c>
      <c r="F36" s="127">
        <v>18.600000000000001</v>
      </c>
      <c r="G36" s="127"/>
      <c r="H36" s="127">
        <v>18</v>
      </c>
      <c r="I36" s="127"/>
      <c r="J36" s="127"/>
      <c r="K36" s="127"/>
      <c r="L36" s="127"/>
      <c r="M36" s="127">
        <v>41.33</v>
      </c>
      <c r="N36" s="127">
        <v>18.600000000000001</v>
      </c>
      <c r="O36" s="127">
        <v>37.200000000000003</v>
      </c>
      <c r="P36" s="164"/>
      <c r="Q36" s="24">
        <f t="shared" si="16"/>
        <v>170.93</v>
      </c>
      <c r="R36" s="127">
        <f t="shared" si="5"/>
        <v>156.81651376146789</v>
      </c>
      <c r="S36" s="5">
        <f t="shared" si="18"/>
        <v>14.113486238532118</v>
      </c>
      <c r="T36" s="94">
        <f t="shared" si="17"/>
        <v>1.5826851851851853</v>
      </c>
      <c r="U36" s="71"/>
      <c r="V36" s="61">
        <v>432</v>
      </c>
      <c r="W36" s="13">
        <f t="shared" si="21"/>
        <v>683.72</v>
      </c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/>
      <c r="F37" s="127">
        <v>103.33333333333331</v>
      </c>
      <c r="G37" s="127"/>
      <c r="H37" s="127">
        <v>206.67</v>
      </c>
      <c r="I37" s="127"/>
      <c r="J37" s="127"/>
      <c r="K37" s="127"/>
      <c r="L37" s="127"/>
      <c r="M37" s="127"/>
      <c r="N37" s="127">
        <v>0</v>
      </c>
      <c r="O37" s="127">
        <v>103.33</v>
      </c>
      <c r="P37" s="164"/>
      <c r="Q37" s="24">
        <f t="shared" si="16"/>
        <v>413.33333333333331</v>
      </c>
      <c r="R37" s="127">
        <f t="shared" si="5"/>
        <v>379.20489296636083</v>
      </c>
      <c r="S37" s="5">
        <f t="shared" si="18"/>
        <v>34.128440366972484</v>
      </c>
      <c r="T37" s="94">
        <f t="shared" si="17"/>
        <v>0.45925925925925926</v>
      </c>
      <c r="U37" s="71"/>
      <c r="V37" s="61"/>
      <c r="W37" s="13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/>
      <c r="F38" s="127">
        <v>206.66666666666663</v>
      </c>
      <c r="G38" s="127"/>
      <c r="H38" s="127"/>
      <c r="I38" s="127"/>
      <c r="J38" s="127"/>
      <c r="K38" s="127"/>
      <c r="L38" s="127"/>
      <c r="M38" s="127"/>
      <c r="N38" s="127">
        <v>0</v>
      </c>
      <c r="O38" s="127"/>
      <c r="P38" s="164"/>
      <c r="Q38" s="24">
        <f t="shared" si="16"/>
        <v>206.66666666666663</v>
      </c>
      <c r="R38" s="127">
        <f t="shared" si="5"/>
        <v>189.60244648318039</v>
      </c>
      <c r="S38" s="5">
        <f t="shared" si="18"/>
        <v>17.064220183486242</v>
      </c>
      <c r="T38" s="94">
        <f t="shared" si="17"/>
        <v>0.4592592592592592</v>
      </c>
      <c r="U38" s="71"/>
      <c r="V38" s="61">
        <v>450</v>
      </c>
      <c r="W38" s="13">
        <f t="shared" si="21"/>
        <v>206.66666666666663</v>
      </c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144.66999999999999</v>
      </c>
      <c r="F39" s="127">
        <v>2009.33</v>
      </c>
      <c r="G39" s="127">
        <v>289.33</v>
      </c>
      <c r="H39" s="127">
        <f>140+41.33+20.67+20.67+20.67</f>
        <v>243.34000000000003</v>
      </c>
      <c r="I39" s="127"/>
      <c r="J39" s="127"/>
      <c r="K39" s="127"/>
      <c r="L39" s="127"/>
      <c r="M39" s="127"/>
      <c r="N39" s="127">
        <v>41.333333333333336</v>
      </c>
      <c r="O39" s="127">
        <v>2267.33</v>
      </c>
      <c r="P39" s="164"/>
      <c r="Q39" s="24">
        <f t="shared" si="16"/>
        <v>4995.3333333333339</v>
      </c>
      <c r="R39" s="127">
        <f t="shared" si="5"/>
        <v>4582.8746177370031</v>
      </c>
      <c r="S39" s="5">
        <f t="shared" si="18"/>
        <v>412.45871559633088</v>
      </c>
      <c r="T39" s="94">
        <f t="shared" si="17"/>
        <v>27.751851851851857</v>
      </c>
      <c r="U39" s="71"/>
      <c r="V39" s="61">
        <v>720</v>
      </c>
      <c r="W39" s="13">
        <f t="shared" si="21"/>
        <v>19981.333333333336</v>
      </c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0</v>
      </c>
      <c r="O40" s="127">
        <v>672</v>
      </c>
      <c r="P40" s="164"/>
      <c r="Q40" s="24">
        <f t="shared" si="16"/>
        <v>672</v>
      </c>
      <c r="R40" s="127">
        <f t="shared" si="5"/>
        <v>616.51376146788982</v>
      </c>
      <c r="S40" s="5">
        <f t="shared" si="18"/>
        <v>55.486238532110178</v>
      </c>
      <c r="T40" s="94">
        <f t="shared" si="17"/>
        <v>0.82962962962962961</v>
      </c>
      <c r="U40" s="71"/>
      <c r="V40" s="61"/>
      <c r="W40" s="13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>
        <v>0</v>
      </c>
      <c r="O41" s="127">
        <v>46.5</v>
      </c>
      <c r="P41" s="164"/>
      <c r="Q41" s="24">
        <f t="shared" si="16"/>
        <v>46.5</v>
      </c>
      <c r="R41" s="127">
        <f t="shared" si="5"/>
        <v>42.660550458715591</v>
      </c>
      <c r="S41" s="5">
        <f t="shared" si="18"/>
        <v>3.8394495412844094</v>
      </c>
      <c r="T41" s="94">
        <f t="shared" si="17"/>
        <v>0.11481481481481481</v>
      </c>
      <c r="U41" s="71"/>
      <c r="V41" s="61">
        <v>405</v>
      </c>
      <c r="W41" s="13">
        <f t="shared" si="21"/>
        <v>46.5</v>
      </c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>
        <v>148.80000000000001</v>
      </c>
      <c r="G42" s="221"/>
      <c r="H42" s="221">
        <v>18</v>
      </c>
      <c r="I42" s="221"/>
      <c r="J42" s="221"/>
      <c r="K42" s="221"/>
      <c r="L42" s="221"/>
      <c r="M42" s="221"/>
      <c r="N42" s="221">
        <v>74.400000000000006</v>
      </c>
      <c r="O42" s="221">
        <v>390.6</v>
      </c>
      <c r="P42" s="351"/>
      <c r="Q42" s="24">
        <f t="shared" si="16"/>
        <v>631.80000000000007</v>
      </c>
      <c r="R42" s="221">
        <f t="shared" si="5"/>
        <v>579.63302752293578</v>
      </c>
      <c r="S42" s="26">
        <f t="shared" si="18"/>
        <v>52.166972477064292</v>
      </c>
      <c r="T42" s="244">
        <f t="shared" si="17"/>
        <v>3.9000000000000004</v>
      </c>
      <c r="U42" s="71"/>
      <c r="V42" s="61">
        <v>648</v>
      </c>
      <c r="W42" s="13">
        <f t="shared" si="21"/>
        <v>2527.2000000000003</v>
      </c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163.06849315068499</v>
      </c>
      <c r="F43" s="124">
        <v>12360.931506849118</v>
      </c>
      <c r="G43" s="124">
        <v>1618.8</v>
      </c>
      <c r="H43" s="124">
        <f>60.82+46.71+61.15+67.1+73.04+114.66+169.01+262.44+1417.51</f>
        <v>2272.44</v>
      </c>
      <c r="I43" s="124"/>
      <c r="J43" s="124"/>
      <c r="K43" s="124"/>
      <c r="L43" s="124"/>
      <c r="M43" s="124">
        <v>38.22</v>
      </c>
      <c r="N43" s="124">
        <v>0.84931506849315075</v>
      </c>
      <c r="O43" s="124">
        <v>28.03</v>
      </c>
      <c r="P43" s="352"/>
      <c r="Q43" s="24">
        <f t="shared" si="16"/>
        <v>16482.339315068293</v>
      </c>
      <c r="R43" s="124">
        <f t="shared" si="5"/>
        <v>15121.412215658984</v>
      </c>
      <c r="S43" s="6">
        <f t="shared" si="18"/>
        <v>1360.9270994093094</v>
      </c>
      <c r="T43" s="22">
        <f t="shared" si="17"/>
        <v>1648.2339315068293</v>
      </c>
      <c r="U43" s="71"/>
      <c r="V43" s="61"/>
      <c r="W43" s="13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651.83000000000015</v>
      </c>
      <c r="F44" s="82">
        <f>+SUM(F45:F53)</f>
        <v>11441.189999999999</v>
      </c>
      <c r="G44" s="82">
        <f t="shared" ref="G44:T44" si="22">+SUM(G45:G53)</f>
        <v>1890.29</v>
      </c>
      <c r="H44" s="82">
        <f t="shared" si="22"/>
        <v>249.85999999999999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112.3</v>
      </c>
      <c r="N44" s="100">
        <f t="shared" si="22"/>
        <v>266.28000000000003</v>
      </c>
      <c r="O44" s="100">
        <f t="shared" si="22"/>
        <v>962.6</v>
      </c>
      <c r="P44" s="100">
        <f t="shared" si="22"/>
        <v>0</v>
      </c>
      <c r="Q44" s="42">
        <f t="shared" si="22"/>
        <v>15574.350000000002</v>
      </c>
      <c r="R44" s="82">
        <f t="shared" si="22"/>
        <v>14288.394495412846</v>
      </c>
      <c r="S44" s="77">
        <f t="shared" si="22"/>
        <v>1285.9555045871571</v>
      </c>
      <c r="T44" s="44">
        <f t="shared" si="22"/>
        <v>650.40000000000009</v>
      </c>
      <c r="U44" s="71"/>
      <c r="V44" s="61"/>
      <c r="W44" s="105">
        <f>+SUM(W45:W61)</f>
        <v>8332.0499999999993</v>
      </c>
    </row>
    <row r="45" spans="1:25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64"/>
      <c r="Q45" s="24">
        <f t="shared" ref="Q45:Q53" si="23">+SUM(E45:P45)</f>
        <v>0</v>
      </c>
      <c r="R45" s="127">
        <f t="shared" si="5"/>
        <v>0</v>
      </c>
      <c r="S45" s="24">
        <f t="shared" ref="S45:S53" si="24">+Q45-R45</f>
        <v>0</v>
      </c>
      <c r="T45" s="94">
        <f t="shared" ref="T45:T53" si="25">+Q45/D45</f>
        <v>0</v>
      </c>
      <c r="U45" s="71"/>
      <c r="V45" s="61"/>
      <c r="W45" s="13"/>
      <c r="X45" s="2">
        <f>+R_2014_9_iškelta!Q45-'R_2014_10_atkelta(viso)'!Q45</f>
        <v>0</v>
      </c>
      <c r="Y45" s="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64"/>
      <c r="Q46" s="24">
        <f t="shared" si="23"/>
        <v>0</v>
      </c>
      <c r="R46" s="127">
        <f t="shared" si="5"/>
        <v>0</v>
      </c>
      <c r="S46" s="5">
        <f t="shared" si="24"/>
        <v>0</v>
      </c>
      <c r="T46" s="94">
        <f t="shared" si="25"/>
        <v>0</v>
      </c>
      <c r="U46" s="71"/>
      <c r="V46" s="61">
        <v>6</v>
      </c>
      <c r="W46" s="13">
        <f t="shared" ref="W46:W47" si="26">+T46*V46</f>
        <v>0</v>
      </c>
      <c r="X46" s="2">
        <f>+R_2014_9_iškelta!Q46-'R_2014_10_atkelta(viso)'!Q46</f>
        <v>0</v>
      </c>
      <c r="Y46" s="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64"/>
      <c r="Q47" s="24">
        <f t="shared" si="23"/>
        <v>0</v>
      </c>
      <c r="R47" s="127">
        <f t="shared" si="5"/>
        <v>0</v>
      </c>
      <c r="S47" s="5">
        <f t="shared" si="24"/>
        <v>0</v>
      </c>
      <c r="T47" s="94">
        <f t="shared" si="25"/>
        <v>0</v>
      </c>
      <c r="U47" s="71"/>
      <c r="V47" s="61">
        <v>9.6</v>
      </c>
      <c r="W47" s="13">
        <f t="shared" si="26"/>
        <v>0</v>
      </c>
      <c r="X47" s="2">
        <f>+R_2014_9_iškelta!Q47-'R_2014_10_atkelta(viso)'!Q47</f>
        <v>0</v>
      </c>
      <c r="Y47" s="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49</v>
      </c>
      <c r="F48" s="127">
        <v>553</v>
      </c>
      <c r="G48" s="127">
        <v>49</v>
      </c>
      <c r="H48" s="127"/>
      <c r="I48" s="127"/>
      <c r="J48" s="127"/>
      <c r="K48" s="127"/>
      <c r="L48" s="127"/>
      <c r="M48" s="127">
        <v>28</v>
      </c>
      <c r="N48" s="127">
        <v>14</v>
      </c>
      <c r="O48" s="127">
        <v>42</v>
      </c>
      <c r="P48" s="164"/>
      <c r="Q48" s="24">
        <f t="shared" si="23"/>
        <v>735</v>
      </c>
      <c r="R48" s="127">
        <f t="shared" si="5"/>
        <v>674.31192660550448</v>
      </c>
      <c r="S48" s="5">
        <f t="shared" si="24"/>
        <v>60.688073394495518</v>
      </c>
      <c r="T48" s="94">
        <f t="shared" si="25"/>
        <v>35</v>
      </c>
      <c r="U48" s="71"/>
      <c r="V48" s="61"/>
      <c r="W48" s="13"/>
      <c r="X48" s="2">
        <f>+R_2014_9_iškelta!Q48-'R_2014_10_atkelta(viso)'!Q48</f>
        <v>0</v>
      </c>
      <c r="Y48" s="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70</v>
      </c>
      <c r="G49" s="127">
        <v>17.5</v>
      </c>
      <c r="H49" s="127"/>
      <c r="I49" s="127"/>
      <c r="J49" s="127"/>
      <c r="K49" s="127"/>
      <c r="L49" s="127"/>
      <c r="M49" s="127">
        <v>10.5</v>
      </c>
      <c r="N49" s="127">
        <v>0</v>
      </c>
      <c r="O49" s="127"/>
      <c r="P49" s="164"/>
      <c r="Q49" s="24">
        <f t="shared" si="23"/>
        <v>98</v>
      </c>
      <c r="R49" s="127">
        <f t="shared" si="5"/>
        <v>89.908256880733944</v>
      </c>
      <c r="S49" s="5">
        <f t="shared" si="24"/>
        <v>8.0917431192660558</v>
      </c>
      <c r="T49" s="94">
        <f t="shared" si="25"/>
        <v>9.3333333333333339</v>
      </c>
      <c r="U49" s="71"/>
      <c r="V49" s="61">
        <v>10.5</v>
      </c>
      <c r="W49" s="13">
        <f t="shared" ref="W49:W50" si="27">+T49*V49</f>
        <v>98</v>
      </c>
      <c r="X49" s="2">
        <f>+R_2014_9_iškelta!Q49-'R_2014_10_atkelta(viso)'!Q49</f>
        <v>0</v>
      </c>
      <c r="Y49" s="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11.2</v>
      </c>
      <c r="F50" s="127">
        <v>289.8</v>
      </c>
      <c r="G50" s="127">
        <v>44.8</v>
      </c>
      <c r="H50" s="127">
        <v>1.4</v>
      </c>
      <c r="I50" s="127"/>
      <c r="J50" s="127"/>
      <c r="K50" s="127"/>
      <c r="L50" s="127"/>
      <c r="M50" s="127"/>
      <c r="N50" s="127">
        <v>11.200000000000001</v>
      </c>
      <c r="O50" s="127">
        <v>35</v>
      </c>
      <c r="P50" s="164"/>
      <c r="Q50" s="24">
        <f t="shared" si="23"/>
        <v>393.4</v>
      </c>
      <c r="R50" s="127">
        <f t="shared" si="5"/>
        <v>360.9174311926605</v>
      </c>
      <c r="S50" s="5">
        <f t="shared" si="24"/>
        <v>32.482568807339476</v>
      </c>
      <c r="T50" s="94">
        <f t="shared" si="25"/>
        <v>93.666666666666657</v>
      </c>
      <c r="U50" s="71"/>
      <c r="V50" s="61">
        <v>16.8</v>
      </c>
      <c r="W50" s="13">
        <f t="shared" si="27"/>
        <v>1573.6</v>
      </c>
      <c r="X50" s="2">
        <f>+R_2014_9_iškelta!Q50-'R_2014_10_atkelta(viso)'!Q50</f>
        <v>0</v>
      </c>
      <c r="Y50" s="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492</v>
      </c>
      <c r="F51" s="127">
        <v>8802.7000000000007</v>
      </c>
      <c r="G51" s="127">
        <v>1463.7</v>
      </c>
      <c r="H51" s="127">
        <v>213.2</v>
      </c>
      <c r="I51" s="127"/>
      <c r="J51" s="127"/>
      <c r="K51" s="127"/>
      <c r="L51" s="127"/>
      <c r="M51" s="127">
        <v>73.8</v>
      </c>
      <c r="N51" s="127">
        <v>192.70000000000002</v>
      </c>
      <c r="O51" s="127">
        <v>742.1</v>
      </c>
      <c r="P51" s="164"/>
      <c r="Q51" s="24">
        <f t="shared" si="23"/>
        <v>11980.200000000003</v>
      </c>
      <c r="R51" s="127">
        <f t="shared" si="5"/>
        <v>10991.009174311928</v>
      </c>
      <c r="S51" s="5">
        <f t="shared" si="24"/>
        <v>989.19082568807426</v>
      </c>
      <c r="T51" s="94">
        <f t="shared" si="25"/>
        <v>292.20000000000005</v>
      </c>
      <c r="U51" s="71"/>
      <c r="V51" s="61"/>
      <c r="W51" s="13"/>
      <c r="X51" s="2">
        <f>+R_2014_9_iškelta!Q51-'R_2014_10_atkelta(viso)'!Q51</f>
        <v>0</v>
      </c>
      <c r="Y51" s="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18.45</v>
      </c>
      <c r="F52" s="123">
        <v>719.55</v>
      </c>
      <c r="G52" s="123">
        <v>170.15</v>
      </c>
      <c r="H52" s="123">
        <v>28.7</v>
      </c>
      <c r="I52" s="123"/>
      <c r="J52" s="123"/>
      <c r="K52" s="123"/>
      <c r="L52" s="127"/>
      <c r="M52" s="127"/>
      <c r="N52" s="127">
        <v>0</v>
      </c>
      <c r="O52" s="123">
        <v>0</v>
      </c>
      <c r="P52" s="164"/>
      <c r="Q52" s="24">
        <f t="shared" si="23"/>
        <v>936.85</v>
      </c>
      <c r="R52" s="127">
        <f t="shared" si="5"/>
        <v>859.49541284403665</v>
      </c>
      <c r="S52" s="5">
        <f t="shared" si="24"/>
        <v>77.354587155963372</v>
      </c>
      <c r="T52" s="94">
        <f t="shared" si="25"/>
        <v>45.7</v>
      </c>
      <c r="U52" s="71"/>
      <c r="V52" s="61">
        <v>20.5</v>
      </c>
      <c r="W52" s="13">
        <f t="shared" ref="W52:W53" si="28">+T52*V52</f>
        <v>936.85</v>
      </c>
      <c r="X52" s="2">
        <f>+R_2014_9_iškelta!Q52-'R_2014_10_atkelta(viso)'!Q52</f>
        <v>0</v>
      </c>
      <c r="Y52" s="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81.180000000000007</v>
      </c>
      <c r="F53" s="199">
        <v>1006.14</v>
      </c>
      <c r="G53" s="199">
        <v>145.13999999999999</v>
      </c>
      <c r="H53" s="199">
        <v>6.56</v>
      </c>
      <c r="I53" s="199"/>
      <c r="J53" s="199"/>
      <c r="K53" s="199"/>
      <c r="L53" s="199"/>
      <c r="M53" s="148"/>
      <c r="N53" s="148">
        <v>48.38000000000001</v>
      </c>
      <c r="O53" s="199">
        <v>143.5</v>
      </c>
      <c r="P53" s="353"/>
      <c r="Q53" s="359">
        <f t="shared" si="23"/>
        <v>1430.9</v>
      </c>
      <c r="R53" s="140">
        <f t="shared" si="5"/>
        <v>1312.7522935779816</v>
      </c>
      <c r="S53" s="6">
        <f t="shared" si="24"/>
        <v>118.14770642201847</v>
      </c>
      <c r="T53" s="22">
        <f t="shared" si="25"/>
        <v>174.50000000000003</v>
      </c>
      <c r="U53" s="71"/>
      <c r="V53" s="61">
        <v>32.799999999999997</v>
      </c>
      <c r="W53" s="13">
        <f t="shared" si="28"/>
        <v>5723.6</v>
      </c>
      <c r="X53" s="2">
        <f>+R_2014_9_iškelta!Q53-'R_2014_10_atkelta(viso)'!Q53</f>
        <v>0</v>
      </c>
      <c r="Y53" s="2"/>
    </row>
    <row r="54" spans="1:25" x14ac:dyDescent="0.25"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</row>
    <row r="66" spans="2:2" x14ac:dyDescent="0.25">
      <c r="B66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Z73"/>
  <sheetViews>
    <sheetView zoomScaleNormal="100" workbookViewId="0">
      <pane xSplit="4" ySplit="4" topLeftCell="R38" activePane="bottomRight" state="frozen"/>
      <selection pane="topRight" activeCell="E1" sqref="E1"/>
      <selection pane="bottomLeft" activeCell="A5" sqref="A5"/>
      <selection pane="bottomRight" activeCell="T45" sqref="T45:T53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3" style="1" customWidth="1"/>
    <col min="16" max="16" width="12.6640625" style="1" customWidth="1" outlineLevel="1"/>
    <col min="17" max="17" width="12.33203125" style="1" bestFit="1" customWidth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3320312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4" ht="21.6" customHeight="1" x14ac:dyDescent="0.3">
      <c r="A1" s="40" t="s">
        <v>484</v>
      </c>
      <c r="F1" s="104"/>
      <c r="K1" s="2"/>
      <c r="L1" s="2"/>
      <c r="M1" s="2"/>
      <c r="N1" s="2"/>
      <c r="O1" s="2"/>
      <c r="P1" s="2"/>
    </row>
    <row r="2" spans="1:24" ht="18" customHeight="1" x14ac:dyDescent="0.25">
      <c r="A2" s="1" t="s">
        <v>169</v>
      </c>
      <c r="D2" s="3"/>
      <c r="E2" s="2"/>
      <c r="F2" s="2"/>
      <c r="G2" s="2"/>
      <c r="H2" s="2"/>
      <c r="I2" s="3"/>
      <c r="J2" s="3"/>
      <c r="M2" s="104"/>
      <c r="O2" s="104"/>
      <c r="R2" s="3"/>
      <c r="T2" s="3"/>
    </row>
    <row r="3" spans="1:24" ht="25.8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4" ht="25.8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117545.54570776252</v>
      </c>
      <c r="F5" s="82">
        <f t="shared" si="0"/>
        <v>2189544.685022831</v>
      </c>
      <c r="G5" s="82">
        <f t="shared" si="0"/>
        <v>330877.20999999996</v>
      </c>
      <c r="H5" s="82">
        <f t="shared" si="0"/>
        <v>62697.515799086745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T5" si="1">+M6+M18+M44</f>
        <v>39909.74</v>
      </c>
      <c r="N5" s="192">
        <f>+N6+N18+N44</f>
        <v>19722.59</v>
      </c>
      <c r="O5" s="187">
        <f t="shared" si="1"/>
        <v>237664.33000000007</v>
      </c>
      <c r="P5" s="77">
        <f t="shared" si="1"/>
        <v>0</v>
      </c>
      <c r="Q5" s="42">
        <f t="shared" ref="Q5:Q10" si="2">+SUM(E5:P5)</f>
        <v>2997961.6165296803</v>
      </c>
      <c r="R5" s="42">
        <f t="shared" si="1"/>
        <v>2750423.5014033765</v>
      </c>
      <c r="S5" s="42">
        <f t="shared" si="1"/>
        <v>247538.11512630412</v>
      </c>
      <c r="T5" s="42">
        <f t="shared" si="1"/>
        <v>53997.986188153249</v>
      </c>
      <c r="U5" s="71"/>
      <c r="V5" s="87"/>
      <c r="W5" s="135">
        <f>+W7+W18+W44</f>
        <v>2399386.9900000007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 t="shared" ref="M6:T6" si="4">+M7+M11</f>
        <v>0</v>
      </c>
      <c r="N6" s="192">
        <f>+N7+N11</f>
        <v>0</v>
      </c>
      <c r="O6" s="187">
        <f t="shared" si="4"/>
        <v>0</v>
      </c>
      <c r="P6" s="77">
        <f t="shared" si="4"/>
        <v>0</v>
      </c>
      <c r="Q6" s="42">
        <f t="shared" si="2"/>
        <v>0</v>
      </c>
      <c r="R6" s="42">
        <f t="shared" si="4"/>
        <v>0</v>
      </c>
      <c r="S6" s="42">
        <f t="shared" si="4"/>
        <v>0</v>
      </c>
      <c r="T6" s="44">
        <f t="shared" si="4"/>
        <v>0</v>
      </c>
      <c r="V6" s="61"/>
      <c r="W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:T7" si="6">+SUM(M8:M10)</f>
        <v>0</v>
      </c>
      <c r="N7" s="79">
        <f t="shared" si="6"/>
        <v>0</v>
      </c>
      <c r="O7" s="219">
        <f t="shared" si="6"/>
        <v>0</v>
      </c>
      <c r="P7" s="109">
        <f t="shared" si="6"/>
        <v>0</v>
      </c>
      <c r="Q7" s="43">
        <f t="shared" si="2"/>
        <v>0</v>
      </c>
      <c r="R7" s="79">
        <f t="shared" si="6"/>
        <v>0</v>
      </c>
      <c r="S7" s="79">
        <f t="shared" si="6"/>
        <v>0</v>
      </c>
      <c r="T7" s="226">
        <f t="shared" si="6"/>
        <v>0</v>
      </c>
      <c r="U7" s="71"/>
      <c r="V7" s="134"/>
      <c r="W7" s="105">
        <f>+SUM(W8:W17)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27"/>
      <c r="O8" s="17"/>
      <c r="P8" s="355"/>
      <c r="Q8" s="24">
        <f t="shared" si="2"/>
        <v>0</v>
      </c>
      <c r="R8" s="5">
        <f t="shared" ref="R8:R10" si="7">+Q8/1.09</f>
        <v>0</v>
      </c>
      <c r="S8" s="5">
        <f t="shared" ref="S8:S10" si="8">+Q8-R8</f>
        <v>0</v>
      </c>
      <c r="T8" s="21">
        <f>Q8/D8</f>
        <v>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9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27"/>
      <c r="O9" s="196"/>
      <c r="P9" s="350"/>
      <c r="Q9" s="24">
        <f t="shared" si="2"/>
        <v>0</v>
      </c>
      <c r="R9" s="26">
        <f t="shared" si="7"/>
        <v>0</v>
      </c>
      <c r="S9" s="26">
        <f t="shared" si="8"/>
        <v>0</v>
      </c>
      <c r="T9" s="39">
        <f>Q9/D9</f>
        <v>0</v>
      </c>
      <c r="U9" s="71"/>
      <c r="V9" s="61">
        <v>1.75</v>
      </c>
      <c r="W9" s="13">
        <f>+T9*V9</f>
        <v>0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8"/>
      <c r="P10" s="360"/>
      <c r="Q10" s="24">
        <f t="shared" si="2"/>
        <v>0</v>
      </c>
      <c r="R10" s="6">
        <f t="shared" si="7"/>
        <v>0</v>
      </c>
      <c r="S10" s="6">
        <f t="shared" si="8"/>
        <v>0</v>
      </c>
      <c r="T10" s="22">
        <f>Q10/D10</f>
        <v>0</v>
      </c>
      <c r="U10" s="71"/>
      <c r="V10" s="107">
        <v>2.8</v>
      </c>
      <c r="W10" s="13">
        <f>+T10*V10</f>
        <v>0</v>
      </c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0">+SUM(E12:E17)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74">
        <f t="shared" si="10"/>
        <v>0</v>
      </c>
      <c r="K11" s="101">
        <f t="shared" si="10"/>
        <v>0</v>
      </c>
      <c r="L11" s="101"/>
      <c r="M11" s="101">
        <f t="shared" ref="M11:T11" si="11">+SUM(M12:M17)</f>
        <v>0</v>
      </c>
      <c r="N11" s="101">
        <f t="shared" si="11"/>
        <v>0</v>
      </c>
      <c r="O11" s="16">
        <f t="shared" si="11"/>
        <v>0</v>
      </c>
      <c r="P11" s="74">
        <f t="shared" si="11"/>
        <v>0</v>
      </c>
      <c r="Q11" s="43">
        <f t="shared" si="11"/>
        <v>0</v>
      </c>
      <c r="R11" s="43">
        <f t="shared" si="11"/>
        <v>0</v>
      </c>
      <c r="S11" s="43">
        <f t="shared" si="11"/>
        <v>0</v>
      </c>
      <c r="T11" s="45">
        <f t="shared" si="11"/>
        <v>0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27"/>
      <c r="O12" s="13"/>
      <c r="P12" s="357"/>
      <c r="Q12" s="24">
        <f t="shared" ref="Q12:Q17" si="12">+SUM(E12:P12)</f>
        <v>0</v>
      </c>
      <c r="R12" s="5">
        <f t="shared" ref="R12:R17" si="13">+Q12/1.09</f>
        <v>0</v>
      </c>
      <c r="S12" s="5">
        <f t="shared" ref="S12:S17" si="14">+Q12-R12</f>
        <v>0</v>
      </c>
      <c r="T12" s="21">
        <f t="shared" ref="T12:T17" si="15">Q12/D12</f>
        <v>0</v>
      </c>
      <c r="U12" s="2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27"/>
      <c r="O13" s="13"/>
      <c r="P13" s="357"/>
      <c r="Q13" s="24">
        <f t="shared" si="12"/>
        <v>0</v>
      </c>
      <c r="R13" s="5">
        <f t="shared" si="13"/>
        <v>0</v>
      </c>
      <c r="S13" s="5">
        <f t="shared" si="14"/>
        <v>0</v>
      </c>
      <c r="T13" s="21">
        <f t="shared" si="15"/>
        <v>0</v>
      </c>
      <c r="U13" s="71"/>
      <c r="V13" s="107">
        <v>1.1000000000000001</v>
      </c>
      <c r="W13" s="13">
        <f t="shared" ref="W13:W14" si="16">+T13*V13</f>
        <v>0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27"/>
      <c r="O14" s="13"/>
      <c r="P14" s="357"/>
      <c r="Q14" s="24">
        <f t="shared" si="12"/>
        <v>0</v>
      </c>
      <c r="R14" s="5">
        <f t="shared" si="13"/>
        <v>0</v>
      </c>
      <c r="S14" s="5">
        <f t="shared" si="14"/>
        <v>0</v>
      </c>
      <c r="T14" s="21">
        <f t="shared" si="15"/>
        <v>0</v>
      </c>
      <c r="U14" s="71"/>
      <c r="V14" s="61">
        <v>1.76</v>
      </c>
      <c r="W14" s="13">
        <f t="shared" si="16"/>
        <v>0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27"/>
      <c r="O15" s="13"/>
      <c r="P15" s="357"/>
      <c r="Q15" s="24">
        <f t="shared" si="12"/>
        <v>0</v>
      </c>
      <c r="R15" s="5">
        <f t="shared" si="13"/>
        <v>0</v>
      </c>
      <c r="S15" s="5">
        <f t="shared" si="14"/>
        <v>0</v>
      </c>
      <c r="T15" s="21">
        <f t="shared" si="15"/>
        <v>0</v>
      </c>
      <c r="U15" s="71"/>
      <c r="V15" s="61"/>
      <c r="W15" s="13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27"/>
      <c r="O16" s="13"/>
      <c r="P16" s="357"/>
      <c r="Q16" s="24">
        <f t="shared" si="12"/>
        <v>0</v>
      </c>
      <c r="R16" s="5">
        <f t="shared" si="13"/>
        <v>0</v>
      </c>
      <c r="S16" s="5">
        <f t="shared" si="14"/>
        <v>0</v>
      </c>
      <c r="T16" s="21">
        <f t="shared" si="15"/>
        <v>0</v>
      </c>
      <c r="U16" s="71"/>
      <c r="V16" s="107">
        <v>1.6</v>
      </c>
      <c r="W16" s="13">
        <f t="shared" ref="W16:W17" si="17">+T16*V16</f>
        <v>0</v>
      </c>
    </row>
    <row r="17" spans="1:26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27"/>
      <c r="O17" s="14"/>
      <c r="P17" s="358"/>
      <c r="Q17" s="24">
        <f t="shared" si="12"/>
        <v>0</v>
      </c>
      <c r="R17" s="5">
        <f t="shared" si="13"/>
        <v>0</v>
      </c>
      <c r="S17" s="5">
        <f t="shared" si="14"/>
        <v>0</v>
      </c>
      <c r="T17" s="22">
        <f t="shared" si="15"/>
        <v>0</v>
      </c>
      <c r="U17" s="71"/>
      <c r="V17" s="61">
        <v>2.56</v>
      </c>
      <c r="W17" s="13">
        <f t="shared" si="17"/>
        <v>0</v>
      </c>
    </row>
    <row r="18" spans="1:26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117064.14570776252</v>
      </c>
      <c r="F18" s="118">
        <f t="shared" ref="F18:T18" si="18">+SUM(F19:F43)</f>
        <v>2179580.8050228311</v>
      </c>
      <c r="G18" s="118">
        <f t="shared" si="18"/>
        <v>329429.92</v>
      </c>
      <c r="H18" s="118">
        <f t="shared" si="18"/>
        <v>62449.045799086744</v>
      </c>
      <c r="I18" s="118">
        <f t="shared" si="18"/>
        <v>0</v>
      </c>
      <c r="J18" s="118">
        <f t="shared" si="18"/>
        <v>0</v>
      </c>
      <c r="K18" s="118">
        <f t="shared" si="18"/>
        <v>0</v>
      </c>
      <c r="L18" s="118"/>
      <c r="M18" s="118">
        <f t="shared" si="18"/>
        <v>39774.04</v>
      </c>
      <c r="N18" s="231">
        <f t="shared" ref="N18" si="19">+SUM(N19:N43)</f>
        <v>19636.47</v>
      </c>
      <c r="O18" s="231">
        <f t="shared" si="18"/>
        <v>237009.42000000007</v>
      </c>
      <c r="P18" s="118">
        <f t="shared" si="18"/>
        <v>0</v>
      </c>
      <c r="Q18" s="42">
        <f>+SUM(Q19:Q43)</f>
        <v>2984943.8465296808</v>
      </c>
      <c r="R18" s="415">
        <f t="shared" si="18"/>
        <v>2738480.5931464955</v>
      </c>
      <c r="S18" s="118">
        <f t="shared" si="18"/>
        <v>246463.25338318487</v>
      </c>
      <c r="T18" s="117">
        <f t="shared" si="18"/>
        <v>53464.052854819915</v>
      </c>
      <c r="U18" s="71"/>
      <c r="V18" s="61"/>
      <c r="W18" s="105">
        <f>+SUM(W19:W42)</f>
        <v>2392720.1600000006</v>
      </c>
    </row>
    <row r="19" spans="1:26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72763.333333333299</v>
      </c>
      <c r="F19" s="92">
        <v>1282383.3333333337</v>
      </c>
      <c r="G19" s="92">
        <v>185836.67</v>
      </c>
      <c r="H19" s="92">
        <v>33016.666666666664</v>
      </c>
      <c r="I19" s="28"/>
      <c r="J19" s="367"/>
      <c r="K19" s="367"/>
      <c r="L19" s="367"/>
      <c r="M19" s="367">
        <v>21946.67</v>
      </c>
      <c r="N19" s="127">
        <v>11093.333333333334</v>
      </c>
      <c r="O19" s="28">
        <v>120403.33</v>
      </c>
      <c r="P19" s="356"/>
      <c r="Q19" s="24">
        <f t="shared" ref="Q19:Q43" si="20">+SUM(E19:P19)</f>
        <v>1727443.3366666669</v>
      </c>
      <c r="R19" s="99">
        <f t="shared" ref="R19:R43" si="21">+Q19/1.09</f>
        <v>1584810.4006116209</v>
      </c>
      <c r="S19" s="153">
        <f>+Q19-R19</f>
        <v>142632.93605504604</v>
      </c>
      <c r="T19" s="94">
        <f t="shared" ref="T19:T42" si="22">Q19/D19</f>
        <v>17274.433366666668</v>
      </c>
      <c r="U19" s="41"/>
      <c r="V19" s="61"/>
      <c r="W19" s="106"/>
      <c r="X19"/>
      <c r="Y19" s="142"/>
      <c r="Z19"/>
    </row>
    <row r="20" spans="1:26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14089.999999999995</v>
      </c>
      <c r="F20" s="48">
        <v>352895.00000000047</v>
      </c>
      <c r="G20" s="48">
        <v>50451.67</v>
      </c>
      <c r="H20" s="48">
        <v>11575.000000000002</v>
      </c>
      <c r="I20" s="17"/>
      <c r="J20" s="36"/>
      <c r="K20" s="36"/>
      <c r="L20" s="36"/>
      <c r="M20" s="36">
        <v>9608.33</v>
      </c>
      <c r="N20" s="127">
        <v>101.66666666666666</v>
      </c>
      <c r="O20" s="17">
        <v>6573.33</v>
      </c>
      <c r="P20" s="357"/>
      <c r="Q20" s="24">
        <f t="shared" si="20"/>
        <v>445294.99666666717</v>
      </c>
      <c r="R20" s="5">
        <f t="shared" si="21"/>
        <v>408527.51987767627</v>
      </c>
      <c r="S20" s="152">
        <f t="shared" ref="S20:S43" si="23">+Q20-R20</f>
        <v>36767.476788990898</v>
      </c>
      <c r="T20" s="21">
        <f t="shared" si="22"/>
        <v>8905.8999333333431</v>
      </c>
      <c r="U20" s="41"/>
      <c r="V20" s="61">
        <v>50</v>
      </c>
      <c r="W20" s="13">
        <f t="shared" ref="W20:W21" si="24">+T20*V20</f>
        <v>445294.99666666717</v>
      </c>
      <c r="Y20" s="142"/>
    </row>
    <row r="21" spans="1:26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16181.33</v>
      </c>
      <c r="F21" s="96">
        <v>328244.67</v>
      </c>
      <c r="G21" s="96">
        <v>57516</v>
      </c>
      <c r="H21" s="96">
        <v>5918.6666666666661</v>
      </c>
      <c r="I21" s="17"/>
      <c r="J21" s="36"/>
      <c r="K21" s="36"/>
      <c r="L21" s="36"/>
      <c r="M21" s="36">
        <v>3742.67</v>
      </c>
      <c r="N21" s="127">
        <v>3698.6666666666661</v>
      </c>
      <c r="O21" s="17">
        <v>34582.67</v>
      </c>
      <c r="P21" s="357"/>
      <c r="Q21" s="24">
        <f t="shared" si="20"/>
        <v>449884.67333333334</v>
      </c>
      <c r="R21" s="5">
        <f t="shared" si="21"/>
        <v>412738.23241590214</v>
      </c>
      <c r="S21" s="5">
        <f t="shared" si="23"/>
        <v>37146.440917431202</v>
      </c>
      <c r="T21" s="21">
        <f t="shared" si="22"/>
        <v>22494.233666666667</v>
      </c>
      <c r="U21" s="41"/>
      <c r="V21" s="61">
        <v>80</v>
      </c>
      <c r="W21" s="13">
        <f t="shared" si="24"/>
        <v>1799538.6933333334</v>
      </c>
      <c r="Y21" s="142"/>
    </row>
    <row r="22" spans="1:26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12093</v>
      </c>
      <c r="F22" s="48">
        <v>180252</v>
      </c>
      <c r="G22" s="96">
        <v>30609</v>
      </c>
      <c r="H22" s="96">
        <v>7731</v>
      </c>
      <c r="I22" s="17"/>
      <c r="J22" s="36"/>
      <c r="K22" s="36"/>
      <c r="L22" s="36"/>
      <c r="M22" s="36">
        <v>3021</v>
      </c>
      <c r="N22" s="127">
        <v>2991</v>
      </c>
      <c r="O22" s="17">
        <v>53355</v>
      </c>
      <c r="P22" s="357"/>
      <c r="Q22" s="24">
        <f t="shared" si="20"/>
        <v>290052</v>
      </c>
      <c r="R22" s="5">
        <f t="shared" si="21"/>
        <v>266102.75229357794</v>
      </c>
      <c r="S22" s="5">
        <f t="shared" si="23"/>
        <v>23949.247706422058</v>
      </c>
      <c r="T22" s="21">
        <f t="shared" si="22"/>
        <v>3222.8</v>
      </c>
      <c r="U22" s="41"/>
      <c r="V22" s="61"/>
      <c r="W22" s="13"/>
      <c r="Y22" s="142"/>
    </row>
    <row r="23" spans="1:26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289.5</v>
      </c>
      <c r="F23" s="96">
        <v>10792.5</v>
      </c>
      <c r="G23" s="96">
        <v>1912.5</v>
      </c>
      <c r="H23" s="96">
        <v>535.5</v>
      </c>
      <c r="I23" s="17"/>
      <c r="J23" s="36"/>
      <c r="K23" s="36"/>
      <c r="L23" s="36"/>
      <c r="M23" s="36">
        <v>156</v>
      </c>
      <c r="N23" s="127">
        <v>0</v>
      </c>
      <c r="O23" s="17">
        <v>2280</v>
      </c>
      <c r="P23" s="357"/>
      <c r="Q23" s="24">
        <f t="shared" si="20"/>
        <v>15966</v>
      </c>
      <c r="R23" s="5">
        <f t="shared" si="21"/>
        <v>14647.706422018347</v>
      </c>
      <c r="S23" s="5">
        <f t="shared" si="23"/>
        <v>1318.2935779816526</v>
      </c>
      <c r="T23" s="21">
        <f t="shared" si="22"/>
        <v>354.8</v>
      </c>
      <c r="U23" s="35"/>
      <c r="V23" s="61">
        <v>45</v>
      </c>
      <c r="W23" s="13">
        <f t="shared" ref="W23:W24" si="25">+T23*V23</f>
        <v>15966</v>
      </c>
      <c r="Y23" s="142"/>
    </row>
    <row r="24" spans="1:26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384</v>
      </c>
      <c r="F24" s="96">
        <v>4583.3999999999996</v>
      </c>
      <c r="G24" s="96">
        <v>790.2</v>
      </c>
      <c r="H24" s="96">
        <v>225</v>
      </c>
      <c r="I24" s="17"/>
      <c r="J24" s="36"/>
      <c r="K24" s="36"/>
      <c r="L24" s="36"/>
      <c r="M24" s="36">
        <v>150</v>
      </c>
      <c r="N24" s="127">
        <v>299.39999999999998</v>
      </c>
      <c r="O24" s="17">
        <v>1701</v>
      </c>
      <c r="P24" s="357"/>
      <c r="Q24" s="24">
        <f t="shared" si="20"/>
        <v>8132.9999999999991</v>
      </c>
      <c r="R24" s="5">
        <f t="shared" si="21"/>
        <v>7461.4678899082555</v>
      </c>
      <c r="S24" s="5">
        <f t="shared" si="23"/>
        <v>671.53211009174356</v>
      </c>
      <c r="T24" s="21">
        <f t="shared" si="22"/>
        <v>451.83333333333326</v>
      </c>
      <c r="U24" s="35"/>
      <c r="V24" s="61">
        <v>72</v>
      </c>
      <c r="W24" s="13">
        <f t="shared" si="25"/>
        <v>32531.999999999993</v>
      </c>
      <c r="Y24" s="142"/>
    </row>
    <row r="25" spans="1:26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>
        <v>293.33333333333331</v>
      </c>
      <c r="F25" s="96">
        <v>3360</v>
      </c>
      <c r="G25" s="96"/>
      <c r="H25" s="96">
        <v>406.66666666666669</v>
      </c>
      <c r="I25" s="17"/>
      <c r="J25" s="36"/>
      <c r="K25" s="36"/>
      <c r="L25" s="36"/>
      <c r="M25" s="36"/>
      <c r="N25" s="127">
        <v>286.6666666666668</v>
      </c>
      <c r="O25" s="17">
        <v>4550</v>
      </c>
      <c r="P25" s="357"/>
      <c r="Q25" s="24">
        <f t="shared" si="20"/>
        <v>8896.6666666666679</v>
      </c>
      <c r="R25" s="5">
        <f t="shared" si="21"/>
        <v>8162.0795107033646</v>
      </c>
      <c r="S25" s="5">
        <f t="shared" si="23"/>
        <v>734.5871559633033</v>
      </c>
      <c r="T25" s="21">
        <f t="shared" si="22"/>
        <v>29.655555555555559</v>
      </c>
      <c r="U25" s="35"/>
      <c r="V25" s="61"/>
      <c r="W25" s="13"/>
      <c r="Y25" s="142"/>
    </row>
    <row r="26" spans="1:26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6">
        <v>3211.666666666667</v>
      </c>
      <c r="G26" s="96">
        <v>121.67</v>
      </c>
      <c r="H26" s="96">
        <v>141.66666666666669</v>
      </c>
      <c r="I26" s="17"/>
      <c r="J26" s="36"/>
      <c r="K26" s="36"/>
      <c r="L26" s="36"/>
      <c r="M26" s="36">
        <v>273.33</v>
      </c>
      <c r="N26" s="127">
        <v>0</v>
      </c>
      <c r="O26" s="17">
        <v>356.67</v>
      </c>
      <c r="P26" s="357"/>
      <c r="Q26" s="24">
        <f t="shared" si="20"/>
        <v>4105.0033333333331</v>
      </c>
      <c r="R26" s="5">
        <f t="shared" si="21"/>
        <v>3766.0581039755348</v>
      </c>
      <c r="S26" s="5">
        <f t="shared" si="23"/>
        <v>338.94522935779833</v>
      </c>
      <c r="T26" s="21">
        <f t="shared" si="22"/>
        <v>27.366688888888888</v>
      </c>
      <c r="U26" s="35"/>
      <c r="V26" s="61">
        <v>150</v>
      </c>
      <c r="W26" s="13">
        <f t="shared" ref="W26:W42" si="26">+T26*V26</f>
        <v>4105.0033333333331</v>
      </c>
      <c r="Y26" s="142"/>
    </row>
    <row r="27" spans="1:26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321.33</v>
      </c>
      <c r="F27" s="96">
        <v>6963.33</v>
      </c>
      <c r="G27" s="96">
        <v>1212</v>
      </c>
      <c r="H27" s="96">
        <v>888.66666666666652</v>
      </c>
      <c r="I27" s="17"/>
      <c r="J27" s="36"/>
      <c r="K27" s="36"/>
      <c r="L27" s="36"/>
      <c r="M27" s="36">
        <v>392.67</v>
      </c>
      <c r="N27" s="127">
        <v>448.66666666666652</v>
      </c>
      <c r="O27" s="17">
        <v>6506.67</v>
      </c>
      <c r="P27" s="357"/>
      <c r="Q27" s="24">
        <f t="shared" si="20"/>
        <v>16733.333333333332</v>
      </c>
      <c r="R27" s="5">
        <f t="shared" si="21"/>
        <v>15351.681957186542</v>
      </c>
      <c r="S27" s="5">
        <f t="shared" si="23"/>
        <v>1381.6513761467904</v>
      </c>
      <c r="T27" s="21">
        <f t="shared" si="22"/>
        <v>278.88888888888886</v>
      </c>
      <c r="U27" s="35"/>
      <c r="V27" s="61">
        <v>240</v>
      </c>
      <c r="W27" s="13">
        <f t="shared" si="26"/>
        <v>66933.333333333328</v>
      </c>
      <c r="Y27" s="142"/>
    </row>
    <row r="28" spans="1:26" ht="14.4" x14ac:dyDescent="0.3">
      <c r="A28" s="46" t="s">
        <v>76</v>
      </c>
      <c r="B28" s="53" t="s">
        <v>124</v>
      </c>
      <c r="C28" s="59" t="s">
        <v>180</v>
      </c>
      <c r="D28" s="60">
        <v>270</v>
      </c>
      <c r="E28" s="120">
        <v>450</v>
      </c>
      <c r="F28" s="96">
        <v>432</v>
      </c>
      <c r="G28" s="96"/>
      <c r="H28" s="96">
        <v>195</v>
      </c>
      <c r="I28" s="17"/>
      <c r="J28" s="36"/>
      <c r="K28" s="36"/>
      <c r="L28" s="36"/>
      <c r="M28" s="36"/>
      <c r="N28" s="127">
        <v>261</v>
      </c>
      <c r="O28" s="17">
        <v>2463</v>
      </c>
      <c r="P28" s="357"/>
      <c r="Q28" s="24">
        <f t="shared" si="20"/>
        <v>3801</v>
      </c>
      <c r="R28" s="5">
        <f t="shared" si="21"/>
        <v>3487.1559633027518</v>
      </c>
      <c r="S28" s="5">
        <f t="shared" si="23"/>
        <v>313.84403669724816</v>
      </c>
      <c r="T28" s="21">
        <f t="shared" si="22"/>
        <v>14.077777777777778</v>
      </c>
      <c r="U28" s="35"/>
      <c r="V28" s="61"/>
      <c r="W28" s="13"/>
      <c r="Y28" s="142"/>
    </row>
    <row r="29" spans="1:26" ht="14.4" x14ac:dyDescent="0.3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6">
        <v>0</v>
      </c>
      <c r="G29" s="96"/>
      <c r="H29" s="96">
        <v>0</v>
      </c>
      <c r="I29" s="17"/>
      <c r="J29" s="36"/>
      <c r="K29" s="36"/>
      <c r="L29" s="36"/>
      <c r="M29" s="36"/>
      <c r="N29" s="127">
        <v>0</v>
      </c>
      <c r="O29" s="17">
        <v>132</v>
      </c>
      <c r="P29" s="357"/>
      <c r="Q29" s="24">
        <f t="shared" si="20"/>
        <v>132</v>
      </c>
      <c r="R29" s="5">
        <f t="shared" si="21"/>
        <v>121.10091743119266</v>
      </c>
      <c r="S29" s="5">
        <f t="shared" si="23"/>
        <v>10.899082568807344</v>
      </c>
      <c r="T29" s="21">
        <f t="shared" si="22"/>
        <v>0.97777777777777775</v>
      </c>
      <c r="U29" s="35"/>
      <c r="V29" s="61">
        <v>135</v>
      </c>
      <c r="W29" s="13">
        <f t="shared" si="26"/>
        <v>132</v>
      </c>
      <c r="Y29" s="142"/>
    </row>
    <row r="30" spans="1:26" ht="14.4" x14ac:dyDescent="0.3">
      <c r="A30" s="46" t="s">
        <v>78</v>
      </c>
      <c r="B30" s="53" t="s">
        <v>126</v>
      </c>
      <c r="C30" s="59" t="s">
        <v>182</v>
      </c>
      <c r="D30" s="60">
        <v>54</v>
      </c>
      <c r="E30" s="120">
        <v>47.4</v>
      </c>
      <c r="F30" s="96">
        <v>79.8</v>
      </c>
      <c r="G30" s="96">
        <v>43.8</v>
      </c>
      <c r="H30" s="96">
        <v>79.199999999999989</v>
      </c>
      <c r="I30" s="17"/>
      <c r="J30" s="36"/>
      <c r="K30" s="36"/>
      <c r="L30" s="36"/>
      <c r="M30" s="36"/>
      <c r="N30" s="127">
        <v>71.400000000000091</v>
      </c>
      <c r="O30" s="17">
        <v>835.2</v>
      </c>
      <c r="P30" s="357"/>
      <c r="Q30" s="24">
        <f t="shared" si="20"/>
        <v>1156.8000000000002</v>
      </c>
      <c r="R30" s="5">
        <f t="shared" si="21"/>
        <v>1061.284403669725</v>
      </c>
      <c r="S30" s="5">
        <f t="shared" si="23"/>
        <v>95.51559633027523</v>
      </c>
      <c r="T30" s="21">
        <f t="shared" si="22"/>
        <v>21.422222222222224</v>
      </c>
      <c r="U30" s="35"/>
      <c r="V30" s="61">
        <v>216</v>
      </c>
      <c r="W30" s="13">
        <f t="shared" si="26"/>
        <v>4627.2000000000007</v>
      </c>
      <c r="Y30" s="142"/>
    </row>
    <row r="31" spans="1:26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6">
        <v>500</v>
      </c>
      <c r="G31" s="96">
        <v>560</v>
      </c>
      <c r="H31" s="96">
        <v>506.66666666666669</v>
      </c>
      <c r="I31" s="17"/>
      <c r="J31" s="36"/>
      <c r="K31" s="36"/>
      <c r="L31" s="36"/>
      <c r="M31" s="36"/>
      <c r="N31" s="127">
        <v>0</v>
      </c>
      <c r="O31" s="17"/>
      <c r="P31" s="357"/>
      <c r="Q31" s="24">
        <f t="shared" si="20"/>
        <v>1566.6666666666667</v>
      </c>
      <c r="R31" s="5">
        <f t="shared" si="21"/>
        <v>1437.3088685015291</v>
      </c>
      <c r="S31" s="5">
        <f t="shared" si="23"/>
        <v>129.35779816513764</v>
      </c>
      <c r="T31" s="21">
        <f t="shared" si="22"/>
        <v>2.6111111111111112</v>
      </c>
      <c r="U31" s="35"/>
      <c r="V31" s="61"/>
      <c r="W31" s="13"/>
      <c r="Y31" s="142"/>
    </row>
    <row r="32" spans="1:26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6"/>
      <c r="G32" s="96"/>
      <c r="H32" s="96">
        <v>0</v>
      </c>
      <c r="I32" s="17"/>
      <c r="J32" s="36"/>
      <c r="K32" s="36"/>
      <c r="L32" s="36"/>
      <c r="M32" s="36"/>
      <c r="N32" s="127">
        <v>0</v>
      </c>
      <c r="O32" s="17"/>
      <c r="P32" s="357"/>
      <c r="Q32" s="24">
        <f t="shared" si="20"/>
        <v>0</v>
      </c>
      <c r="R32" s="5">
        <f t="shared" si="21"/>
        <v>0</v>
      </c>
      <c r="S32" s="5">
        <f t="shared" si="23"/>
        <v>0</v>
      </c>
      <c r="T32" s="21">
        <f t="shared" si="22"/>
        <v>0</v>
      </c>
      <c r="U32" s="35"/>
      <c r="V32" s="61">
        <v>300</v>
      </c>
      <c r="W32" s="13">
        <f t="shared" si="26"/>
        <v>0</v>
      </c>
      <c r="Y32" s="142"/>
    </row>
    <row r="33" spans="1:26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103.33</v>
      </c>
      <c r="F33" s="96">
        <v>1009.33</v>
      </c>
      <c r="G33" s="96"/>
      <c r="H33" s="96">
        <v>216.67</v>
      </c>
      <c r="I33" s="17"/>
      <c r="J33" s="36"/>
      <c r="K33" s="36"/>
      <c r="L33" s="36"/>
      <c r="M33" s="36">
        <v>117.33</v>
      </c>
      <c r="N33" s="127">
        <v>220.67</v>
      </c>
      <c r="O33" s="17">
        <v>1164</v>
      </c>
      <c r="P33" s="357"/>
      <c r="Q33" s="24">
        <f t="shared" si="20"/>
        <v>2831.33</v>
      </c>
      <c r="R33" s="5">
        <f t="shared" si="21"/>
        <v>2597.5504587155961</v>
      </c>
      <c r="S33" s="5">
        <f t="shared" si="23"/>
        <v>233.77954128440388</v>
      </c>
      <c r="T33" s="21">
        <f t="shared" si="22"/>
        <v>23.594416666666667</v>
      </c>
      <c r="U33" s="35"/>
      <c r="V33" s="61">
        <v>480</v>
      </c>
      <c r="W33" s="13">
        <f t="shared" si="26"/>
        <v>11325.32</v>
      </c>
      <c r="Y33" s="142"/>
    </row>
    <row r="34" spans="1:26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6"/>
      <c r="G34" s="96"/>
      <c r="H34" s="96">
        <v>0</v>
      </c>
      <c r="I34" s="17"/>
      <c r="J34" s="36"/>
      <c r="K34" s="36"/>
      <c r="L34" s="36"/>
      <c r="M34" s="36"/>
      <c r="N34" s="127">
        <v>0</v>
      </c>
      <c r="O34" s="17">
        <v>906</v>
      </c>
      <c r="P34" s="357"/>
      <c r="Q34" s="24">
        <f t="shared" si="20"/>
        <v>906</v>
      </c>
      <c r="R34" s="5">
        <f t="shared" si="21"/>
        <v>831.19266055045864</v>
      </c>
      <c r="S34" s="5">
        <f t="shared" si="23"/>
        <v>74.807339449541359</v>
      </c>
      <c r="T34" s="21">
        <f t="shared" si="22"/>
        <v>1.6777777777777778</v>
      </c>
      <c r="U34" s="35"/>
      <c r="V34" s="61"/>
      <c r="W34" s="13"/>
      <c r="Y34" s="142"/>
    </row>
    <row r="35" spans="1:26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6"/>
      <c r="G35" s="96"/>
      <c r="H35" s="96">
        <v>0</v>
      </c>
      <c r="I35" s="17"/>
      <c r="J35" s="36"/>
      <c r="K35" s="36"/>
      <c r="L35" s="36"/>
      <c r="M35" s="36"/>
      <c r="N35" s="127">
        <v>0</v>
      </c>
      <c r="O35" s="17"/>
      <c r="P35" s="357"/>
      <c r="Q35" s="24">
        <f t="shared" si="20"/>
        <v>0</v>
      </c>
      <c r="R35" s="5">
        <f t="shared" si="21"/>
        <v>0</v>
      </c>
      <c r="S35" s="5">
        <f t="shared" si="23"/>
        <v>0</v>
      </c>
      <c r="T35" s="21">
        <f t="shared" si="22"/>
        <v>0</v>
      </c>
      <c r="U35" s="35"/>
      <c r="V35" s="61">
        <v>270</v>
      </c>
      <c r="W35" s="13">
        <f t="shared" si="26"/>
        <v>0</v>
      </c>
      <c r="Y35" s="142"/>
    </row>
    <row r="36" spans="1:26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6">
        <v>180.6</v>
      </c>
      <c r="G36" s="96"/>
      <c r="H36" s="96">
        <v>0</v>
      </c>
      <c r="I36" s="17"/>
      <c r="J36" s="36"/>
      <c r="K36" s="36"/>
      <c r="L36" s="36"/>
      <c r="M36" s="36"/>
      <c r="N36" s="127">
        <v>0</v>
      </c>
      <c r="O36" s="17">
        <v>92.4</v>
      </c>
      <c r="P36" s="357"/>
      <c r="Q36" s="24">
        <f t="shared" si="20"/>
        <v>273</v>
      </c>
      <c r="R36" s="5">
        <f t="shared" si="21"/>
        <v>250.45871559633025</v>
      </c>
      <c r="S36" s="5">
        <f t="shared" si="23"/>
        <v>22.541284403669749</v>
      </c>
      <c r="T36" s="21">
        <f t="shared" si="22"/>
        <v>2.5277777777777777</v>
      </c>
      <c r="U36" s="35"/>
      <c r="V36" s="61">
        <v>432</v>
      </c>
      <c r="W36" s="13">
        <f t="shared" si="26"/>
        <v>1092</v>
      </c>
      <c r="Y36" s="142"/>
    </row>
    <row r="37" spans="1:26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6">
        <v>796.66666666666674</v>
      </c>
      <c r="G37" s="96"/>
      <c r="H37" s="96">
        <v>0</v>
      </c>
      <c r="I37" s="17"/>
      <c r="J37" s="36"/>
      <c r="K37" s="36"/>
      <c r="L37" s="36"/>
      <c r="M37" s="36"/>
      <c r="N37" s="127">
        <v>0</v>
      </c>
      <c r="O37" s="17"/>
      <c r="P37" s="357"/>
      <c r="Q37" s="24">
        <f t="shared" si="20"/>
        <v>796.66666666666674</v>
      </c>
      <c r="R37" s="5">
        <f t="shared" si="21"/>
        <v>730.88685015290525</v>
      </c>
      <c r="S37" s="5">
        <f t="shared" si="23"/>
        <v>65.779816513761489</v>
      </c>
      <c r="T37" s="21">
        <f t="shared" si="22"/>
        <v>0.8851851851851853</v>
      </c>
      <c r="U37" s="35"/>
      <c r="V37" s="61"/>
      <c r="W37" s="13"/>
      <c r="Y37" s="142"/>
    </row>
    <row r="38" spans="1:26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6"/>
      <c r="G38" s="96"/>
      <c r="H38" s="96">
        <v>0</v>
      </c>
      <c r="I38" s="17"/>
      <c r="J38" s="36"/>
      <c r="K38" s="36"/>
      <c r="L38" s="36"/>
      <c r="M38" s="36"/>
      <c r="N38" s="127">
        <v>0</v>
      </c>
      <c r="O38" s="17"/>
      <c r="P38" s="357"/>
      <c r="Q38" s="24">
        <f t="shared" si="20"/>
        <v>0</v>
      </c>
      <c r="R38" s="5">
        <f t="shared" si="21"/>
        <v>0</v>
      </c>
      <c r="S38" s="5">
        <f t="shared" si="23"/>
        <v>0</v>
      </c>
      <c r="T38" s="21">
        <f t="shared" si="22"/>
        <v>0</v>
      </c>
      <c r="U38" s="35"/>
      <c r="V38" s="61">
        <v>450</v>
      </c>
      <c r="W38" s="13">
        <f t="shared" si="26"/>
        <v>0</v>
      </c>
      <c r="Y38" s="142"/>
    </row>
    <row r="39" spans="1:26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6">
        <v>1492.67</v>
      </c>
      <c r="G39" s="96"/>
      <c r="H39" s="96">
        <v>337.33333333333331</v>
      </c>
      <c r="I39" s="17"/>
      <c r="J39" s="36"/>
      <c r="K39" s="36"/>
      <c r="L39" s="36"/>
      <c r="M39" s="36">
        <v>337.33</v>
      </c>
      <c r="N39" s="127">
        <v>163.99999999999983</v>
      </c>
      <c r="O39" s="17">
        <v>318.67</v>
      </c>
      <c r="P39" s="357"/>
      <c r="Q39" s="24">
        <f t="shared" si="20"/>
        <v>2650.0033333333336</v>
      </c>
      <c r="R39" s="5">
        <f t="shared" si="21"/>
        <v>2431.1957186544341</v>
      </c>
      <c r="S39" s="5">
        <f t="shared" si="23"/>
        <v>218.80761467889943</v>
      </c>
      <c r="T39" s="21">
        <f t="shared" si="22"/>
        <v>14.722240740740743</v>
      </c>
      <c r="U39" s="35"/>
      <c r="V39" s="61">
        <v>720</v>
      </c>
      <c r="W39" s="13">
        <f t="shared" si="26"/>
        <v>10600.013333333334</v>
      </c>
      <c r="Y39" s="142"/>
    </row>
    <row r="40" spans="1:26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6"/>
      <c r="G40" s="96"/>
      <c r="H40" s="96">
        <v>0</v>
      </c>
      <c r="I40" s="17"/>
      <c r="J40" s="36"/>
      <c r="K40" s="36"/>
      <c r="L40" s="36"/>
      <c r="M40" s="36"/>
      <c r="N40" s="127">
        <v>0</v>
      </c>
      <c r="O40" s="17">
        <v>780</v>
      </c>
      <c r="P40" s="357"/>
      <c r="Q40" s="24">
        <f t="shared" si="20"/>
        <v>780</v>
      </c>
      <c r="R40" s="5">
        <f t="shared" si="21"/>
        <v>715.59633027522932</v>
      </c>
      <c r="S40" s="5">
        <f t="shared" si="23"/>
        <v>64.40366972477068</v>
      </c>
      <c r="T40" s="21">
        <f t="shared" si="22"/>
        <v>0.96296296296296291</v>
      </c>
      <c r="U40" s="71"/>
      <c r="V40" s="61"/>
      <c r="W40" s="13"/>
      <c r="Y40" s="142"/>
    </row>
    <row r="41" spans="1:26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6"/>
      <c r="G41" s="96"/>
      <c r="H41" s="96">
        <v>0</v>
      </c>
      <c r="I41" s="17"/>
      <c r="J41" s="36"/>
      <c r="K41" s="36"/>
      <c r="L41" s="36"/>
      <c r="M41" s="36"/>
      <c r="N41" s="127">
        <v>0</v>
      </c>
      <c r="O41" s="17"/>
      <c r="P41" s="357"/>
      <c r="Q41" s="24">
        <f t="shared" si="20"/>
        <v>0</v>
      </c>
      <c r="R41" s="5">
        <f t="shared" si="21"/>
        <v>0</v>
      </c>
      <c r="S41" s="5">
        <f t="shared" si="23"/>
        <v>0</v>
      </c>
      <c r="T41" s="21">
        <f t="shared" si="22"/>
        <v>0</v>
      </c>
      <c r="U41" s="71"/>
      <c r="V41" s="61">
        <v>405</v>
      </c>
      <c r="W41" s="13">
        <f t="shared" si="26"/>
        <v>0</v>
      </c>
      <c r="Y41" s="142"/>
    </row>
    <row r="42" spans="1:26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433">
        <v>143.4</v>
      </c>
      <c r="G42" s="433"/>
      <c r="H42" s="433">
        <v>0</v>
      </c>
      <c r="I42" s="196"/>
      <c r="J42" s="143"/>
      <c r="K42" s="143"/>
      <c r="L42" s="143"/>
      <c r="M42" s="143"/>
      <c r="N42" s="221">
        <v>0</v>
      </c>
      <c r="O42" s="196"/>
      <c r="P42" s="358"/>
      <c r="Q42" s="24">
        <f t="shared" si="20"/>
        <v>143.4</v>
      </c>
      <c r="R42" s="26">
        <f t="shared" si="21"/>
        <v>131.55963302752292</v>
      </c>
      <c r="S42" s="26">
        <f t="shared" si="23"/>
        <v>11.840366972477085</v>
      </c>
      <c r="T42" s="39">
        <f t="shared" si="22"/>
        <v>0.88518518518518519</v>
      </c>
      <c r="U42" s="71"/>
      <c r="V42" s="61">
        <v>648</v>
      </c>
      <c r="W42" s="13">
        <f t="shared" si="26"/>
        <v>573.6</v>
      </c>
      <c r="Y42" s="14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47.589041095890408</v>
      </c>
      <c r="F43" s="124">
        <v>2260.4383561643835</v>
      </c>
      <c r="G43" s="124">
        <v>376.41</v>
      </c>
      <c r="H43" s="124">
        <v>675.34246575342445</v>
      </c>
      <c r="I43" s="124"/>
      <c r="J43" s="124"/>
      <c r="K43" s="124"/>
      <c r="L43" s="124"/>
      <c r="M43" s="124">
        <v>28.71</v>
      </c>
      <c r="N43" s="124">
        <v>0</v>
      </c>
      <c r="O43" s="148">
        <v>9.48</v>
      </c>
      <c r="P43" s="352"/>
      <c r="Q43" s="24">
        <f t="shared" si="20"/>
        <v>3397.9698630136986</v>
      </c>
      <c r="R43" s="124">
        <f t="shared" si="21"/>
        <v>3117.4035440492644</v>
      </c>
      <c r="S43" s="6">
        <f t="shared" si="23"/>
        <v>280.56631896443423</v>
      </c>
      <c r="T43" s="22">
        <f>+Q43/D43</f>
        <v>339.79698630136988</v>
      </c>
      <c r="U43" s="71"/>
      <c r="V43" s="61"/>
      <c r="W43" s="13"/>
      <c r="X43" s="2"/>
      <c r="Y43" s="1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481.4</v>
      </c>
      <c r="F44" s="82">
        <f>+SUM(F45:F53)</f>
        <v>9963.8799999999992</v>
      </c>
      <c r="G44" s="82">
        <f>+SUM(G45:G53)</f>
        <v>1447.2900000000002</v>
      </c>
      <c r="H44" s="82">
        <f>+SUM(H45:H53)</f>
        <v>248.47</v>
      </c>
      <c r="I44" s="82">
        <f t="shared" ref="I44:T44" si="27">+SUM(I45:I53)</f>
        <v>0</v>
      </c>
      <c r="J44" s="82">
        <f t="shared" si="27"/>
        <v>0</v>
      </c>
      <c r="K44" s="187">
        <f t="shared" si="27"/>
        <v>0</v>
      </c>
      <c r="L44" s="187"/>
      <c r="M44" s="187">
        <f t="shared" si="27"/>
        <v>135.70000000000002</v>
      </c>
      <c r="N44" s="187">
        <f t="shared" si="27"/>
        <v>86.12</v>
      </c>
      <c r="O44" s="187">
        <f t="shared" si="27"/>
        <v>654.91</v>
      </c>
      <c r="P44" s="100">
        <f t="shared" si="27"/>
        <v>0</v>
      </c>
      <c r="Q44" s="42">
        <f>+SUM(Q45:Q53)</f>
        <v>13017.769999999997</v>
      </c>
      <c r="R44" s="82">
        <f t="shared" si="27"/>
        <v>11942.908256880732</v>
      </c>
      <c r="S44" s="82">
        <f t="shared" si="27"/>
        <v>1074.861743119267</v>
      </c>
      <c r="T44" s="19">
        <f t="shared" si="27"/>
        <v>533.93333333333328</v>
      </c>
      <c r="U44" s="71"/>
      <c r="V44" s="61"/>
      <c r="W44" s="105">
        <f>+SUM(W45:W68)</f>
        <v>6666.83</v>
      </c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127"/>
      <c r="O45" s="308"/>
      <c r="P45" s="356"/>
      <c r="Q45" s="24">
        <f t="shared" ref="Q45:Q53" si="28">+SUM(E45:P45)</f>
        <v>0</v>
      </c>
      <c r="R45" s="99">
        <f t="shared" ref="R45:R53" si="29">+Q45/1.09</f>
        <v>0</v>
      </c>
      <c r="S45" s="64">
        <f t="shared" ref="S45:S53" si="30">+Q45-R45</f>
        <v>0</v>
      </c>
      <c r="T45" s="85">
        <f t="shared" ref="T45:T53" si="31">Q45/D45</f>
        <v>0</v>
      </c>
      <c r="U45" s="71"/>
      <c r="V45" s="61"/>
      <c r="W45" s="13"/>
      <c r="X45"/>
      <c r="Y45" s="142"/>
      <c r="Z45"/>
    </row>
    <row r="46" spans="1:26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127"/>
      <c r="O46" s="13"/>
      <c r="P46" s="357"/>
      <c r="Q46" s="24">
        <f t="shared" si="28"/>
        <v>0</v>
      </c>
      <c r="R46" s="5">
        <f t="shared" si="29"/>
        <v>0</v>
      </c>
      <c r="S46" s="5">
        <f t="shared" si="30"/>
        <v>0</v>
      </c>
      <c r="T46" s="31">
        <f t="shared" si="31"/>
        <v>0</v>
      </c>
      <c r="U46" s="71"/>
      <c r="V46" s="61">
        <v>6</v>
      </c>
      <c r="W46" s="13">
        <f t="shared" ref="W46:W47" si="32">+T46*V46</f>
        <v>0</v>
      </c>
      <c r="Y46" s="142"/>
    </row>
    <row r="47" spans="1:26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127"/>
      <c r="O47" s="13"/>
      <c r="P47" s="357"/>
      <c r="Q47" s="24">
        <f t="shared" si="28"/>
        <v>0</v>
      </c>
      <c r="R47" s="5">
        <f t="shared" si="29"/>
        <v>0</v>
      </c>
      <c r="S47" s="5">
        <f t="shared" si="30"/>
        <v>0</v>
      </c>
      <c r="T47" s="31">
        <f t="shared" si="31"/>
        <v>0</v>
      </c>
      <c r="U47" s="71"/>
      <c r="V47" s="61">
        <v>9.6</v>
      </c>
      <c r="W47" s="13">
        <f t="shared" si="32"/>
        <v>0</v>
      </c>
      <c r="Y47" s="142"/>
    </row>
    <row r="48" spans="1:26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/>
      <c r="F48" s="13">
        <v>504</v>
      </c>
      <c r="G48" s="13">
        <v>49</v>
      </c>
      <c r="H48" s="13">
        <v>35</v>
      </c>
      <c r="I48" s="13"/>
      <c r="J48" s="33"/>
      <c r="K48" s="33"/>
      <c r="L48" s="33"/>
      <c r="M48" s="33">
        <v>14</v>
      </c>
      <c r="N48" s="127">
        <v>14</v>
      </c>
      <c r="O48" s="13"/>
      <c r="P48" s="357"/>
      <c r="Q48" s="24">
        <f t="shared" si="28"/>
        <v>616</v>
      </c>
      <c r="R48" s="5">
        <f t="shared" si="29"/>
        <v>565.13761467889901</v>
      </c>
      <c r="S48" s="5">
        <f t="shared" si="30"/>
        <v>50.862385321100987</v>
      </c>
      <c r="T48" s="31">
        <f t="shared" si="31"/>
        <v>29.333333333333332</v>
      </c>
      <c r="U48" s="71"/>
      <c r="V48" s="61"/>
      <c r="W48" s="13"/>
      <c r="Y48" s="142"/>
    </row>
    <row r="49" spans="1:25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31.5</v>
      </c>
      <c r="G49" s="13">
        <v>7</v>
      </c>
      <c r="H49" s="13">
        <v>0</v>
      </c>
      <c r="I49" s="13"/>
      <c r="J49" s="33"/>
      <c r="K49" s="33"/>
      <c r="L49" s="33"/>
      <c r="M49" s="33"/>
      <c r="N49" s="127">
        <v>0</v>
      </c>
      <c r="O49" s="13">
        <v>3.5</v>
      </c>
      <c r="P49" s="357"/>
      <c r="Q49" s="24">
        <f t="shared" si="28"/>
        <v>42</v>
      </c>
      <c r="R49" s="5">
        <f t="shared" si="29"/>
        <v>38.532110091743114</v>
      </c>
      <c r="S49" s="5">
        <f t="shared" si="30"/>
        <v>3.4678899082568861</v>
      </c>
      <c r="T49" s="21">
        <f t="shared" si="31"/>
        <v>4</v>
      </c>
      <c r="U49" s="71"/>
      <c r="V49" s="61">
        <v>10.5</v>
      </c>
      <c r="W49" s="13">
        <f t="shared" ref="W49:W50" si="33">+T49*V49</f>
        <v>42</v>
      </c>
      <c r="Y49" s="142"/>
    </row>
    <row r="50" spans="1:25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14</v>
      </c>
      <c r="F50" s="13">
        <v>253.4</v>
      </c>
      <c r="G50" s="13">
        <v>18.2</v>
      </c>
      <c r="H50" s="13">
        <v>5.6000000000000005</v>
      </c>
      <c r="I50" s="13"/>
      <c r="J50" s="33"/>
      <c r="K50" s="33"/>
      <c r="L50" s="33"/>
      <c r="M50" s="33">
        <v>2.8</v>
      </c>
      <c r="N50" s="127">
        <v>9.8000000000000007</v>
      </c>
      <c r="O50" s="13">
        <v>19.600000000000001</v>
      </c>
      <c r="P50" s="357"/>
      <c r="Q50" s="24">
        <f t="shared" si="28"/>
        <v>323.40000000000003</v>
      </c>
      <c r="R50" s="5">
        <f t="shared" si="29"/>
        <v>296.69724770642205</v>
      </c>
      <c r="S50" s="5">
        <f t="shared" si="30"/>
        <v>26.702752293577987</v>
      </c>
      <c r="T50" s="21">
        <f t="shared" si="31"/>
        <v>77</v>
      </c>
      <c r="U50" s="71"/>
      <c r="V50" s="61">
        <v>16.8</v>
      </c>
      <c r="W50" s="13">
        <f t="shared" si="33"/>
        <v>1293.6000000000001</v>
      </c>
      <c r="Y50" s="142"/>
    </row>
    <row r="51" spans="1:25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397.7</v>
      </c>
      <c r="F51" s="13">
        <v>7560.4</v>
      </c>
      <c r="G51" s="13">
        <v>1053.7</v>
      </c>
      <c r="H51" s="13">
        <v>176.3</v>
      </c>
      <c r="I51" s="13"/>
      <c r="J51" s="33"/>
      <c r="K51" s="33"/>
      <c r="L51" s="33"/>
      <c r="M51" s="33">
        <v>118.9</v>
      </c>
      <c r="N51" s="127">
        <v>53.300000000000011</v>
      </c>
      <c r="O51" s="13">
        <v>496.1</v>
      </c>
      <c r="P51" s="357"/>
      <c r="Q51" s="24">
        <f t="shared" si="28"/>
        <v>9856.3999999999978</v>
      </c>
      <c r="R51" s="5">
        <f t="shared" si="29"/>
        <v>9042.5688073394467</v>
      </c>
      <c r="S51" s="5">
        <f t="shared" si="30"/>
        <v>813.8311926605511</v>
      </c>
      <c r="T51" s="21">
        <f t="shared" si="31"/>
        <v>240.39999999999995</v>
      </c>
      <c r="U51" s="71"/>
      <c r="V51" s="61"/>
      <c r="W51" s="13"/>
      <c r="Y51" s="142"/>
    </row>
    <row r="52" spans="1:25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28.7</v>
      </c>
      <c r="F52" s="13">
        <v>856.9</v>
      </c>
      <c r="G52" s="13">
        <v>211.15</v>
      </c>
      <c r="H52" s="13">
        <v>10.25</v>
      </c>
      <c r="I52" s="13"/>
      <c r="J52" s="33"/>
      <c r="K52" s="33"/>
      <c r="L52" s="33"/>
      <c r="M52" s="33"/>
      <c r="N52" s="127">
        <v>0</v>
      </c>
      <c r="O52" s="13">
        <v>22.55</v>
      </c>
      <c r="P52" s="357"/>
      <c r="Q52" s="24">
        <f t="shared" si="28"/>
        <v>1129.55</v>
      </c>
      <c r="R52" s="5">
        <f t="shared" si="29"/>
        <v>1036.2844036697247</v>
      </c>
      <c r="S52" s="5">
        <f t="shared" si="30"/>
        <v>93.26559633027523</v>
      </c>
      <c r="T52" s="21">
        <f t="shared" si="31"/>
        <v>55.099999999999994</v>
      </c>
      <c r="U52" s="71"/>
      <c r="V52" s="61">
        <v>20.5</v>
      </c>
      <c r="W52" s="13">
        <f t="shared" ref="W52:W53" si="34">+T52*V52</f>
        <v>1129.55</v>
      </c>
      <c r="Y52" s="142"/>
    </row>
    <row r="53" spans="1:25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41</v>
      </c>
      <c r="F53" s="14">
        <v>757.68</v>
      </c>
      <c r="G53" s="14">
        <v>108.24</v>
      </c>
      <c r="H53" s="14">
        <v>21.32</v>
      </c>
      <c r="I53" s="14"/>
      <c r="J53" s="76"/>
      <c r="K53" s="76"/>
      <c r="L53" s="76"/>
      <c r="M53" s="76"/>
      <c r="N53" s="148">
        <v>9.02</v>
      </c>
      <c r="O53" s="14">
        <v>113.16</v>
      </c>
      <c r="P53" s="224"/>
      <c r="Q53" s="359">
        <f t="shared" si="28"/>
        <v>1050.42</v>
      </c>
      <c r="R53" s="6">
        <f t="shared" si="29"/>
        <v>963.6880733944954</v>
      </c>
      <c r="S53" s="6">
        <f t="shared" si="30"/>
        <v>86.731926605504668</v>
      </c>
      <c r="T53" s="22">
        <f t="shared" si="31"/>
        <v>128.10000000000002</v>
      </c>
      <c r="U53" s="35"/>
      <c r="V53" s="61">
        <v>32.799999999999997</v>
      </c>
      <c r="W53" s="13">
        <f t="shared" si="34"/>
        <v>4201.68</v>
      </c>
      <c r="Y53" s="14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Y73"/>
  <sheetViews>
    <sheetView topLeftCell="L37" zoomScaleNormal="100" workbookViewId="0">
      <selection activeCell="W46" sqref="W46:W53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10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1.88671875" style="1" customWidth="1"/>
    <col min="16" max="16" width="11.88671875" style="1" customWidth="1" outlineLevel="1"/>
    <col min="17" max="17" width="12.33203125" style="1" bestFit="1" customWidth="1"/>
    <col min="18" max="18" width="12.33203125" style="1" customWidth="1"/>
    <col min="19" max="19" width="13.109375" style="1" bestFit="1" customWidth="1"/>
    <col min="20" max="20" width="12.33203125" style="1" bestFit="1" customWidth="1"/>
    <col min="21" max="21" width="7.5546875" style="1" customWidth="1"/>
    <col min="22" max="22" width="6.44140625" style="1" customWidth="1" outlineLevel="1"/>
    <col min="23" max="23" width="13.33203125" style="2" customWidth="1" outlineLevel="1"/>
    <col min="24" max="24" width="9.88671875" style="1" bestFit="1" customWidth="1"/>
    <col min="25" max="25" width="9.5546875" style="1" bestFit="1" customWidth="1"/>
    <col min="26" max="16384" width="8.88671875" style="1"/>
  </cols>
  <sheetData>
    <row r="1" spans="1:23" ht="16.95" customHeight="1" x14ac:dyDescent="0.3">
      <c r="A1" s="40" t="s">
        <v>484</v>
      </c>
      <c r="D1" s="202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23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>
        <f>+W5/1.09</f>
        <v>6861409.1223241566</v>
      </c>
    </row>
    <row r="3" spans="1:23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270"/>
      <c r="W3" s="584" t="s">
        <v>449</v>
      </c>
    </row>
    <row r="4" spans="1:23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T5" si="0">+E6+E18+E44</f>
        <v>334832.52849315072</v>
      </c>
      <c r="F5" s="82">
        <f t="shared" si="0"/>
        <v>6821611.2131506875</v>
      </c>
      <c r="G5" s="82">
        <f t="shared" si="0"/>
        <v>1027763.5490410958</v>
      </c>
      <c r="H5" s="82">
        <f t="shared" si="0"/>
        <v>173649.04420091322</v>
      </c>
      <c r="I5" s="187">
        <f t="shared" si="0"/>
        <v>620519.19999999995</v>
      </c>
      <c r="J5" s="187">
        <f t="shared" si="0"/>
        <v>1055272.75</v>
      </c>
      <c r="K5" s="192">
        <f t="shared" si="0"/>
        <v>1045921.82</v>
      </c>
      <c r="L5" s="192">
        <f t="shared" si="0"/>
        <v>3244.2399999998765</v>
      </c>
      <c r="M5" s="187">
        <f t="shared" si="0"/>
        <v>107014.93000000001</v>
      </c>
      <c r="N5" s="187">
        <f t="shared" si="0"/>
        <v>144269.47264840183</v>
      </c>
      <c r="O5" s="187">
        <f t="shared" si="0"/>
        <v>644305.52099999983</v>
      </c>
      <c r="P5" s="187">
        <f t="shared" si="0"/>
        <v>94.399999999994179</v>
      </c>
      <c r="Q5" s="42">
        <f t="shared" ref="Q5:Q10" si="1">+SUM(E5:P5)</f>
        <v>11978498.668534251</v>
      </c>
      <c r="R5" s="42">
        <f t="shared" si="0"/>
        <v>10989448.319756189</v>
      </c>
      <c r="S5" s="42">
        <f t="shared" si="0"/>
        <v>989050.34877805714</v>
      </c>
      <c r="T5" s="44">
        <f t="shared" si="0"/>
        <v>2624841.4664293504</v>
      </c>
      <c r="U5" s="71"/>
      <c r="V5" s="87"/>
      <c r="W5" s="135">
        <f>+W6+W18+W44</f>
        <v>7478935.9433333315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T6" si="2">+E7+E11</f>
        <v>80932.179999999978</v>
      </c>
      <c r="F6" s="82">
        <f t="shared" si="2"/>
        <v>1796330.5799999998</v>
      </c>
      <c r="G6" s="82">
        <f t="shared" si="2"/>
        <v>269429.94</v>
      </c>
      <c r="H6" s="82">
        <f t="shared" si="2"/>
        <v>36055.94</v>
      </c>
      <c r="I6" s="187">
        <f t="shared" si="2"/>
        <v>620519.19999999995</v>
      </c>
      <c r="J6" s="187">
        <f t="shared" si="2"/>
        <v>1055272.75</v>
      </c>
      <c r="K6" s="192">
        <f t="shared" si="2"/>
        <v>1045921.82</v>
      </c>
      <c r="L6" s="192">
        <f t="shared" si="2"/>
        <v>3244.2399999998765</v>
      </c>
      <c r="M6" s="187">
        <f t="shared" si="2"/>
        <v>29324.46</v>
      </c>
      <c r="N6" s="187">
        <f t="shared" si="2"/>
        <v>97823.2</v>
      </c>
      <c r="O6" s="187">
        <f t="shared" si="2"/>
        <v>149690.37999999998</v>
      </c>
      <c r="P6" s="187">
        <f t="shared" si="2"/>
        <v>4.3999999999941792</v>
      </c>
      <c r="Q6" s="42">
        <f t="shared" si="1"/>
        <v>5184549.0900000008</v>
      </c>
      <c r="R6" s="42">
        <f t="shared" si="2"/>
        <v>4756467.0550458711</v>
      </c>
      <c r="S6" s="42">
        <f t="shared" si="2"/>
        <v>428082.03495412855</v>
      </c>
      <c r="T6" s="44">
        <f t="shared" si="2"/>
        <v>2467715.9999999995</v>
      </c>
      <c r="V6" s="61"/>
      <c r="W6" s="105">
        <f>+SUM(W8:W17)</f>
        <v>1109032.4099999999</v>
      </c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T7" si="3">+SUM(E8:E10)</f>
        <v>0</v>
      </c>
      <c r="F7" s="269">
        <f t="shared" si="3"/>
        <v>0</v>
      </c>
      <c r="G7" s="126">
        <f t="shared" si="3"/>
        <v>0</v>
      </c>
      <c r="H7" s="126">
        <f t="shared" si="3"/>
        <v>0</v>
      </c>
      <c r="I7" s="126">
        <f t="shared" si="3"/>
        <v>620519.19999999995</v>
      </c>
      <c r="J7" s="126">
        <f t="shared" si="3"/>
        <v>1055272.75</v>
      </c>
      <c r="K7" s="126">
        <f t="shared" si="3"/>
        <v>0</v>
      </c>
      <c r="L7" s="126">
        <f t="shared" si="3"/>
        <v>0</v>
      </c>
      <c r="M7" s="269">
        <f t="shared" si="3"/>
        <v>0</v>
      </c>
      <c r="N7" s="269">
        <f t="shared" si="3"/>
        <v>0</v>
      </c>
      <c r="O7" s="126">
        <f t="shared" si="3"/>
        <v>0</v>
      </c>
      <c r="P7" s="126">
        <f t="shared" si="3"/>
        <v>0</v>
      </c>
      <c r="Q7" s="43">
        <f>+SUM(E7:P7)</f>
        <v>1675791.95</v>
      </c>
      <c r="R7" s="43">
        <f t="shared" si="3"/>
        <v>1537423.8073394494</v>
      </c>
      <c r="S7" s="43">
        <f t="shared" si="3"/>
        <v>138368.1426605506</v>
      </c>
      <c r="T7" s="45">
        <f t="shared" si="3"/>
        <v>608101</v>
      </c>
      <c r="U7" s="71"/>
      <c r="V7" s="134"/>
      <c r="W7" s="105"/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+R_2014_10_priskirta!E9+'R_2014_10_atkelta(viso)'!E8</f>
        <v>0</v>
      </c>
      <c r="F8" s="127">
        <f>+R_2014_10_priskirta!F9+'R_2014_10_atkelta(viso)'!F8</f>
        <v>0</v>
      </c>
      <c r="G8" s="127">
        <f>+R_2014_10_priskirta!G9+'R_2014_10_atkelta(viso)'!G8</f>
        <v>0</v>
      </c>
      <c r="H8" s="127">
        <f>+R_2014_10_priskirta!H9+'R_2014_10_atkelta(viso)'!H8</f>
        <v>0</v>
      </c>
      <c r="I8" s="127">
        <f>+R_2014_10_priskirta!I9+'R_2014_10_atkelta(viso)'!I8</f>
        <v>447772.5</v>
      </c>
      <c r="J8" s="127">
        <f>+R_2014_10_priskirta!J9+'R_2014_10_atkelta(viso)'!J8</f>
        <v>788679.5</v>
      </c>
      <c r="K8" s="127">
        <f>+R_2014_10_priskirta!K9+'R_2014_10_atkelta(viso)'!K8</f>
        <v>0</v>
      </c>
      <c r="L8" s="127">
        <f>+R_2014_10_priskirta!L9+'R_2014_10_atkelta(viso)'!L8</f>
        <v>0</v>
      </c>
      <c r="M8" s="127">
        <f>+R_2014_10_priskirta!M9+'R_2014_10_atkelta(viso)'!M8</f>
        <v>0</v>
      </c>
      <c r="N8" s="127">
        <f>+R_2014_10_priskirta!N9+'R_2014_10_atkelta(viso)'!N8</f>
        <v>0</v>
      </c>
      <c r="O8" s="127">
        <f>+R_2014_10_priskirta!O9+'R_2014_10_atkelta(viso)'!O8</f>
        <v>0</v>
      </c>
      <c r="P8" s="127">
        <f>+R_2014_10_priskirta!P9+'R_2014_10_atkelta(viso)'!P8</f>
        <v>0</v>
      </c>
      <c r="Q8" s="24">
        <f t="shared" si="1"/>
        <v>1236452</v>
      </c>
      <c r="R8" s="229">
        <f>+Q8/1.09</f>
        <v>1134359.6330275228</v>
      </c>
      <c r="S8" s="73">
        <f t="shared" ref="S8:S10" si="4">+Q8-R8</f>
        <v>102092.36697247718</v>
      </c>
      <c r="T8" s="39">
        <f>Q8/D8</f>
        <v>353272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+R_2014_10_priskirta!E10+'R_2014_10_atkelta(viso)'!E9</f>
        <v>0</v>
      </c>
      <c r="F9" s="127">
        <f>+R_2014_10_priskirta!F10+'R_2014_10_atkelta(viso)'!F9</f>
        <v>0</v>
      </c>
      <c r="G9" s="127">
        <f>+R_2014_10_priskirta!G10+'R_2014_10_atkelta(viso)'!G9</f>
        <v>0</v>
      </c>
      <c r="H9" s="127">
        <f>+R_2014_10_priskirta!H10+'R_2014_10_atkelta(viso)'!H9</f>
        <v>0</v>
      </c>
      <c r="I9" s="127">
        <f>+R_2014_10_priskirta!I10+'R_2014_10_atkelta(viso)'!I9</f>
        <v>170163</v>
      </c>
      <c r="J9" s="127">
        <f>+R_2014_10_priskirta!J10+'R_2014_10_atkelta(viso)'!J9</f>
        <v>264769.75</v>
      </c>
      <c r="K9" s="127">
        <f>+R_2014_10_priskirta!K10+'R_2014_10_atkelta(viso)'!K9</f>
        <v>0</v>
      </c>
      <c r="L9" s="127">
        <f>+R_2014_10_priskirta!L10+'R_2014_10_atkelta(viso)'!L9</f>
        <v>0</v>
      </c>
      <c r="M9" s="127">
        <f>+R_2014_10_priskirta!M10+'R_2014_10_atkelta(viso)'!M9</f>
        <v>0</v>
      </c>
      <c r="N9" s="127">
        <f>+R_2014_10_priskirta!N10+'R_2014_10_atkelta(viso)'!N9</f>
        <v>0</v>
      </c>
      <c r="O9" s="127">
        <f>+R_2014_10_priskirta!O10+'R_2014_10_atkelta(viso)'!O9</f>
        <v>0</v>
      </c>
      <c r="P9" s="127">
        <f>+R_2014_10_priskirta!P10+'R_2014_10_atkelta(viso)'!P9</f>
        <v>0</v>
      </c>
      <c r="Q9" s="24">
        <f t="shared" si="1"/>
        <v>434932.75</v>
      </c>
      <c r="R9" s="229">
        <f t="shared" ref="R9:R53" si="6">+Q9/1.09</f>
        <v>399020.871559633</v>
      </c>
      <c r="S9" s="207">
        <f t="shared" si="4"/>
        <v>35911.878440367</v>
      </c>
      <c r="T9" s="39">
        <f>Q9/D9</f>
        <v>248533</v>
      </c>
      <c r="U9" s="71"/>
      <c r="V9" s="61">
        <v>1.75</v>
      </c>
      <c r="W9" s="13">
        <f>+T9*V9</f>
        <v>434932.75</v>
      </c>
    </row>
    <row r="10" spans="1:23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+R_2014_10_priskirta!E11+'R_2014_10_atkelta(viso)'!E10</f>
        <v>0</v>
      </c>
      <c r="F10" s="127">
        <f>+R_2014_10_priskirta!F11+'R_2014_10_atkelta(viso)'!F10</f>
        <v>0</v>
      </c>
      <c r="G10" s="127">
        <f>+R_2014_10_priskirta!G11+'R_2014_10_atkelta(viso)'!G10</f>
        <v>0</v>
      </c>
      <c r="H10" s="127">
        <f>+R_2014_10_priskirta!H11+'R_2014_10_atkelta(viso)'!H10</f>
        <v>0</v>
      </c>
      <c r="I10" s="127">
        <f>+R_2014_10_priskirta!I11+'R_2014_10_atkelta(viso)'!I10</f>
        <v>2583.6999999999998</v>
      </c>
      <c r="J10" s="127">
        <f>+R_2014_10_priskirta!J11+'R_2014_10_atkelta(viso)'!J10</f>
        <v>1823.5</v>
      </c>
      <c r="K10" s="127">
        <f>+R_2014_10_priskirta!K11+'R_2014_10_atkelta(viso)'!K10</f>
        <v>0</v>
      </c>
      <c r="L10" s="127">
        <f>+R_2014_10_priskirta!L11+'R_2014_10_atkelta(viso)'!L10</f>
        <v>0</v>
      </c>
      <c r="M10" s="127">
        <f>+R_2014_10_priskirta!M11+'R_2014_10_atkelta(viso)'!M10</f>
        <v>0</v>
      </c>
      <c r="N10" s="127">
        <f>+R_2014_10_priskirta!N11+'R_2014_10_atkelta(viso)'!N10</f>
        <v>0</v>
      </c>
      <c r="O10" s="127">
        <f>+R_2014_10_priskirta!O11+'R_2014_10_atkelta(viso)'!O10</f>
        <v>0</v>
      </c>
      <c r="P10" s="127">
        <f>+R_2014_10_priskirta!P11+'R_2014_10_atkelta(viso)'!P10</f>
        <v>0</v>
      </c>
      <c r="Q10" s="24">
        <f t="shared" si="1"/>
        <v>4407.2</v>
      </c>
      <c r="R10" s="229">
        <f t="shared" si="6"/>
        <v>4043.3027522935777</v>
      </c>
      <c r="S10" s="207">
        <f t="shared" si="4"/>
        <v>363.89724770642215</v>
      </c>
      <c r="T10" s="39">
        <f>Q10/D10</f>
        <v>6296</v>
      </c>
      <c r="U10" s="71"/>
      <c r="V10" s="107">
        <v>2.8</v>
      </c>
      <c r="W10" s="13">
        <f>+T10*V10</f>
        <v>17628.8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80932.179999999978</v>
      </c>
      <c r="F11" s="84">
        <f t="shared" si="7"/>
        <v>1796330.5799999998</v>
      </c>
      <c r="G11" s="84">
        <f t="shared" si="7"/>
        <v>269429.94</v>
      </c>
      <c r="H11" s="84">
        <f t="shared" si="7"/>
        <v>36055.94</v>
      </c>
      <c r="I11" s="84">
        <f t="shared" si="7"/>
        <v>0</v>
      </c>
      <c r="J11" s="74">
        <f t="shared" si="7"/>
        <v>0</v>
      </c>
      <c r="K11" s="101">
        <f t="shared" si="7"/>
        <v>1045921.82</v>
      </c>
      <c r="L11" s="101">
        <f t="shared" si="7"/>
        <v>3244.2399999998765</v>
      </c>
      <c r="M11" s="101">
        <f t="shared" ref="M11:T11" si="8">+SUM(M12:M17)</f>
        <v>29324.46</v>
      </c>
      <c r="N11" s="101">
        <f t="shared" ref="N11" si="9">+SUM(N12:N17)</f>
        <v>97823.2</v>
      </c>
      <c r="O11" s="101">
        <f t="shared" si="8"/>
        <v>149690.37999999998</v>
      </c>
      <c r="P11" s="101">
        <f t="shared" ref="P11:Q11" si="10">+SUM(P12:P17)</f>
        <v>4.3999999999941792</v>
      </c>
      <c r="Q11" s="43">
        <f t="shared" si="10"/>
        <v>3508757.14</v>
      </c>
      <c r="R11" s="43">
        <f t="shared" si="8"/>
        <v>3219043.2477064221</v>
      </c>
      <c r="S11" s="72">
        <f t="shared" si="8"/>
        <v>289713.89229357796</v>
      </c>
      <c r="T11" s="45">
        <f t="shared" si="8"/>
        <v>1859614.9999999995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+R_2014_10_priskirta!E13+'R_2014_10_atkelta(viso)'!E12</f>
        <v>65304.800000000003</v>
      </c>
      <c r="F12" s="127">
        <f>+R_2014_10_priskirta!F13+'R_2014_10_atkelta(viso)'!F12</f>
        <v>1363634.8</v>
      </c>
      <c r="G12" s="127">
        <f>+R_2014_10_priskirta!G13+'R_2014_10_atkelta(viso)'!G12</f>
        <v>197181.6</v>
      </c>
      <c r="H12" s="127">
        <f>+R_2014_10_priskirta!H13+'R_2014_10_atkelta(viso)'!H12</f>
        <v>26719</v>
      </c>
      <c r="I12" s="127">
        <f>+R_2014_10_priskirta!I13+'R_2014_10_atkelta(viso)'!I12</f>
        <v>0</v>
      </c>
      <c r="J12" s="127">
        <f>+R_2014_10_priskirta!J13+'R_2014_10_atkelta(viso)'!J12</f>
        <v>0</v>
      </c>
      <c r="K12" s="127">
        <f>+R_2014_10_priskirta!K13+'R_2014_10_atkelta(viso)'!K12</f>
        <v>801288.4</v>
      </c>
      <c r="L12" s="127">
        <f>+R_2014_10_priskirta!L13+'R_2014_10_atkelta(viso)'!L12</f>
        <v>2496.9999999998836</v>
      </c>
      <c r="M12" s="127">
        <f>+R_2014_10_priskirta!M13+'R_2014_10_atkelta(viso)'!M12</f>
        <v>19635</v>
      </c>
      <c r="N12" s="127">
        <f>+R_2014_10_priskirta!N13+'R_2014_10_atkelta(viso)'!N12</f>
        <v>85993.600000000006</v>
      </c>
      <c r="O12" s="127">
        <f>+R_2014_10_priskirta!O13+'R_2014_10_atkelta(viso)'!O12</f>
        <v>131095.79999999999</v>
      </c>
      <c r="P12" s="127">
        <f>+R_2014_10_priskirta!P13+'R_2014_10_atkelta(viso)'!P12</f>
        <v>4.3999999999941792</v>
      </c>
      <c r="Q12" s="24">
        <f t="shared" ref="Q12:Q17" si="11">+SUM(E12:P12)</f>
        <v>2693354.4</v>
      </c>
      <c r="R12" s="229">
        <f>+Q12/1.09</f>
        <v>2470967.3394495412</v>
      </c>
      <c r="S12" s="73">
        <f t="shared" ref="S12:S17" si="12">+Q12-R12</f>
        <v>222387.06055045873</v>
      </c>
      <c r="T12" s="39">
        <f>Q12/D12</f>
        <v>1224251.9999999998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+R_2014_10_priskirta!E14+'R_2014_10_atkelta(viso)'!E13</f>
        <v>14428.7</v>
      </c>
      <c r="F13" s="127">
        <f>+R_2014_10_priskirta!F14+'R_2014_10_atkelta(viso)'!F13</f>
        <v>402909.1</v>
      </c>
      <c r="G13" s="127">
        <f>+R_2014_10_priskirta!G14+'R_2014_10_atkelta(viso)'!G13</f>
        <v>66207.899999999994</v>
      </c>
      <c r="H13" s="127">
        <f>+R_2014_10_priskirta!H14+'R_2014_10_atkelta(viso)'!H13</f>
        <v>9047.4999999999982</v>
      </c>
      <c r="I13" s="127">
        <f>+R_2014_10_priskirta!I14+'R_2014_10_atkelta(viso)'!I13</f>
        <v>0</v>
      </c>
      <c r="J13" s="127">
        <f>+R_2014_10_priskirta!J14+'R_2014_10_atkelta(viso)'!J13</f>
        <v>0</v>
      </c>
      <c r="K13" s="127">
        <f>+R_2014_10_priskirta!K14+'R_2014_10_atkelta(viso)'!K13</f>
        <v>84236.9</v>
      </c>
      <c r="L13" s="127">
        <f>+R_2014_10_priskirta!L14+'R_2014_10_atkelta(viso)'!L13</f>
        <v>233.19999999998254</v>
      </c>
      <c r="M13" s="127">
        <f>+R_2014_10_priskirta!M14+'R_2014_10_atkelta(viso)'!M13</f>
        <v>9067.2999999999993</v>
      </c>
      <c r="N13" s="127">
        <f>+R_2014_10_priskirta!N14+'R_2014_10_atkelta(viso)'!N13</f>
        <v>2642.2000000000003</v>
      </c>
      <c r="O13" s="127">
        <f>+R_2014_10_priskirta!O14+'R_2014_10_atkelta(viso)'!O13</f>
        <v>10077.1</v>
      </c>
      <c r="P13" s="127">
        <f>+R_2014_10_priskirta!P14+'R_2014_10_atkelta(viso)'!P13</f>
        <v>0</v>
      </c>
      <c r="Q13" s="24">
        <f t="shared" si="11"/>
        <v>598849.89999999991</v>
      </c>
      <c r="R13" s="229">
        <f t="shared" ref="R13:R17" si="13">+Q13/1.09</f>
        <v>549403.57798165129</v>
      </c>
      <c r="S13" s="73">
        <f t="shared" si="12"/>
        <v>49446.322018348612</v>
      </c>
      <c r="T13" s="39">
        <f t="shared" ref="T13:T17" si="14">Q13/D13</f>
        <v>544408.99999999988</v>
      </c>
      <c r="U13" s="71"/>
      <c r="V13" s="107">
        <v>1.1000000000000001</v>
      </c>
      <c r="W13" s="13">
        <f t="shared" ref="W13:W14" si="15">+T13*V13</f>
        <v>598849.89999999991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+R_2014_10_priskirta!E15+'R_2014_10_atkelta(viso)'!E14</f>
        <v>174.68</v>
      </c>
      <c r="F14" s="127">
        <f>+R_2014_10_priskirta!F15+'R_2014_10_atkelta(viso)'!F14</f>
        <v>4389.88</v>
      </c>
      <c r="G14" s="127">
        <f>+R_2014_10_priskirta!G15+'R_2014_10_atkelta(viso)'!G14</f>
        <v>715</v>
      </c>
      <c r="H14" s="127">
        <f>+R_2014_10_priskirta!H15+'R_2014_10_atkelta(viso)'!H14</f>
        <v>156.64000000000001</v>
      </c>
      <c r="I14" s="127">
        <f>+R_2014_10_priskirta!I15+'R_2014_10_atkelta(viso)'!I14</f>
        <v>0</v>
      </c>
      <c r="J14" s="127">
        <f>+R_2014_10_priskirta!J15+'R_2014_10_atkelta(viso)'!J14</f>
        <v>0</v>
      </c>
      <c r="K14" s="127">
        <f>+R_2014_10_priskirta!K15+'R_2014_10_atkelta(viso)'!K14</f>
        <v>1370.6</v>
      </c>
      <c r="L14" s="127">
        <f>+R_2014_10_priskirta!L15+'R_2014_10_atkelta(viso)'!L14</f>
        <v>3.9600000000000364</v>
      </c>
      <c r="M14" s="127">
        <f>+R_2014_10_priskirta!M15+'R_2014_10_atkelta(viso)'!M14</f>
        <v>66</v>
      </c>
      <c r="N14" s="127">
        <f>+R_2014_10_priskirta!N15+'R_2014_10_atkelta(viso)'!N14</f>
        <v>400.84</v>
      </c>
      <c r="O14" s="127">
        <f>+R_2014_10_priskirta!O15+'R_2014_10_atkelta(viso)'!O14</f>
        <v>149.16</v>
      </c>
      <c r="P14" s="127">
        <f>+R_2014_10_priskirta!P15+'R_2014_10_atkelta(viso)'!P14</f>
        <v>0</v>
      </c>
      <c r="Q14" s="24">
        <f t="shared" si="11"/>
        <v>7426.7600000000011</v>
      </c>
      <c r="R14" s="229">
        <f t="shared" si="13"/>
        <v>6813.54128440367</v>
      </c>
      <c r="S14" s="73">
        <f t="shared" si="12"/>
        <v>613.21871559633109</v>
      </c>
      <c r="T14" s="39">
        <f t="shared" si="14"/>
        <v>16879.000000000004</v>
      </c>
      <c r="U14" s="71"/>
      <c r="V14" s="61">
        <v>1.76</v>
      </c>
      <c r="W14" s="13">
        <f t="shared" si="15"/>
        <v>29707.040000000008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+R_2014_10_priskirta!E16+'R_2014_10_atkelta(viso)'!E15</f>
        <v>838.4</v>
      </c>
      <c r="F15" s="127">
        <f>+R_2014_10_priskirta!F16+'R_2014_10_atkelta(viso)'!F15</f>
        <v>20524.8</v>
      </c>
      <c r="G15" s="127">
        <f>+R_2014_10_priskirta!G16+'R_2014_10_atkelta(viso)'!G15</f>
        <v>4246.3999999999996</v>
      </c>
      <c r="H15" s="127">
        <f>+R_2014_10_priskirta!H16+'R_2014_10_atkelta(viso)'!H15</f>
        <v>64</v>
      </c>
      <c r="I15" s="127">
        <f>+R_2014_10_priskirta!I16+'R_2014_10_atkelta(viso)'!I15</f>
        <v>0</v>
      </c>
      <c r="J15" s="127">
        <f>+R_2014_10_priskirta!J16+'R_2014_10_atkelta(viso)'!J15</f>
        <v>0</v>
      </c>
      <c r="K15" s="127">
        <f>+R_2014_10_priskirta!K16+'R_2014_10_atkelta(viso)'!K15</f>
        <v>140505.60000000001</v>
      </c>
      <c r="L15" s="127">
        <f>+R_2014_10_priskirta!L16+'R_2014_10_atkelta(viso)'!L15</f>
        <v>467.20000000001164</v>
      </c>
      <c r="M15" s="127">
        <f>+R_2014_10_priskirta!M16+'R_2014_10_atkelta(viso)'!M15</f>
        <v>384</v>
      </c>
      <c r="N15" s="127">
        <f>+R_2014_10_priskirta!N16+'R_2014_10_atkelta(viso)'!N15</f>
        <v>8284.7999999999993</v>
      </c>
      <c r="O15" s="127">
        <f>+R_2014_10_priskirta!O16+'R_2014_10_atkelta(viso)'!O15</f>
        <v>7648</v>
      </c>
      <c r="P15" s="127">
        <f>+R_2014_10_priskirta!P16+'R_2014_10_atkelta(viso)'!P15</f>
        <v>0</v>
      </c>
      <c r="Q15" s="24">
        <f t="shared" si="11"/>
        <v>182963.20000000001</v>
      </c>
      <c r="R15" s="229">
        <f t="shared" si="13"/>
        <v>167856.14678899082</v>
      </c>
      <c r="S15" s="73">
        <f t="shared" si="12"/>
        <v>15107.053211009188</v>
      </c>
      <c r="T15" s="39">
        <f t="shared" si="14"/>
        <v>57176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+R_2014_10_priskirta!E17+'R_2014_10_atkelta(viso)'!E16</f>
        <v>179.2</v>
      </c>
      <c r="F16" s="127">
        <f>+R_2014_10_priskirta!F17+'R_2014_10_atkelta(viso)'!F16</f>
        <v>4731.2</v>
      </c>
      <c r="G16" s="127">
        <f>+R_2014_10_priskirta!G17+'R_2014_10_atkelta(viso)'!G16</f>
        <v>1068.8</v>
      </c>
      <c r="H16" s="127">
        <f>+R_2014_10_priskirta!H17+'R_2014_10_atkelta(viso)'!H16</f>
        <v>62.400000000000006</v>
      </c>
      <c r="I16" s="127">
        <f>+R_2014_10_priskirta!I17+'R_2014_10_atkelta(viso)'!I16</f>
        <v>0</v>
      </c>
      <c r="J16" s="127">
        <f>+R_2014_10_priskirta!J17+'R_2014_10_atkelta(viso)'!J16</f>
        <v>0</v>
      </c>
      <c r="K16" s="127">
        <f>+R_2014_10_priskirta!K17+'R_2014_10_atkelta(viso)'!K16</f>
        <v>18265.599999999999</v>
      </c>
      <c r="L16" s="127">
        <f>+R_2014_10_priskirta!L17+'R_2014_10_atkelta(viso)'!L16</f>
        <v>41.599999999998545</v>
      </c>
      <c r="M16" s="127">
        <f>+R_2014_10_priskirta!M17+'R_2014_10_atkelta(viso)'!M16</f>
        <v>169.6</v>
      </c>
      <c r="N16" s="127">
        <f>+R_2014_10_priskirta!N17+'R_2014_10_atkelta(viso)'!N16</f>
        <v>367.99999999999989</v>
      </c>
      <c r="O16" s="127">
        <f>+R_2014_10_priskirta!O17+'R_2014_10_atkelta(viso)'!O16</f>
        <v>692.8</v>
      </c>
      <c r="P16" s="127">
        <f>+R_2014_10_priskirta!P17+'R_2014_10_atkelta(viso)'!P16</f>
        <v>0</v>
      </c>
      <c r="Q16" s="24">
        <f t="shared" si="11"/>
        <v>25579.199999999993</v>
      </c>
      <c r="R16" s="229">
        <f t="shared" si="13"/>
        <v>23467.155963302743</v>
      </c>
      <c r="S16" s="73">
        <f t="shared" si="12"/>
        <v>2112.0440366972507</v>
      </c>
      <c r="T16" s="39">
        <f t="shared" si="14"/>
        <v>15986.999999999995</v>
      </c>
      <c r="U16" s="71"/>
      <c r="V16" s="13">
        <v>1.6</v>
      </c>
      <c r="W16" s="13">
        <f t="shared" ref="W16:W17" si="16">+T16*V16</f>
        <v>25579.199999999993</v>
      </c>
    </row>
    <row r="17" spans="1:25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+R_2014_10_priskirta!E18+'R_2014_10_atkelta(viso)'!E17</f>
        <v>6.4</v>
      </c>
      <c r="F17" s="127">
        <f>+R_2014_10_priskirta!F18+'R_2014_10_atkelta(viso)'!F17</f>
        <v>140.80000000000001</v>
      </c>
      <c r="G17" s="127">
        <f>+R_2014_10_priskirta!G18+'R_2014_10_atkelta(viso)'!G17</f>
        <v>10.24</v>
      </c>
      <c r="H17" s="127">
        <f>+R_2014_10_priskirta!H18+'R_2014_10_atkelta(viso)'!H17</f>
        <v>6.4</v>
      </c>
      <c r="I17" s="127">
        <f>+R_2014_10_priskirta!I18+'R_2014_10_atkelta(viso)'!I17</f>
        <v>0</v>
      </c>
      <c r="J17" s="127">
        <f>+R_2014_10_priskirta!J18+'R_2014_10_atkelta(viso)'!J17</f>
        <v>0</v>
      </c>
      <c r="K17" s="127">
        <f>+R_2014_10_priskirta!K18+'R_2014_10_atkelta(viso)'!K17</f>
        <v>254.72</v>
      </c>
      <c r="L17" s="127">
        <f>+R_2014_10_priskirta!L18+'R_2014_10_atkelta(viso)'!L17</f>
        <v>1.2800000000000296</v>
      </c>
      <c r="M17" s="127">
        <f>+R_2014_10_priskirta!M18+'R_2014_10_atkelta(viso)'!M17</f>
        <v>2.56</v>
      </c>
      <c r="N17" s="127">
        <f>+R_2014_10_priskirta!N18+'R_2014_10_atkelta(viso)'!N17</f>
        <v>133.76000000000002</v>
      </c>
      <c r="O17" s="127">
        <f>+R_2014_10_priskirta!O18+'R_2014_10_atkelta(viso)'!O17</f>
        <v>27.52</v>
      </c>
      <c r="P17" s="127">
        <f>+R_2014_10_priskirta!P18+'R_2014_10_atkelta(viso)'!P17</f>
        <v>0</v>
      </c>
      <c r="Q17" s="24">
        <f t="shared" si="11"/>
        <v>583.68000000000006</v>
      </c>
      <c r="R17" s="229">
        <f t="shared" si="13"/>
        <v>535.48623853211006</v>
      </c>
      <c r="S17" s="73">
        <f t="shared" si="12"/>
        <v>48.193761467889999</v>
      </c>
      <c r="T17" s="39">
        <f t="shared" si="14"/>
        <v>912.00000000000011</v>
      </c>
      <c r="U17" s="71"/>
      <c r="V17" s="61">
        <v>2.56</v>
      </c>
      <c r="W17" s="13">
        <f t="shared" si="16"/>
        <v>2334.7200000000003</v>
      </c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246434.3184931507</v>
      </c>
      <c r="F18" s="118">
        <f t="shared" ref="F18:T18" si="17">+SUM(F19:F43)</f>
        <v>4873272.9231506875</v>
      </c>
      <c r="G18" s="118">
        <f t="shared" si="17"/>
        <v>735449.20904109569</v>
      </c>
      <c r="H18" s="118">
        <f t="shared" si="17"/>
        <v>133126.71420091321</v>
      </c>
      <c r="I18" s="118">
        <f t="shared" si="17"/>
        <v>0</v>
      </c>
      <c r="J18" s="118">
        <f t="shared" si="17"/>
        <v>0</v>
      </c>
      <c r="K18" s="118">
        <f t="shared" si="17"/>
        <v>0</v>
      </c>
      <c r="L18" s="118">
        <f t="shared" ref="L18" si="18">+SUM(L19:L43)</f>
        <v>0</v>
      </c>
      <c r="M18" s="118">
        <f t="shared" si="17"/>
        <v>75751.17</v>
      </c>
      <c r="N18" s="118">
        <f t="shared" ref="N18" si="19">+SUM(N19:N43)</f>
        <v>42831.312648401843</v>
      </c>
      <c r="O18" s="118">
        <f t="shared" si="17"/>
        <v>482299.45099999988</v>
      </c>
      <c r="P18" s="118">
        <f t="shared" ref="P18" si="20">+SUM(P19:P43)</f>
        <v>90</v>
      </c>
      <c r="Q18" s="42">
        <f>+SUM(Q19:Q43)</f>
        <v>6589255.0985342478</v>
      </c>
      <c r="R18" s="118">
        <f t="shared" si="17"/>
        <v>6045188.1637928868</v>
      </c>
      <c r="S18" s="118">
        <f t="shared" si="17"/>
        <v>544066.93474135979</v>
      </c>
      <c r="T18" s="253">
        <f t="shared" si="17"/>
        <v>127424.9997626839</v>
      </c>
      <c r="U18" s="71"/>
      <c r="V18" s="61"/>
      <c r="W18" s="105">
        <f>+SUM(W19:W43)</f>
        <v>6085236.213333331</v>
      </c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+R_2014_10_priskirta!E20+'R_2014_10_atkelta(viso)'!E19</f>
        <v>148443.32666666669</v>
      </c>
      <c r="F19" s="127">
        <f>+R_2014_10_priskirta!F20+'R_2014_10_atkelta(viso)'!F19</f>
        <v>2748600.0000000019</v>
      </c>
      <c r="G19" s="127">
        <f>+R_2014_10_priskirta!G20+'R_2014_10_atkelta(viso)'!G19</f>
        <v>399286.66</v>
      </c>
      <c r="H19" s="127">
        <f>+R_2014_10_priskirta!H20+'R_2014_10_atkelta(viso)'!H19</f>
        <v>71240.003333333327</v>
      </c>
      <c r="I19" s="127">
        <f>+R_2014_10_priskirta!I20+'R_2014_10_atkelta(viso)'!I19</f>
        <v>0</v>
      </c>
      <c r="J19" s="127">
        <f>+R_2014_10_priskirta!J20+'R_2014_10_atkelta(viso)'!J19</f>
        <v>0</v>
      </c>
      <c r="K19" s="127">
        <f>+R_2014_10_priskirta!K20+'R_2014_10_atkelta(viso)'!K19</f>
        <v>0</v>
      </c>
      <c r="L19" s="127">
        <f>+R_2014_10_priskirta!L20+'R_2014_10_atkelta(viso)'!L19</f>
        <v>0</v>
      </c>
      <c r="M19" s="127">
        <f>+R_2014_10_priskirta!M20+'R_2014_10_atkelta(viso)'!M19</f>
        <v>43633.33</v>
      </c>
      <c r="N19" s="127">
        <f>+R_2014_10_priskirta!N20+'R_2014_10_atkelta(viso)'!N19</f>
        <v>25876.666666666668</v>
      </c>
      <c r="O19" s="127">
        <f>+R_2014_10_priskirta!O20+'R_2014_10_atkelta(viso)'!O19</f>
        <v>240393.3</v>
      </c>
      <c r="P19" s="127">
        <f>+R_2014_10_priskirta!P20+'R_2014_10_atkelta(viso)'!P19</f>
        <v>0</v>
      </c>
      <c r="Q19" s="24">
        <f t="shared" ref="Q19:Q53" si="21">+SUM(E19:P19)</f>
        <v>3677473.2866666685</v>
      </c>
      <c r="R19" s="229">
        <f t="shared" si="6"/>
        <v>3373828.7033639159</v>
      </c>
      <c r="S19" s="93">
        <f>+Q19-R19</f>
        <v>303644.58330275258</v>
      </c>
      <c r="T19" s="94">
        <f t="shared" ref="T19:T43" si="22">Q19/D19</f>
        <v>36774.732866666687</v>
      </c>
      <c r="U19" s="71"/>
      <c r="V19" s="61"/>
      <c r="W19" s="106"/>
      <c r="X19" s="2"/>
      <c r="Y19" s="2"/>
    </row>
    <row r="20" spans="1:25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f>+R_2014_10_priskirta!E21+'R_2014_10_atkelta(viso)'!E20</f>
        <v>27411.666666666672</v>
      </c>
      <c r="F20" s="127">
        <f>+R_2014_10_priskirta!F21+'R_2014_10_atkelta(viso)'!F20</f>
        <v>750533.33333333256</v>
      </c>
      <c r="G20" s="127">
        <f>+R_2014_10_priskirta!G21+'R_2014_10_atkelta(viso)'!G20</f>
        <v>107485</v>
      </c>
      <c r="H20" s="127">
        <f>+R_2014_10_priskirta!H21+'R_2014_10_atkelta(viso)'!H20</f>
        <v>21755</v>
      </c>
      <c r="I20" s="127">
        <f>+R_2014_10_priskirta!I21+'R_2014_10_atkelta(viso)'!I20</f>
        <v>0</v>
      </c>
      <c r="J20" s="127">
        <f>+R_2014_10_priskirta!J21+'R_2014_10_atkelta(viso)'!J20</f>
        <v>0</v>
      </c>
      <c r="K20" s="127">
        <f>+R_2014_10_priskirta!K21+'R_2014_10_atkelta(viso)'!K20</f>
        <v>0</v>
      </c>
      <c r="L20" s="127">
        <f>+R_2014_10_priskirta!L21+'R_2014_10_atkelta(viso)'!L20</f>
        <v>0</v>
      </c>
      <c r="M20" s="127">
        <f>+R_2014_10_priskirta!M21+'R_2014_10_atkelta(viso)'!M20</f>
        <v>16550</v>
      </c>
      <c r="N20" s="127">
        <f>+R_2014_10_priskirta!N21+'R_2014_10_atkelta(viso)'!N20</f>
        <v>379.99999999999994</v>
      </c>
      <c r="O20" s="127">
        <f>+R_2014_10_priskirta!O21+'R_2014_10_atkelta(viso)'!O20</f>
        <v>13295.01</v>
      </c>
      <c r="P20" s="127">
        <f>+R_2014_10_priskirta!P21+'R_2014_10_atkelta(viso)'!P20</f>
        <v>0</v>
      </c>
      <c r="Q20" s="24">
        <f t="shared" si="21"/>
        <v>937410.00999999919</v>
      </c>
      <c r="R20" s="229">
        <f t="shared" si="6"/>
        <v>860009.18348623777</v>
      </c>
      <c r="S20" s="73">
        <f t="shared" ref="S20:S43" si="23">+Q20-R20</f>
        <v>77400.826513761422</v>
      </c>
      <c r="T20" s="21">
        <f t="shared" si="22"/>
        <v>18748.200199999985</v>
      </c>
      <c r="U20" s="71"/>
      <c r="V20" s="61">
        <v>50</v>
      </c>
      <c r="W20" s="13">
        <f t="shared" ref="W20:W21" si="24">+T20*V20</f>
        <v>937410.00999999919</v>
      </c>
      <c r="X20" s="2"/>
      <c r="Y20" s="2"/>
    </row>
    <row r="21" spans="1:25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+R_2014_10_priskirta!E22+'R_2014_10_atkelta(viso)'!E21</f>
        <v>41934</v>
      </c>
      <c r="F21" s="127">
        <f>+R_2014_10_priskirta!F22+'R_2014_10_atkelta(viso)'!F21</f>
        <v>884800.65999999992</v>
      </c>
      <c r="G21" s="127">
        <f>+R_2014_10_priskirta!G22+'R_2014_10_atkelta(viso)'!G21</f>
        <v>149038</v>
      </c>
      <c r="H21" s="127">
        <f>+R_2014_10_priskirta!H22+'R_2014_10_atkelta(viso)'!H21</f>
        <v>15458.663333333334</v>
      </c>
      <c r="I21" s="127">
        <f>+R_2014_10_priskirta!I22+'R_2014_10_atkelta(viso)'!I21</f>
        <v>0</v>
      </c>
      <c r="J21" s="127">
        <f>+R_2014_10_priskirta!J22+'R_2014_10_atkelta(viso)'!J21</f>
        <v>0</v>
      </c>
      <c r="K21" s="127">
        <f>+R_2014_10_priskirta!K22+'R_2014_10_atkelta(viso)'!K21</f>
        <v>0</v>
      </c>
      <c r="L21" s="127">
        <f>+R_2014_10_priskirta!L22+'R_2014_10_atkelta(viso)'!L21</f>
        <v>0</v>
      </c>
      <c r="M21" s="127">
        <f>+R_2014_10_priskirta!M22+'R_2014_10_atkelta(viso)'!M21</f>
        <v>9174.66</v>
      </c>
      <c r="N21" s="127">
        <f>+R_2014_10_priskirta!N22+'R_2014_10_atkelta(viso)'!N21</f>
        <v>9506</v>
      </c>
      <c r="O21" s="127">
        <f>+R_2014_10_priskirta!O22+'R_2014_10_atkelta(viso)'!O21</f>
        <v>92142.66</v>
      </c>
      <c r="P21" s="127">
        <f>+R_2014_10_priskirta!P22+'R_2014_10_atkelta(viso)'!P21</f>
        <v>0</v>
      </c>
      <c r="Q21" s="24">
        <f t="shared" si="21"/>
        <v>1202054.6433333331</v>
      </c>
      <c r="R21" s="229">
        <f t="shared" si="6"/>
        <v>1102802.4250764523</v>
      </c>
      <c r="S21" s="73">
        <f t="shared" si="23"/>
        <v>99252.218256880762</v>
      </c>
      <c r="T21" s="21">
        <f t="shared" si="22"/>
        <v>60102.732166666654</v>
      </c>
      <c r="U21" s="71"/>
      <c r="V21" s="61">
        <v>80</v>
      </c>
      <c r="W21" s="13">
        <f t="shared" si="24"/>
        <v>4808218.5733333323</v>
      </c>
      <c r="X21" s="2"/>
      <c r="Y21" s="2"/>
    </row>
    <row r="22" spans="1:25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f>+R_2014_10_priskirta!E23+'R_2014_10_atkelta(viso)'!E22</f>
        <v>24111</v>
      </c>
      <c r="F22" s="127">
        <f>+R_2014_10_priskirta!F23+'R_2014_10_atkelta(viso)'!F22</f>
        <v>403341</v>
      </c>
      <c r="G22" s="127">
        <f>+R_2014_10_priskirta!G23+'R_2014_10_atkelta(viso)'!G22</f>
        <v>67869</v>
      </c>
      <c r="H22" s="127">
        <f>+R_2014_10_priskirta!H23+'R_2014_10_atkelta(viso)'!H22</f>
        <v>16749</v>
      </c>
      <c r="I22" s="127">
        <f>+R_2014_10_priskirta!I23+'R_2014_10_atkelta(viso)'!I22</f>
        <v>0</v>
      </c>
      <c r="J22" s="127">
        <f>+R_2014_10_priskirta!J23+'R_2014_10_atkelta(viso)'!J22</f>
        <v>0</v>
      </c>
      <c r="K22" s="127">
        <f>+R_2014_10_priskirta!K23+'R_2014_10_atkelta(viso)'!K22</f>
        <v>0</v>
      </c>
      <c r="L22" s="127">
        <f>+R_2014_10_priskirta!L23+'R_2014_10_atkelta(viso)'!L22</f>
        <v>0</v>
      </c>
      <c r="M22" s="127">
        <f>+R_2014_10_priskirta!M23+'R_2014_10_atkelta(viso)'!M22</f>
        <v>5004</v>
      </c>
      <c r="N22" s="127">
        <f>+R_2014_10_priskirta!N23+'R_2014_10_atkelta(viso)'!N22</f>
        <v>5325</v>
      </c>
      <c r="O22" s="127">
        <f>+R_2014_10_priskirta!O23+'R_2014_10_atkelta(viso)'!O22</f>
        <v>89643</v>
      </c>
      <c r="P22" s="127">
        <f>+R_2014_10_priskirta!P23+'R_2014_10_atkelta(viso)'!P22</f>
        <v>90</v>
      </c>
      <c r="Q22" s="24">
        <f t="shared" si="21"/>
        <v>612132</v>
      </c>
      <c r="R22" s="229">
        <f t="shared" si="6"/>
        <v>561588.990825688</v>
      </c>
      <c r="S22" s="73">
        <f t="shared" si="23"/>
        <v>50543.009174311999</v>
      </c>
      <c r="T22" s="21">
        <f t="shared" si="22"/>
        <v>6801.4666666666662</v>
      </c>
      <c r="U22" s="71"/>
      <c r="V22" s="61"/>
      <c r="W22" s="13"/>
      <c r="X22" s="2"/>
      <c r="Y22" s="2"/>
    </row>
    <row r="23" spans="1:25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f>+R_2014_10_priskirta!E24+'R_2014_10_atkelta(viso)'!E23</f>
        <v>954</v>
      </c>
      <c r="F23" s="127">
        <f>+R_2014_10_priskirta!F24+'R_2014_10_atkelta(viso)'!F23</f>
        <v>24586.5</v>
      </c>
      <c r="G23" s="127">
        <f>+R_2014_10_priskirta!G24+'R_2014_10_atkelta(viso)'!G23</f>
        <v>4120.5</v>
      </c>
      <c r="H23" s="127">
        <f>+R_2014_10_priskirta!H24+'R_2014_10_atkelta(viso)'!H23</f>
        <v>1239</v>
      </c>
      <c r="I23" s="127">
        <f>+R_2014_10_priskirta!I24+'R_2014_10_atkelta(viso)'!I23</f>
        <v>0</v>
      </c>
      <c r="J23" s="127">
        <f>+R_2014_10_priskirta!J24+'R_2014_10_atkelta(viso)'!J23</f>
        <v>0</v>
      </c>
      <c r="K23" s="127">
        <f>+R_2014_10_priskirta!K24+'R_2014_10_atkelta(viso)'!K23</f>
        <v>0</v>
      </c>
      <c r="L23" s="127">
        <f>+R_2014_10_priskirta!L24+'R_2014_10_atkelta(viso)'!L23</f>
        <v>0</v>
      </c>
      <c r="M23" s="127">
        <f>+R_2014_10_priskirta!M24+'R_2014_10_atkelta(viso)'!M23</f>
        <v>426</v>
      </c>
      <c r="N23" s="127">
        <f>+R_2014_10_priskirta!N24+'R_2014_10_atkelta(viso)'!N23</f>
        <v>30</v>
      </c>
      <c r="O23" s="127">
        <f>+R_2014_10_priskirta!O24+'R_2014_10_atkelta(viso)'!O23</f>
        <v>3517.5</v>
      </c>
      <c r="P23" s="127">
        <f>+R_2014_10_priskirta!P24+'R_2014_10_atkelta(viso)'!P23</f>
        <v>0</v>
      </c>
      <c r="Q23" s="24">
        <f t="shared" si="21"/>
        <v>34873.5</v>
      </c>
      <c r="R23" s="229">
        <f t="shared" si="6"/>
        <v>31994.036697247706</v>
      </c>
      <c r="S23" s="73">
        <f t="shared" si="23"/>
        <v>2879.4633027522941</v>
      </c>
      <c r="T23" s="21">
        <f t="shared" si="22"/>
        <v>774.9666666666667</v>
      </c>
      <c r="U23" s="71"/>
      <c r="V23" s="61">
        <v>45</v>
      </c>
      <c r="W23" s="13">
        <f t="shared" ref="W23:W24" si="25">+T23*V23</f>
        <v>34873.5</v>
      </c>
      <c r="X23" s="2"/>
      <c r="Y23" s="2"/>
    </row>
    <row r="24" spans="1:25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+R_2014_10_priskirta!E25+'R_2014_10_atkelta(viso)'!E24</f>
        <v>1629</v>
      </c>
      <c r="F24" s="127">
        <f>+R_2014_10_priskirta!F25+'R_2014_10_atkelta(viso)'!F24</f>
        <v>19765.8</v>
      </c>
      <c r="G24" s="127">
        <f>+R_2014_10_priskirta!G25+'R_2014_10_atkelta(viso)'!G24</f>
        <v>3088.8</v>
      </c>
      <c r="H24" s="127">
        <f>+R_2014_10_priskirta!H25+'R_2014_10_atkelta(viso)'!H24</f>
        <v>472.2</v>
      </c>
      <c r="I24" s="127">
        <f>+R_2014_10_priskirta!I25+'R_2014_10_atkelta(viso)'!I24</f>
        <v>0</v>
      </c>
      <c r="J24" s="127">
        <f>+R_2014_10_priskirta!J25+'R_2014_10_atkelta(viso)'!J24</f>
        <v>0</v>
      </c>
      <c r="K24" s="127">
        <f>+R_2014_10_priskirta!K25+'R_2014_10_atkelta(viso)'!K24</f>
        <v>0</v>
      </c>
      <c r="L24" s="127">
        <f>+R_2014_10_priskirta!L25+'R_2014_10_atkelta(viso)'!L24</f>
        <v>0</v>
      </c>
      <c r="M24" s="127">
        <f>+R_2014_10_priskirta!M25+'R_2014_10_atkelta(viso)'!M24</f>
        <v>377.4</v>
      </c>
      <c r="N24" s="127">
        <f>+R_2014_10_priskirta!N25+'R_2014_10_atkelta(viso)'!N24</f>
        <v>590.39999999999986</v>
      </c>
      <c r="O24" s="127">
        <f>+R_2014_10_priskirta!O25+'R_2014_10_atkelta(viso)'!O24</f>
        <v>6820.2</v>
      </c>
      <c r="P24" s="127">
        <f>+R_2014_10_priskirta!P25+'R_2014_10_atkelta(viso)'!P24</f>
        <v>0</v>
      </c>
      <c r="Q24" s="24">
        <f t="shared" si="21"/>
        <v>32743.800000000003</v>
      </c>
      <c r="R24" s="229">
        <f t="shared" si="6"/>
        <v>30040.183486238533</v>
      </c>
      <c r="S24" s="73">
        <f t="shared" si="23"/>
        <v>2703.6165137614698</v>
      </c>
      <c r="T24" s="21">
        <f t="shared" si="22"/>
        <v>1819.1000000000001</v>
      </c>
      <c r="U24" s="71"/>
      <c r="V24" s="61">
        <v>72</v>
      </c>
      <c r="W24" s="13">
        <f t="shared" si="25"/>
        <v>130975.20000000001</v>
      </c>
      <c r="X24" s="2"/>
      <c r="Y24" s="2"/>
    </row>
    <row r="25" spans="1:25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+R_2014_10_priskirta!E26+'R_2014_10_atkelta(viso)'!E25</f>
        <v>213.33666666666662</v>
      </c>
      <c r="F25" s="127">
        <f>+R_2014_10_priskirta!F26+'R_2014_10_atkelta(viso)'!F25</f>
        <v>4816.6666666666661</v>
      </c>
      <c r="G25" s="127">
        <f>+R_2014_10_priskirta!G26+'R_2014_10_atkelta(viso)'!G25</f>
        <v>103.33</v>
      </c>
      <c r="H25" s="127">
        <f>+R_2014_10_priskirta!H26+'R_2014_10_atkelta(viso)'!H25</f>
        <v>393.33333333333331</v>
      </c>
      <c r="I25" s="127">
        <f>+R_2014_10_priskirta!I26+'R_2014_10_atkelta(viso)'!I25</f>
        <v>0</v>
      </c>
      <c r="J25" s="127">
        <f>+R_2014_10_priskirta!J26+'R_2014_10_atkelta(viso)'!J25</f>
        <v>0</v>
      </c>
      <c r="K25" s="127">
        <f>+R_2014_10_priskirta!K26+'R_2014_10_atkelta(viso)'!K25</f>
        <v>0</v>
      </c>
      <c r="L25" s="127">
        <f>+R_2014_10_priskirta!L26+'R_2014_10_atkelta(viso)'!L25</f>
        <v>0</v>
      </c>
      <c r="M25" s="127">
        <f>+R_2014_10_priskirta!M26+'R_2014_10_atkelta(viso)'!M25</f>
        <v>43.33</v>
      </c>
      <c r="N25" s="127">
        <f>+R_2014_10_priskirta!N26+'R_2014_10_atkelta(viso)'!N25</f>
        <v>323.3333333333332</v>
      </c>
      <c r="O25" s="127">
        <f>+R_2014_10_priskirta!O26+'R_2014_10_atkelta(viso)'!O25</f>
        <v>6746.67</v>
      </c>
      <c r="P25" s="127">
        <f>+R_2014_10_priskirta!P26+'R_2014_10_atkelta(viso)'!P25</f>
        <v>0</v>
      </c>
      <c r="Q25" s="24">
        <f t="shared" si="21"/>
        <v>12640</v>
      </c>
      <c r="R25" s="229">
        <f t="shared" si="6"/>
        <v>11596.330275229357</v>
      </c>
      <c r="S25" s="73">
        <f t="shared" si="23"/>
        <v>1043.6697247706434</v>
      </c>
      <c r="T25" s="21">
        <f t="shared" si="22"/>
        <v>42.133333333333333</v>
      </c>
      <c r="U25" s="71"/>
      <c r="V25" s="61"/>
      <c r="W25" s="13"/>
      <c r="X25" s="2"/>
      <c r="Y25" s="2"/>
    </row>
    <row r="26" spans="1:25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+R_2014_10_priskirta!E27+'R_2014_10_atkelta(viso)'!E26</f>
        <v>51.666666666666657</v>
      </c>
      <c r="F26" s="127">
        <f>+R_2014_10_priskirta!F27+'R_2014_10_atkelta(viso)'!F26</f>
        <v>4376.6666666666661</v>
      </c>
      <c r="G26" s="127">
        <f>+R_2014_10_priskirta!G27+'R_2014_10_atkelta(viso)'!G26</f>
        <v>328.32999999999993</v>
      </c>
      <c r="H26" s="127">
        <f>+R_2014_10_priskirta!H27+'R_2014_10_atkelta(viso)'!H26</f>
        <v>515.00333333333333</v>
      </c>
      <c r="I26" s="127">
        <f>+R_2014_10_priskirta!I27+'R_2014_10_atkelta(viso)'!I26</f>
        <v>0</v>
      </c>
      <c r="J26" s="127">
        <f>+R_2014_10_priskirta!J27+'R_2014_10_atkelta(viso)'!J26</f>
        <v>0</v>
      </c>
      <c r="K26" s="127">
        <f>+R_2014_10_priskirta!K27+'R_2014_10_atkelta(viso)'!K26</f>
        <v>0</v>
      </c>
      <c r="L26" s="127">
        <f>+R_2014_10_priskirta!L27+'R_2014_10_atkelta(viso)'!L26</f>
        <v>0</v>
      </c>
      <c r="M26" s="127">
        <f>+R_2014_10_priskirta!M27+'R_2014_10_atkelta(viso)'!M26</f>
        <v>78.34</v>
      </c>
      <c r="N26" s="127">
        <f>+R_2014_10_priskirta!N27+'R_2014_10_atkelta(viso)'!N26</f>
        <v>0</v>
      </c>
      <c r="O26" s="127">
        <f>+R_2014_10_priskirta!O27+'R_2014_10_atkelta(viso)'!O26</f>
        <v>1015</v>
      </c>
      <c r="P26" s="127">
        <f>+R_2014_10_priskirta!P27+'R_2014_10_atkelta(viso)'!P26</f>
        <v>0</v>
      </c>
      <c r="Q26" s="24">
        <f t="shared" si="21"/>
        <v>6365.0066666666662</v>
      </c>
      <c r="R26" s="229">
        <f t="shared" si="6"/>
        <v>5839.4556574923536</v>
      </c>
      <c r="S26" s="73">
        <f t="shared" si="23"/>
        <v>525.55100917431264</v>
      </c>
      <c r="T26" s="21">
        <f t="shared" si="22"/>
        <v>42.433377777777771</v>
      </c>
      <c r="U26" s="71"/>
      <c r="V26" s="61">
        <v>150</v>
      </c>
      <c r="W26" s="13">
        <f t="shared" ref="W26:W42" si="26">+T26*V26</f>
        <v>6365.0066666666653</v>
      </c>
      <c r="X26" s="2"/>
      <c r="Y26" s="2"/>
    </row>
    <row r="27" spans="1:2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+R_2014_10_priskirta!E28+'R_2014_10_atkelta(viso)'!E27</f>
        <v>880</v>
      </c>
      <c r="F27" s="127">
        <f>+R_2014_10_priskirta!F28+'R_2014_10_atkelta(viso)'!F27</f>
        <v>13372.67</v>
      </c>
      <c r="G27" s="127">
        <f>+R_2014_10_priskirta!G28+'R_2014_10_atkelta(viso)'!G27</f>
        <v>1672</v>
      </c>
      <c r="H27" s="127">
        <f>+R_2014_10_priskirta!H28+'R_2014_10_atkelta(viso)'!H27</f>
        <v>1544.0033333333336</v>
      </c>
      <c r="I27" s="127">
        <f>+R_2014_10_priskirta!I28+'R_2014_10_atkelta(viso)'!I27</f>
        <v>0</v>
      </c>
      <c r="J27" s="127">
        <f>+R_2014_10_priskirta!J28+'R_2014_10_atkelta(viso)'!J27</f>
        <v>0</v>
      </c>
      <c r="K27" s="127">
        <f>+R_2014_10_priskirta!K28+'R_2014_10_atkelta(viso)'!K27</f>
        <v>0</v>
      </c>
      <c r="L27" s="127">
        <f>+R_2014_10_priskirta!L28+'R_2014_10_atkelta(viso)'!L27</f>
        <v>0</v>
      </c>
      <c r="M27" s="127">
        <f>+R_2014_10_priskirta!M28+'R_2014_10_atkelta(viso)'!M27</f>
        <v>314.66000000000003</v>
      </c>
      <c r="N27" s="127">
        <f>+R_2014_10_priskirta!N28+'R_2014_10_atkelta(viso)'!N27</f>
        <v>507.33333333333331</v>
      </c>
      <c r="O27" s="127">
        <f>+R_2014_10_priskirta!O28+'R_2014_10_atkelta(viso)'!O27</f>
        <v>11605.33</v>
      </c>
      <c r="P27" s="127">
        <f>+R_2014_10_priskirta!P28+'R_2014_10_atkelta(viso)'!P27</f>
        <v>0</v>
      </c>
      <c r="Q27" s="24">
        <f t="shared" si="21"/>
        <v>29895.996666666666</v>
      </c>
      <c r="R27" s="229">
        <f t="shared" si="6"/>
        <v>27427.519877675837</v>
      </c>
      <c r="S27" s="73">
        <f t="shared" si="23"/>
        <v>2468.4767889908289</v>
      </c>
      <c r="T27" s="21">
        <f t="shared" si="22"/>
        <v>498.2666111111111</v>
      </c>
      <c r="U27" s="71"/>
      <c r="V27" s="61">
        <v>240</v>
      </c>
      <c r="W27" s="13">
        <f t="shared" si="26"/>
        <v>119583.98666666666</v>
      </c>
      <c r="X27" s="2"/>
      <c r="Y27" s="2"/>
    </row>
    <row r="28" spans="1:25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+R_2014_10_priskirta!E29+'R_2014_10_atkelta(viso)'!E28</f>
        <v>90</v>
      </c>
      <c r="F28" s="127">
        <f>+R_2014_10_priskirta!F29+'R_2014_10_atkelta(viso)'!F28</f>
        <v>1272</v>
      </c>
      <c r="G28" s="127">
        <f>+R_2014_10_priskirta!G29+'R_2014_10_atkelta(viso)'!G28</f>
        <v>93</v>
      </c>
      <c r="H28" s="127">
        <f>+R_2014_10_priskirta!H29+'R_2014_10_atkelta(viso)'!H28</f>
        <v>246</v>
      </c>
      <c r="I28" s="127">
        <f>+R_2014_10_priskirta!I29+'R_2014_10_atkelta(viso)'!I28</f>
        <v>0</v>
      </c>
      <c r="J28" s="127">
        <f>+R_2014_10_priskirta!J29+'R_2014_10_atkelta(viso)'!J28</f>
        <v>0</v>
      </c>
      <c r="K28" s="127">
        <f>+R_2014_10_priskirta!K29+'R_2014_10_atkelta(viso)'!K28</f>
        <v>0</v>
      </c>
      <c r="L28" s="127">
        <f>+R_2014_10_priskirta!L29+'R_2014_10_atkelta(viso)'!L28</f>
        <v>0</v>
      </c>
      <c r="M28" s="127">
        <f>+R_2014_10_priskirta!M29+'R_2014_10_atkelta(viso)'!M28</f>
        <v>0</v>
      </c>
      <c r="N28" s="127">
        <f>+R_2014_10_priskirta!N29+'R_2014_10_atkelta(viso)'!N28</f>
        <v>9</v>
      </c>
      <c r="O28" s="127">
        <f>+R_2014_10_priskirta!O29+'R_2014_10_atkelta(viso)'!O28</f>
        <v>9681</v>
      </c>
      <c r="P28" s="127">
        <f>+R_2014_10_priskirta!P29+'R_2014_10_atkelta(viso)'!P28</f>
        <v>0</v>
      </c>
      <c r="Q28" s="24">
        <f t="shared" si="21"/>
        <v>11391</v>
      </c>
      <c r="R28" s="229">
        <f t="shared" si="6"/>
        <v>10450.458715596329</v>
      </c>
      <c r="S28" s="73">
        <f t="shared" si="23"/>
        <v>940.54128440367094</v>
      </c>
      <c r="T28" s="21">
        <f t="shared" si="22"/>
        <v>42.18888888888889</v>
      </c>
      <c r="U28" s="71"/>
      <c r="V28" s="61"/>
      <c r="W28" s="13"/>
      <c r="X28" s="2"/>
      <c r="Y28" s="2"/>
    </row>
    <row r="29" spans="1:25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+R_2014_10_priskirta!E30+'R_2014_10_atkelta(viso)'!E29</f>
        <v>46.5</v>
      </c>
      <c r="F29" s="127">
        <f>+R_2014_10_priskirta!F30+'R_2014_10_atkelta(viso)'!F29</f>
        <v>84</v>
      </c>
      <c r="G29" s="127">
        <f>+R_2014_10_priskirta!G30+'R_2014_10_atkelta(viso)'!G29</f>
        <v>0</v>
      </c>
      <c r="H29" s="127">
        <f>+R_2014_10_priskirta!H30+'R_2014_10_atkelta(viso)'!H29</f>
        <v>138</v>
      </c>
      <c r="I29" s="127">
        <f>+R_2014_10_priskirta!I30+'R_2014_10_atkelta(viso)'!I29</f>
        <v>0</v>
      </c>
      <c r="J29" s="127">
        <f>+R_2014_10_priskirta!J30+'R_2014_10_atkelta(viso)'!J29</f>
        <v>0</v>
      </c>
      <c r="K29" s="127">
        <f>+R_2014_10_priskirta!K30+'R_2014_10_atkelta(viso)'!K29</f>
        <v>0</v>
      </c>
      <c r="L29" s="127">
        <f>+R_2014_10_priskirta!L30+'R_2014_10_atkelta(viso)'!L29</f>
        <v>0</v>
      </c>
      <c r="M29" s="127">
        <f>+R_2014_10_priskirta!M30+'R_2014_10_atkelta(viso)'!M29</f>
        <v>0</v>
      </c>
      <c r="N29" s="127">
        <f>+R_2014_10_priskirta!N30+'R_2014_10_atkelta(viso)'!N29</f>
        <v>0</v>
      </c>
      <c r="O29" s="127">
        <f>+R_2014_10_priskirta!O30+'R_2014_10_atkelta(viso)'!O29</f>
        <v>3</v>
      </c>
      <c r="P29" s="127">
        <f>+R_2014_10_priskirta!P30+'R_2014_10_atkelta(viso)'!P29</f>
        <v>0</v>
      </c>
      <c r="Q29" s="24">
        <f t="shared" si="21"/>
        <v>271.5</v>
      </c>
      <c r="R29" s="229">
        <f t="shared" si="6"/>
        <v>249.08256880733944</v>
      </c>
      <c r="S29" s="73">
        <f t="shared" si="23"/>
        <v>22.417431192660558</v>
      </c>
      <c r="T29" s="21">
        <f t="shared" si="22"/>
        <v>2.0111111111111111</v>
      </c>
      <c r="U29" s="71"/>
      <c r="V29" s="61">
        <v>135</v>
      </c>
      <c r="W29" s="13">
        <f t="shared" si="26"/>
        <v>271.5</v>
      </c>
      <c r="X29" s="2"/>
      <c r="Y29" s="2"/>
    </row>
    <row r="30" spans="1:25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+R_2014_10_priskirta!E31+'R_2014_10_atkelta(viso)'!E30</f>
        <v>43.800000000000004</v>
      </c>
      <c r="F30" s="127">
        <f>+R_2014_10_priskirta!F31+'R_2014_10_atkelta(viso)'!F30</f>
        <v>530.4</v>
      </c>
      <c r="G30" s="127">
        <f>+R_2014_10_priskirta!G31+'R_2014_10_atkelta(viso)'!G30</f>
        <v>103.2</v>
      </c>
      <c r="H30" s="127">
        <f>+R_2014_10_priskirta!H31+'R_2014_10_atkelta(viso)'!H30</f>
        <v>83.4</v>
      </c>
      <c r="I30" s="127">
        <f>+R_2014_10_priskirta!I31+'R_2014_10_atkelta(viso)'!I30</f>
        <v>0</v>
      </c>
      <c r="J30" s="127">
        <f>+R_2014_10_priskirta!J31+'R_2014_10_atkelta(viso)'!J30</f>
        <v>0</v>
      </c>
      <c r="K30" s="127">
        <f>+R_2014_10_priskirta!K31+'R_2014_10_atkelta(viso)'!K30</f>
        <v>0</v>
      </c>
      <c r="L30" s="127">
        <f>+R_2014_10_priskirta!L31+'R_2014_10_atkelta(viso)'!L30</f>
        <v>0</v>
      </c>
      <c r="M30" s="127">
        <f>+R_2014_10_priskirta!M31+'R_2014_10_atkelta(viso)'!M30</f>
        <v>18.600000000000001</v>
      </c>
      <c r="N30" s="127">
        <f>+R_2014_10_priskirta!N31+'R_2014_10_atkelta(viso)'!N30</f>
        <v>92.4</v>
      </c>
      <c r="O30" s="127">
        <f>+R_2014_10_priskirta!O31+'R_2014_10_atkelta(viso)'!O30</f>
        <v>1482</v>
      </c>
      <c r="P30" s="127">
        <f>+R_2014_10_priskirta!P31+'R_2014_10_atkelta(viso)'!P30</f>
        <v>0</v>
      </c>
      <c r="Q30" s="24">
        <f t="shared" si="21"/>
        <v>2353.8000000000002</v>
      </c>
      <c r="R30" s="229">
        <f t="shared" si="6"/>
        <v>2159.4495412844035</v>
      </c>
      <c r="S30" s="73">
        <f t="shared" si="23"/>
        <v>194.35045871559669</v>
      </c>
      <c r="T30" s="21">
        <f t="shared" si="22"/>
        <v>43.588888888888896</v>
      </c>
      <c r="U30" s="71"/>
      <c r="V30" s="61">
        <v>216</v>
      </c>
      <c r="W30" s="13">
        <f t="shared" si="26"/>
        <v>9415.2000000000007</v>
      </c>
      <c r="X30" s="2"/>
      <c r="Y30" s="2"/>
    </row>
    <row r="31" spans="1:2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+R_2014_10_priskirta!E32+'R_2014_10_atkelta(viso)'!E31</f>
        <v>103.33333333333331</v>
      </c>
      <c r="F31" s="127">
        <f>+R_2014_10_priskirta!F32+'R_2014_10_atkelta(viso)'!F31</f>
        <v>306.66666666666663</v>
      </c>
      <c r="G31" s="127">
        <f>+R_2014_10_priskirta!G32+'R_2014_10_atkelta(viso)'!G31</f>
        <v>40</v>
      </c>
      <c r="H31" s="127">
        <f>+R_2014_10_priskirta!H32+'R_2014_10_atkelta(viso)'!H31</f>
        <v>106.66333333333331</v>
      </c>
      <c r="I31" s="127">
        <f>+R_2014_10_priskirta!I32+'R_2014_10_atkelta(viso)'!I31</f>
        <v>0</v>
      </c>
      <c r="J31" s="127">
        <f>+R_2014_10_priskirta!J32+'R_2014_10_atkelta(viso)'!J31</f>
        <v>0</v>
      </c>
      <c r="K31" s="127">
        <f>+R_2014_10_priskirta!K32+'R_2014_10_atkelta(viso)'!K31</f>
        <v>0</v>
      </c>
      <c r="L31" s="127">
        <f>+R_2014_10_priskirta!L32+'R_2014_10_atkelta(viso)'!L31</f>
        <v>0</v>
      </c>
      <c r="M31" s="127">
        <f>+R_2014_10_priskirta!M32+'R_2014_10_atkelta(viso)'!M31</f>
        <v>0</v>
      </c>
      <c r="N31" s="127">
        <f>+R_2014_10_priskirta!N32+'R_2014_10_atkelta(viso)'!N31</f>
        <v>0</v>
      </c>
      <c r="O31" s="127">
        <f>+R_2014_10_priskirta!O32+'R_2014_10_atkelta(viso)'!O31</f>
        <v>206.67</v>
      </c>
      <c r="P31" s="127">
        <f>+R_2014_10_priskirta!P32+'R_2014_10_atkelta(viso)'!P31</f>
        <v>0</v>
      </c>
      <c r="Q31" s="24">
        <f t="shared" si="21"/>
        <v>763.33333333333326</v>
      </c>
      <c r="R31" s="229">
        <f t="shared" si="6"/>
        <v>700.30581039755339</v>
      </c>
      <c r="S31" s="73">
        <f t="shared" si="23"/>
        <v>63.027522935779871</v>
      </c>
      <c r="T31" s="21">
        <f t="shared" si="22"/>
        <v>1.2722222222222221</v>
      </c>
      <c r="U31" s="71"/>
      <c r="V31" s="61"/>
      <c r="W31" s="13"/>
      <c r="X31" s="2"/>
      <c r="Y31" s="2"/>
    </row>
    <row r="32" spans="1:2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+R_2014_10_priskirta!E33+'R_2014_10_atkelta(viso)'!E32</f>
        <v>0</v>
      </c>
      <c r="F32" s="127">
        <f>+R_2014_10_priskirta!F33+'R_2014_10_atkelta(viso)'!F32</f>
        <v>413.33333333333326</v>
      </c>
      <c r="G32" s="127">
        <f>+R_2014_10_priskirta!G33+'R_2014_10_atkelta(viso)'!G32</f>
        <v>154.99999999999997</v>
      </c>
      <c r="H32" s="127">
        <f>+R_2014_10_priskirta!H33+'R_2014_10_atkelta(viso)'!H32</f>
        <v>286.67</v>
      </c>
      <c r="I32" s="127">
        <f>+R_2014_10_priskirta!I33+'R_2014_10_atkelta(viso)'!I32</f>
        <v>0</v>
      </c>
      <c r="J32" s="127">
        <f>+R_2014_10_priskirta!J33+'R_2014_10_atkelta(viso)'!J32</f>
        <v>0</v>
      </c>
      <c r="K32" s="127">
        <f>+R_2014_10_priskirta!K33+'R_2014_10_atkelta(viso)'!K32</f>
        <v>0</v>
      </c>
      <c r="L32" s="127">
        <f>+R_2014_10_priskirta!L33+'R_2014_10_atkelta(viso)'!L32</f>
        <v>0</v>
      </c>
      <c r="M32" s="127">
        <f>+R_2014_10_priskirta!M33+'R_2014_10_atkelta(viso)'!M32</f>
        <v>0</v>
      </c>
      <c r="N32" s="127">
        <f>+R_2014_10_priskirta!N33+'R_2014_10_atkelta(viso)'!N32</f>
        <v>0</v>
      </c>
      <c r="O32" s="127">
        <f>+R_2014_10_priskirta!O33+'R_2014_10_atkelta(viso)'!O32</f>
        <v>155</v>
      </c>
      <c r="P32" s="127">
        <f>+R_2014_10_priskirta!P33+'R_2014_10_atkelta(viso)'!P32</f>
        <v>0</v>
      </c>
      <c r="Q32" s="24">
        <f t="shared" si="21"/>
        <v>1010.0033333333333</v>
      </c>
      <c r="R32" s="229">
        <f t="shared" si="6"/>
        <v>926.6085626911314</v>
      </c>
      <c r="S32" s="73">
        <f t="shared" si="23"/>
        <v>83.394770642201934</v>
      </c>
      <c r="T32" s="21">
        <f t="shared" si="22"/>
        <v>3.3666777777777779</v>
      </c>
      <c r="U32" s="71"/>
      <c r="V32" s="61">
        <v>300</v>
      </c>
      <c r="W32" s="13">
        <f t="shared" si="26"/>
        <v>1010.0033333333333</v>
      </c>
      <c r="X32" s="2"/>
      <c r="Y32" s="2"/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+R_2014_10_priskirta!E34+'R_2014_10_atkelta(viso)'!E33</f>
        <v>175.33999999999997</v>
      </c>
      <c r="F33" s="127">
        <f>+R_2014_10_priskirta!F34+'R_2014_10_atkelta(viso)'!F33</f>
        <v>1231.3400000000001</v>
      </c>
      <c r="G33" s="127">
        <f>+R_2014_10_priskirta!G34+'R_2014_10_atkelta(viso)'!G33</f>
        <v>144.66999999999999</v>
      </c>
      <c r="H33" s="127">
        <f>+R_2014_10_priskirta!H34+'R_2014_10_atkelta(viso)'!H33</f>
        <v>84</v>
      </c>
      <c r="I33" s="127">
        <f>+R_2014_10_priskirta!I34+'R_2014_10_atkelta(viso)'!I33</f>
        <v>0</v>
      </c>
      <c r="J33" s="127">
        <f>+R_2014_10_priskirta!J34+'R_2014_10_atkelta(viso)'!J33</f>
        <v>0</v>
      </c>
      <c r="K33" s="127">
        <f>+R_2014_10_priskirta!K34+'R_2014_10_atkelta(viso)'!K33</f>
        <v>0</v>
      </c>
      <c r="L33" s="127">
        <f>+R_2014_10_priskirta!L34+'R_2014_10_atkelta(viso)'!L33</f>
        <v>0</v>
      </c>
      <c r="M33" s="127">
        <f>+R_2014_10_priskirta!M34+'R_2014_10_atkelta(viso)'!M33</f>
        <v>27.340000000000003</v>
      </c>
      <c r="N33" s="127">
        <f>+R_2014_10_priskirta!N34+'R_2014_10_atkelta(viso)'!N33</f>
        <v>39.99666666666667</v>
      </c>
      <c r="O33" s="127">
        <f>+R_2014_10_priskirta!O34+'R_2014_10_atkelta(viso)'!O33</f>
        <v>1414.67</v>
      </c>
      <c r="P33" s="127">
        <f>+R_2014_10_priskirta!P34+'R_2014_10_atkelta(viso)'!P33</f>
        <v>0</v>
      </c>
      <c r="Q33" s="24">
        <f t="shared" si="21"/>
        <v>3117.3566666666666</v>
      </c>
      <c r="R33" s="229">
        <f t="shared" si="6"/>
        <v>2859.9602446483177</v>
      </c>
      <c r="S33" s="73">
        <f t="shared" si="23"/>
        <v>257.39642201834886</v>
      </c>
      <c r="T33" s="21">
        <f t="shared" si="22"/>
        <v>25.97797222222222</v>
      </c>
      <c r="U33" s="71"/>
      <c r="V33" s="61">
        <v>480</v>
      </c>
      <c r="W33" s="13">
        <f t="shared" si="26"/>
        <v>12469.426666666666</v>
      </c>
      <c r="X33" s="2"/>
      <c r="Y33" s="2"/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+R_2014_10_priskirta!E35+'R_2014_10_atkelta(viso)'!E34</f>
        <v>0</v>
      </c>
      <c r="F34" s="127">
        <f>+R_2014_10_priskirta!F35+'R_2014_10_atkelta(viso)'!F34</f>
        <v>0</v>
      </c>
      <c r="G34" s="127">
        <f>+R_2014_10_priskirta!G35+'R_2014_10_atkelta(viso)'!G34</f>
        <v>0</v>
      </c>
      <c r="H34" s="127">
        <f>+R_2014_10_priskirta!H35+'R_2014_10_atkelta(viso)'!H34</f>
        <v>0</v>
      </c>
      <c r="I34" s="127">
        <f>+R_2014_10_priskirta!I35+'R_2014_10_atkelta(viso)'!I34</f>
        <v>0</v>
      </c>
      <c r="J34" s="127">
        <f>+R_2014_10_priskirta!J35+'R_2014_10_atkelta(viso)'!J34</f>
        <v>0</v>
      </c>
      <c r="K34" s="127">
        <f>+R_2014_10_priskirta!K35+'R_2014_10_atkelta(viso)'!K34</f>
        <v>0</v>
      </c>
      <c r="L34" s="127">
        <f>+R_2014_10_priskirta!L35+'R_2014_10_atkelta(viso)'!L34</f>
        <v>0</v>
      </c>
      <c r="M34" s="127">
        <f>+R_2014_10_priskirta!M35+'R_2014_10_atkelta(viso)'!M34</f>
        <v>0</v>
      </c>
      <c r="N34" s="127">
        <f>+R_2014_10_priskirta!N35+'R_2014_10_atkelta(viso)'!N34</f>
        <v>0</v>
      </c>
      <c r="O34" s="127">
        <f>+R_2014_10_priskirta!O35+'R_2014_10_atkelta(viso)'!O34</f>
        <v>546</v>
      </c>
      <c r="P34" s="127">
        <f>+R_2014_10_priskirta!P35+'R_2014_10_atkelta(viso)'!P34</f>
        <v>0</v>
      </c>
      <c r="Q34" s="24">
        <f t="shared" si="21"/>
        <v>546</v>
      </c>
      <c r="R34" s="229">
        <f t="shared" si="6"/>
        <v>500.9174311926605</v>
      </c>
      <c r="S34" s="73">
        <f t="shared" si="23"/>
        <v>45.082568807339499</v>
      </c>
      <c r="T34" s="21">
        <f t="shared" si="22"/>
        <v>1.0111111111111111</v>
      </c>
      <c r="U34" s="71"/>
      <c r="V34" s="61"/>
      <c r="W34" s="13"/>
      <c r="X34" s="2"/>
      <c r="Y34" s="2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+R_2014_10_priskirta!E36+'R_2014_10_atkelta(viso)'!E35</f>
        <v>0</v>
      </c>
      <c r="F35" s="127">
        <f>+R_2014_10_priskirta!F36+'R_2014_10_atkelta(viso)'!F35</f>
        <v>0</v>
      </c>
      <c r="G35" s="127">
        <f>+R_2014_10_priskirta!G36+'R_2014_10_atkelta(viso)'!G35</f>
        <v>0</v>
      </c>
      <c r="H35" s="127">
        <f>+R_2014_10_priskirta!H36+'R_2014_10_atkelta(viso)'!H35</f>
        <v>0</v>
      </c>
      <c r="I35" s="127">
        <f>+R_2014_10_priskirta!I36+'R_2014_10_atkelta(viso)'!I35</f>
        <v>0</v>
      </c>
      <c r="J35" s="127">
        <f>+R_2014_10_priskirta!J36+'R_2014_10_atkelta(viso)'!J35</f>
        <v>0</v>
      </c>
      <c r="K35" s="127">
        <f>+R_2014_10_priskirta!K36+'R_2014_10_atkelta(viso)'!K35</f>
        <v>0</v>
      </c>
      <c r="L35" s="127">
        <f>+R_2014_10_priskirta!L36+'R_2014_10_atkelta(viso)'!L35</f>
        <v>0</v>
      </c>
      <c r="M35" s="127">
        <f>+R_2014_10_priskirta!M36+'R_2014_10_atkelta(viso)'!M35</f>
        <v>0</v>
      </c>
      <c r="N35" s="127">
        <f>+R_2014_10_priskirta!N36+'R_2014_10_atkelta(viso)'!N35</f>
        <v>0</v>
      </c>
      <c r="O35" s="127">
        <f>+R_2014_10_priskirta!O36+'R_2014_10_atkelta(viso)'!O35</f>
        <v>0</v>
      </c>
      <c r="P35" s="127">
        <f>+R_2014_10_priskirta!P36+'R_2014_10_atkelta(viso)'!P35</f>
        <v>0</v>
      </c>
      <c r="Q35" s="24">
        <f t="shared" si="21"/>
        <v>0</v>
      </c>
      <c r="R35" s="229">
        <f t="shared" si="6"/>
        <v>0</v>
      </c>
      <c r="S35" s="73">
        <f t="shared" si="23"/>
        <v>0</v>
      </c>
      <c r="T35" s="21">
        <f t="shared" si="22"/>
        <v>0</v>
      </c>
      <c r="U35" s="71"/>
      <c r="V35" s="61">
        <v>270</v>
      </c>
      <c r="W35" s="13">
        <f t="shared" si="26"/>
        <v>0</v>
      </c>
      <c r="X35" s="2"/>
      <c r="Y35" s="2"/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+R_2014_10_priskirta!E37+'R_2014_10_atkelta(viso)'!E36</f>
        <v>37.200000000000003</v>
      </c>
      <c r="F36" s="127">
        <f>+R_2014_10_priskirta!F37+'R_2014_10_atkelta(viso)'!F36</f>
        <v>54</v>
      </c>
      <c r="G36" s="127">
        <f>+R_2014_10_priskirta!G37+'R_2014_10_atkelta(viso)'!G36</f>
        <v>0</v>
      </c>
      <c r="H36" s="127">
        <f>+R_2014_10_priskirta!H37+'R_2014_10_atkelta(viso)'!H36</f>
        <v>18</v>
      </c>
      <c r="I36" s="127">
        <f>+R_2014_10_priskirta!I37+'R_2014_10_atkelta(viso)'!I36</f>
        <v>0</v>
      </c>
      <c r="J36" s="127">
        <f>+R_2014_10_priskirta!J37+'R_2014_10_atkelta(viso)'!J36</f>
        <v>0</v>
      </c>
      <c r="K36" s="127">
        <f>+R_2014_10_priskirta!K37+'R_2014_10_atkelta(viso)'!K36</f>
        <v>0</v>
      </c>
      <c r="L36" s="127">
        <f>+R_2014_10_priskirta!L37+'R_2014_10_atkelta(viso)'!L36</f>
        <v>0</v>
      </c>
      <c r="M36" s="127">
        <f>+R_2014_10_priskirta!M37+'R_2014_10_atkelta(viso)'!M36</f>
        <v>41.33</v>
      </c>
      <c r="N36" s="127">
        <f>+R_2014_10_priskirta!N37+'R_2014_10_atkelta(viso)'!N36</f>
        <v>18.600000000000001</v>
      </c>
      <c r="O36" s="127">
        <f>+R_2014_10_priskirta!O37+'R_2014_10_atkelta(viso)'!O36</f>
        <v>52.800000000000004</v>
      </c>
      <c r="P36" s="127">
        <f>+R_2014_10_priskirta!P37+'R_2014_10_atkelta(viso)'!P36</f>
        <v>0</v>
      </c>
      <c r="Q36" s="24">
        <f t="shared" si="21"/>
        <v>221.93</v>
      </c>
      <c r="R36" s="229">
        <f t="shared" si="6"/>
        <v>203.60550458715596</v>
      </c>
      <c r="S36" s="73">
        <f t="shared" si="23"/>
        <v>18.324495412844044</v>
      </c>
      <c r="T36" s="21">
        <f t="shared" si="22"/>
        <v>2.0549074074074074</v>
      </c>
      <c r="U36" s="71"/>
      <c r="V36" s="61">
        <v>432</v>
      </c>
      <c r="W36" s="13">
        <f t="shared" si="26"/>
        <v>887.72</v>
      </c>
      <c r="X36" s="2"/>
      <c r="Y36" s="2"/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+R_2014_10_priskirta!E38+'R_2014_10_atkelta(viso)'!E37</f>
        <v>0</v>
      </c>
      <c r="F37" s="127">
        <f>+R_2014_10_priskirta!F38+'R_2014_10_atkelta(viso)'!F37</f>
        <v>206.66666666666663</v>
      </c>
      <c r="G37" s="127">
        <f>+R_2014_10_priskirta!G38+'R_2014_10_atkelta(viso)'!G37</f>
        <v>0</v>
      </c>
      <c r="H37" s="127">
        <f>+R_2014_10_priskirta!H38+'R_2014_10_atkelta(viso)'!H37</f>
        <v>206.67</v>
      </c>
      <c r="I37" s="127">
        <f>+R_2014_10_priskirta!I38+'R_2014_10_atkelta(viso)'!I37</f>
        <v>0</v>
      </c>
      <c r="J37" s="127">
        <f>+R_2014_10_priskirta!J38+'R_2014_10_atkelta(viso)'!J37</f>
        <v>0</v>
      </c>
      <c r="K37" s="127">
        <f>+R_2014_10_priskirta!K38+'R_2014_10_atkelta(viso)'!K37</f>
        <v>0</v>
      </c>
      <c r="L37" s="127">
        <f>+R_2014_10_priskirta!L38+'R_2014_10_atkelta(viso)'!L37</f>
        <v>0</v>
      </c>
      <c r="M37" s="127">
        <f>+R_2014_10_priskirta!M38+'R_2014_10_atkelta(viso)'!M37</f>
        <v>0</v>
      </c>
      <c r="N37" s="127">
        <f>+R_2014_10_priskirta!N38+'R_2014_10_atkelta(viso)'!N37</f>
        <v>0</v>
      </c>
      <c r="O37" s="127">
        <f>+R_2014_10_priskirta!O38+'R_2014_10_atkelta(viso)'!O37</f>
        <v>103.33</v>
      </c>
      <c r="P37" s="127">
        <f>+R_2014_10_priskirta!P38+'R_2014_10_atkelta(viso)'!P37</f>
        <v>0</v>
      </c>
      <c r="Q37" s="24">
        <f t="shared" si="21"/>
        <v>516.66666666666663</v>
      </c>
      <c r="R37" s="229">
        <f t="shared" si="6"/>
        <v>474.00611620795098</v>
      </c>
      <c r="S37" s="73">
        <f t="shared" si="23"/>
        <v>42.660550458715647</v>
      </c>
      <c r="T37" s="21">
        <f t="shared" si="22"/>
        <v>0.57407407407407407</v>
      </c>
      <c r="U37" s="71"/>
      <c r="V37" s="61"/>
      <c r="W37" s="13"/>
      <c r="X37" s="2"/>
      <c r="Y37" s="2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+R_2014_10_priskirta!E39+'R_2014_10_atkelta(viso)'!E38</f>
        <v>0</v>
      </c>
      <c r="F38" s="127">
        <f>+R_2014_10_priskirta!F39+'R_2014_10_atkelta(viso)'!F38</f>
        <v>206.66666666666663</v>
      </c>
      <c r="G38" s="127">
        <f>+R_2014_10_priskirta!G39+'R_2014_10_atkelta(viso)'!G38</f>
        <v>0</v>
      </c>
      <c r="H38" s="127">
        <f>+R_2014_10_priskirta!H39+'R_2014_10_atkelta(viso)'!H38</f>
        <v>0</v>
      </c>
      <c r="I38" s="127">
        <f>+R_2014_10_priskirta!I39+'R_2014_10_atkelta(viso)'!I38</f>
        <v>0</v>
      </c>
      <c r="J38" s="127">
        <f>+R_2014_10_priskirta!J39+'R_2014_10_atkelta(viso)'!J38</f>
        <v>0</v>
      </c>
      <c r="K38" s="127">
        <f>+R_2014_10_priskirta!K39+'R_2014_10_atkelta(viso)'!K38</f>
        <v>0</v>
      </c>
      <c r="L38" s="127">
        <f>+R_2014_10_priskirta!L39+'R_2014_10_atkelta(viso)'!L38</f>
        <v>0</v>
      </c>
      <c r="M38" s="127">
        <f>+R_2014_10_priskirta!M39+'R_2014_10_atkelta(viso)'!M38</f>
        <v>0</v>
      </c>
      <c r="N38" s="127">
        <f>+R_2014_10_priskirta!N39+'R_2014_10_atkelta(viso)'!N38</f>
        <v>0</v>
      </c>
      <c r="O38" s="127">
        <f>+R_2014_10_priskirta!O39+'R_2014_10_atkelta(viso)'!O38</f>
        <v>0</v>
      </c>
      <c r="P38" s="127">
        <f>+R_2014_10_priskirta!P39+'R_2014_10_atkelta(viso)'!P38</f>
        <v>0</v>
      </c>
      <c r="Q38" s="24">
        <f t="shared" si="21"/>
        <v>206.66666666666663</v>
      </c>
      <c r="R38" s="229">
        <f t="shared" si="6"/>
        <v>189.60244648318039</v>
      </c>
      <c r="S38" s="73">
        <f t="shared" si="23"/>
        <v>17.064220183486242</v>
      </c>
      <c r="T38" s="21">
        <f t="shared" si="22"/>
        <v>0.4592592592592592</v>
      </c>
      <c r="U38" s="71"/>
      <c r="V38" s="61">
        <v>450</v>
      </c>
      <c r="W38" s="13">
        <f t="shared" si="26"/>
        <v>206.66666666666663</v>
      </c>
      <c r="X38" s="2"/>
      <c r="Y38" s="2"/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+R_2014_10_priskirta!E40+'R_2014_10_atkelta(viso)'!E39</f>
        <v>144.66999999999999</v>
      </c>
      <c r="F39" s="127">
        <f>+R_2014_10_priskirta!F40+'R_2014_10_atkelta(viso)'!F39</f>
        <v>2136.66</v>
      </c>
      <c r="G39" s="127">
        <f>+R_2014_10_priskirta!G40+'R_2014_10_atkelta(viso)'!G39</f>
        <v>289.33</v>
      </c>
      <c r="H39" s="127">
        <f>+R_2014_10_priskirta!H40+'R_2014_10_atkelta(viso)'!H39</f>
        <v>266.00666666666672</v>
      </c>
      <c r="I39" s="127">
        <f>+R_2014_10_priskirta!I40+'R_2014_10_atkelta(viso)'!I39</f>
        <v>0</v>
      </c>
      <c r="J39" s="127">
        <f>+R_2014_10_priskirta!J40+'R_2014_10_atkelta(viso)'!J39</f>
        <v>0</v>
      </c>
      <c r="K39" s="127">
        <f>+R_2014_10_priskirta!K40+'R_2014_10_atkelta(viso)'!K39</f>
        <v>0</v>
      </c>
      <c r="L39" s="127">
        <f>+R_2014_10_priskirta!L40+'R_2014_10_atkelta(viso)'!L39</f>
        <v>0</v>
      </c>
      <c r="M39" s="127">
        <f>+R_2014_10_priskirta!M40+'R_2014_10_atkelta(viso)'!M39</f>
        <v>22.67</v>
      </c>
      <c r="N39" s="127">
        <f>+R_2014_10_priskirta!N40+'R_2014_10_atkelta(viso)'!N39</f>
        <v>57.333333333333329</v>
      </c>
      <c r="O39" s="127">
        <f>+R_2014_10_priskirta!O40+'R_2014_10_atkelta(viso)'!O39</f>
        <v>2308.66</v>
      </c>
      <c r="P39" s="127">
        <f>+R_2014_10_priskirta!P40+'R_2014_10_atkelta(viso)'!P39</f>
        <v>0</v>
      </c>
      <c r="Q39" s="24">
        <f t="shared" si="21"/>
        <v>5225.33</v>
      </c>
      <c r="R39" s="229">
        <f t="shared" si="6"/>
        <v>4793.880733944954</v>
      </c>
      <c r="S39" s="73">
        <f t="shared" si="23"/>
        <v>431.44926605504588</v>
      </c>
      <c r="T39" s="21">
        <f t="shared" si="22"/>
        <v>29.029611111111112</v>
      </c>
      <c r="U39" s="71"/>
      <c r="V39" s="61">
        <v>720</v>
      </c>
      <c r="W39" s="13">
        <f t="shared" si="26"/>
        <v>20901.32</v>
      </c>
      <c r="X39" s="2"/>
      <c r="Y39" s="2"/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+R_2014_10_priskirta!E41+'R_2014_10_atkelta(viso)'!E40</f>
        <v>0</v>
      </c>
      <c r="F40" s="127">
        <f>+R_2014_10_priskirta!F41+'R_2014_10_atkelta(viso)'!F40</f>
        <v>0</v>
      </c>
      <c r="G40" s="127">
        <f>+R_2014_10_priskirta!G41+'R_2014_10_atkelta(viso)'!G40</f>
        <v>0</v>
      </c>
      <c r="H40" s="127">
        <f>+R_2014_10_priskirta!H41+'R_2014_10_atkelta(viso)'!H40</f>
        <v>0</v>
      </c>
      <c r="I40" s="127">
        <f>+R_2014_10_priskirta!I41+'R_2014_10_atkelta(viso)'!I40</f>
        <v>0</v>
      </c>
      <c r="J40" s="127">
        <f>+R_2014_10_priskirta!J41+'R_2014_10_atkelta(viso)'!J40</f>
        <v>0</v>
      </c>
      <c r="K40" s="127">
        <f>+R_2014_10_priskirta!K41+'R_2014_10_atkelta(viso)'!K40</f>
        <v>0</v>
      </c>
      <c r="L40" s="127">
        <f>+R_2014_10_priskirta!L41+'R_2014_10_atkelta(viso)'!L40</f>
        <v>0</v>
      </c>
      <c r="M40" s="127">
        <f>+R_2014_10_priskirta!M41+'R_2014_10_atkelta(viso)'!M40</f>
        <v>0</v>
      </c>
      <c r="N40" s="127">
        <f>+R_2014_10_priskirta!N41+'R_2014_10_atkelta(viso)'!N40</f>
        <v>0</v>
      </c>
      <c r="O40" s="127">
        <f>+R_2014_10_priskirta!O41+'R_2014_10_atkelta(viso)'!O40</f>
        <v>702</v>
      </c>
      <c r="P40" s="127">
        <f>+R_2014_10_priskirta!P41+'R_2014_10_atkelta(viso)'!P40</f>
        <v>0</v>
      </c>
      <c r="Q40" s="24">
        <f t="shared" si="21"/>
        <v>702</v>
      </c>
      <c r="R40" s="229">
        <f t="shared" si="6"/>
        <v>644.03669724770634</v>
      </c>
      <c r="S40" s="73">
        <f t="shared" si="23"/>
        <v>57.963302752293657</v>
      </c>
      <c r="T40" s="21">
        <f t="shared" si="22"/>
        <v>0.8666666666666667</v>
      </c>
      <c r="U40" s="71"/>
      <c r="V40" s="61"/>
      <c r="W40" s="13"/>
      <c r="X40" s="2"/>
      <c r="Y40" s="2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+R_2014_10_priskirta!E42+'R_2014_10_atkelta(viso)'!E41</f>
        <v>0</v>
      </c>
      <c r="F41" s="127">
        <f>+R_2014_10_priskirta!F42+'R_2014_10_atkelta(viso)'!F41</f>
        <v>0</v>
      </c>
      <c r="G41" s="127">
        <f>+R_2014_10_priskirta!G42+'R_2014_10_atkelta(viso)'!G41</f>
        <v>0</v>
      </c>
      <c r="H41" s="127">
        <f>+R_2014_10_priskirta!H42+'R_2014_10_atkelta(viso)'!H41</f>
        <v>0</v>
      </c>
      <c r="I41" s="127">
        <f>+R_2014_10_priskirta!I42+'R_2014_10_atkelta(viso)'!I41</f>
        <v>0</v>
      </c>
      <c r="J41" s="127">
        <f>+R_2014_10_priskirta!J42+'R_2014_10_atkelta(viso)'!J41</f>
        <v>0</v>
      </c>
      <c r="K41" s="127">
        <f>+R_2014_10_priskirta!K42+'R_2014_10_atkelta(viso)'!K41</f>
        <v>0</v>
      </c>
      <c r="L41" s="127">
        <f>+R_2014_10_priskirta!L42+'R_2014_10_atkelta(viso)'!L41</f>
        <v>0</v>
      </c>
      <c r="M41" s="127">
        <f>+R_2014_10_priskirta!M42+'R_2014_10_atkelta(viso)'!M41</f>
        <v>0</v>
      </c>
      <c r="N41" s="127">
        <f>+R_2014_10_priskirta!N42+'R_2014_10_atkelta(viso)'!N41</f>
        <v>0</v>
      </c>
      <c r="O41" s="127">
        <f>+R_2014_10_priskirta!O42+'R_2014_10_atkelta(viso)'!O41</f>
        <v>46.5</v>
      </c>
      <c r="P41" s="127">
        <f>+R_2014_10_priskirta!P42+'R_2014_10_atkelta(viso)'!P41</f>
        <v>0</v>
      </c>
      <c r="Q41" s="24">
        <f t="shared" si="21"/>
        <v>46.5</v>
      </c>
      <c r="R41" s="229">
        <f t="shared" si="6"/>
        <v>42.660550458715591</v>
      </c>
      <c r="S41" s="73">
        <f t="shared" si="23"/>
        <v>3.8394495412844094</v>
      </c>
      <c r="T41" s="21">
        <f t="shared" si="22"/>
        <v>0.11481481481481481</v>
      </c>
      <c r="U41" s="71"/>
      <c r="V41" s="61">
        <v>405</v>
      </c>
      <c r="W41" s="13">
        <f t="shared" si="26"/>
        <v>46.5</v>
      </c>
      <c r="X41" s="2"/>
      <c r="Y41" s="2"/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+R_2014_10_priskirta!E43+'R_2014_10_atkelta(viso)'!E42</f>
        <v>0</v>
      </c>
      <c r="F42" s="127">
        <f>+R_2014_10_priskirta!F43+'R_2014_10_atkelta(viso)'!F42</f>
        <v>167.4</v>
      </c>
      <c r="G42" s="127">
        <f>+R_2014_10_priskirta!G43+'R_2014_10_atkelta(viso)'!G42</f>
        <v>0</v>
      </c>
      <c r="H42" s="127">
        <f>+R_2014_10_priskirta!H43+'R_2014_10_atkelta(viso)'!H42</f>
        <v>18</v>
      </c>
      <c r="I42" s="127">
        <f>+R_2014_10_priskirta!I43+'R_2014_10_atkelta(viso)'!I42</f>
        <v>0</v>
      </c>
      <c r="J42" s="127">
        <f>+R_2014_10_priskirta!J43+'R_2014_10_atkelta(viso)'!J42</f>
        <v>0</v>
      </c>
      <c r="K42" s="127">
        <f>+R_2014_10_priskirta!K43+'R_2014_10_atkelta(viso)'!K42</f>
        <v>0</v>
      </c>
      <c r="L42" s="127">
        <f>+R_2014_10_priskirta!L43+'R_2014_10_atkelta(viso)'!L42</f>
        <v>0</v>
      </c>
      <c r="M42" s="127">
        <f>+R_2014_10_priskirta!M43+'R_2014_10_atkelta(viso)'!M42</f>
        <v>0</v>
      </c>
      <c r="N42" s="127">
        <f>+R_2014_10_priskirta!N43+'R_2014_10_atkelta(viso)'!N42</f>
        <v>74.400000000000006</v>
      </c>
      <c r="O42" s="127">
        <f>+R_2014_10_priskirta!O43+'R_2014_10_atkelta(viso)'!O42</f>
        <v>390.6</v>
      </c>
      <c r="P42" s="127">
        <f>+R_2014_10_priskirta!P43+'R_2014_10_atkelta(viso)'!P42</f>
        <v>0</v>
      </c>
      <c r="Q42" s="24">
        <f t="shared" si="21"/>
        <v>650.40000000000009</v>
      </c>
      <c r="R42" s="229">
        <f t="shared" si="6"/>
        <v>596.6972477064221</v>
      </c>
      <c r="S42" s="207">
        <f t="shared" si="23"/>
        <v>53.702752293577987</v>
      </c>
      <c r="T42" s="39">
        <f t="shared" si="22"/>
        <v>4.0148148148148151</v>
      </c>
      <c r="U42" s="71"/>
      <c r="V42" s="61">
        <v>648</v>
      </c>
      <c r="W42" s="13">
        <f t="shared" si="26"/>
        <v>2601.6000000000004</v>
      </c>
      <c r="X42" s="2"/>
      <c r="Y42" s="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+R_2014_10_priskirta!E44+'R_2014_10_atkelta(viso)'!E43</f>
        <v>165.47849315068498</v>
      </c>
      <c r="F43" s="127">
        <f>+R_2014_10_priskirta!F44+'R_2014_10_atkelta(viso)'!F43</f>
        <v>12470.493150684733</v>
      </c>
      <c r="G43" s="127">
        <f>+R_2014_10_priskirta!G44+'R_2014_10_atkelta(viso)'!G43</f>
        <v>1632.3890410958904</v>
      </c>
      <c r="H43" s="127">
        <f>+R_2014_10_priskirta!H44+'R_2014_10_atkelta(viso)'!H43</f>
        <v>2307.0975342465754</v>
      </c>
      <c r="I43" s="127">
        <f>+R_2014_10_priskirta!I44+'R_2014_10_atkelta(viso)'!I43</f>
        <v>0</v>
      </c>
      <c r="J43" s="127">
        <f>+R_2014_10_priskirta!J44+'R_2014_10_atkelta(viso)'!J43</f>
        <v>0</v>
      </c>
      <c r="K43" s="127">
        <f>+R_2014_10_priskirta!K44+'R_2014_10_atkelta(viso)'!K43</f>
        <v>0</v>
      </c>
      <c r="L43" s="127">
        <f>+R_2014_10_priskirta!L44+'R_2014_10_atkelta(viso)'!L43</f>
        <v>0</v>
      </c>
      <c r="M43" s="127">
        <f>+R_2014_10_priskirta!M44+'R_2014_10_atkelta(viso)'!M43</f>
        <v>39.51</v>
      </c>
      <c r="N43" s="127">
        <f>+R_2014_10_priskirta!N44+'R_2014_10_atkelta(viso)'!N43</f>
        <v>0.84931506849315075</v>
      </c>
      <c r="O43" s="127">
        <f>+R_2014_10_priskirta!O44+'R_2014_10_atkelta(viso)'!O43</f>
        <v>28.551000000000002</v>
      </c>
      <c r="P43" s="127">
        <f>+R_2014_10_priskirta!P44+'R_2014_10_atkelta(viso)'!P43</f>
        <v>0</v>
      </c>
      <c r="Q43" s="24">
        <f t="shared" si="21"/>
        <v>16644.368534246372</v>
      </c>
      <c r="R43" s="229">
        <f t="shared" si="6"/>
        <v>15270.062875455385</v>
      </c>
      <c r="S43" s="147">
        <f t="shared" si="23"/>
        <v>1374.3056587909869</v>
      </c>
      <c r="T43" s="22">
        <f t="shared" si="22"/>
        <v>1664.4368534246373</v>
      </c>
      <c r="U43" s="71"/>
      <c r="V43" s="61"/>
      <c r="W43" s="13"/>
      <c r="X43" s="2"/>
      <c r="Y43" s="2"/>
    </row>
    <row r="44" spans="1:25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7466.03</v>
      </c>
      <c r="F44" s="82">
        <f>+SUM(F45:F53)</f>
        <v>152007.71000000002</v>
      </c>
      <c r="G44" s="82">
        <f t="shared" ref="G44:T44" si="27">+SUM(G45:G53)</f>
        <v>22884.400000000001</v>
      </c>
      <c r="H44" s="82">
        <f>+SUM(H45:H53)</f>
        <v>4466.3899999999994</v>
      </c>
      <c r="I44" s="82">
        <f t="shared" si="27"/>
        <v>0</v>
      </c>
      <c r="J44" s="82">
        <f t="shared" si="27"/>
        <v>0</v>
      </c>
      <c r="K44" s="100">
        <f t="shared" si="27"/>
        <v>0</v>
      </c>
      <c r="L44" s="100">
        <f t="shared" si="27"/>
        <v>0</v>
      </c>
      <c r="M44" s="100">
        <f t="shared" si="27"/>
        <v>1939.3</v>
      </c>
      <c r="N44" s="100">
        <f t="shared" si="27"/>
        <v>3614.96</v>
      </c>
      <c r="O44" s="100">
        <f t="shared" si="27"/>
        <v>12315.69</v>
      </c>
      <c r="P44" s="100">
        <f t="shared" si="27"/>
        <v>0</v>
      </c>
      <c r="Q44" s="42">
        <f>+SUM(Q45:Q53)</f>
        <v>204694.47999999995</v>
      </c>
      <c r="R44" s="82">
        <f t="shared" si="27"/>
        <v>187793.10091743115</v>
      </c>
      <c r="S44" s="82">
        <f t="shared" si="27"/>
        <v>16901.379082568827</v>
      </c>
      <c r="T44" s="19">
        <f t="shared" si="27"/>
        <v>29700.466666666667</v>
      </c>
      <c r="U44" s="71"/>
      <c r="V44" s="61"/>
      <c r="W44" s="105">
        <f>+SUM(W45:W53)</f>
        <v>284667.31999999995</v>
      </c>
    </row>
    <row r="45" spans="1:25" ht="12" customHeight="1" x14ac:dyDescent="0.25">
      <c r="A45" s="65" t="s">
        <v>17</v>
      </c>
      <c r="B45" s="86" t="s">
        <v>35</v>
      </c>
      <c r="C45" s="375" t="s">
        <v>2</v>
      </c>
      <c r="D45" s="376">
        <v>12</v>
      </c>
      <c r="E45" s="127">
        <f>+R_2014_10_priskirta!E46+'R_2014_10_atkelta(viso)'!E45</f>
        <v>912</v>
      </c>
      <c r="F45" s="127">
        <f>+R_2014_10_priskirta!F46+'R_2014_10_atkelta(viso)'!F45</f>
        <v>15408</v>
      </c>
      <c r="G45" s="127">
        <f>+R_2014_10_priskirta!G46+'R_2014_10_atkelta(viso)'!G45</f>
        <v>2088</v>
      </c>
      <c r="H45" s="127">
        <f>+R_2014_10_priskirta!H46+'R_2014_10_atkelta(viso)'!H45</f>
        <v>444</v>
      </c>
      <c r="I45" s="127">
        <f>+R_2014_10_priskirta!I46+'R_2014_10_atkelta(viso)'!I45</f>
        <v>0</v>
      </c>
      <c r="J45" s="127">
        <f>+R_2014_10_priskirta!J46+'R_2014_10_atkelta(viso)'!J45</f>
        <v>0</v>
      </c>
      <c r="K45" s="127">
        <f>+R_2014_10_priskirta!K46+'R_2014_10_atkelta(viso)'!K45</f>
        <v>0</v>
      </c>
      <c r="L45" s="127">
        <f>+R_2014_10_priskirta!L46+'R_2014_10_atkelta(viso)'!L45</f>
        <v>0</v>
      </c>
      <c r="M45" s="127">
        <f>+R_2014_10_priskirta!M46+'R_2014_10_atkelta(viso)'!M45</f>
        <v>192</v>
      </c>
      <c r="N45" s="127">
        <f>+R_2014_10_priskirta!N46+'R_2014_10_atkelta(viso)'!N45</f>
        <v>660</v>
      </c>
      <c r="O45" s="127">
        <f>+R_2014_10_priskirta!O46+'R_2014_10_atkelta(viso)'!O45</f>
        <v>1440</v>
      </c>
      <c r="P45" s="127">
        <f>+R_2014_10_priskirta!P46+'R_2014_10_atkelta(viso)'!P45</f>
        <v>0</v>
      </c>
      <c r="Q45" s="24">
        <f t="shared" si="21"/>
        <v>21144</v>
      </c>
      <c r="R45" s="229">
        <f t="shared" si="6"/>
        <v>19398.165137614676</v>
      </c>
      <c r="S45" s="99">
        <f t="shared" ref="S45:S53" si="28">+Q45-R45</f>
        <v>1745.8348623853235</v>
      </c>
      <c r="T45" s="116">
        <f t="shared" ref="T45:T53" si="29">Q45/D45</f>
        <v>1762</v>
      </c>
      <c r="U45" s="71"/>
      <c r="V45" s="61"/>
      <c r="W45" s="13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>
        <f>+R_2014_10_priskirta!E47+'R_2014_10_atkelta(viso)'!E46</f>
        <v>342</v>
      </c>
      <c r="F46" s="127">
        <f>+R_2014_10_priskirta!F47+'R_2014_10_atkelta(viso)'!F46</f>
        <v>2148</v>
      </c>
      <c r="G46" s="127">
        <f>+R_2014_10_priskirta!G47+'R_2014_10_atkelta(viso)'!G46</f>
        <v>366</v>
      </c>
      <c r="H46" s="127">
        <f>+R_2014_10_priskirta!H47+'R_2014_10_atkelta(viso)'!H46</f>
        <v>12</v>
      </c>
      <c r="I46" s="127">
        <f>+R_2014_10_priskirta!I47+'R_2014_10_atkelta(viso)'!I46</f>
        <v>0</v>
      </c>
      <c r="J46" s="127">
        <f>+R_2014_10_priskirta!J47+'R_2014_10_atkelta(viso)'!J46</f>
        <v>0</v>
      </c>
      <c r="K46" s="127">
        <f>+R_2014_10_priskirta!K47+'R_2014_10_atkelta(viso)'!K46</f>
        <v>0</v>
      </c>
      <c r="L46" s="127">
        <f>+R_2014_10_priskirta!L47+'R_2014_10_atkelta(viso)'!L46</f>
        <v>0</v>
      </c>
      <c r="M46" s="127">
        <f>+R_2014_10_priskirta!M47+'R_2014_10_atkelta(viso)'!M46</f>
        <v>54</v>
      </c>
      <c r="N46" s="127">
        <f>+R_2014_10_priskirta!N47+'R_2014_10_atkelta(viso)'!N46</f>
        <v>30</v>
      </c>
      <c r="O46" s="127">
        <f>+R_2014_10_priskirta!O47+'R_2014_10_atkelta(viso)'!O46</f>
        <v>150</v>
      </c>
      <c r="P46" s="127">
        <f>+R_2014_10_priskirta!P47+'R_2014_10_atkelta(viso)'!P46</f>
        <v>0</v>
      </c>
      <c r="Q46" s="5">
        <f t="shared" si="21"/>
        <v>3102</v>
      </c>
      <c r="R46" s="229">
        <f t="shared" si="6"/>
        <v>2845.8715596330271</v>
      </c>
      <c r="S46" s="5">
        <f t="shared" si="28"/>
        <v>256.12844036697288</v>
      </c>
      <c r="T46" s="31">
        <f t="shared" si="29"/>
        <v>517</v>
      </c>
      <c r="U46" s="71"/>
      <c r="V46" s="61">
        <v>6</v>
      </c>
      <c r="W46" s="13">
        <f t="shared" ref="W46:W47" si="30">+T46*V46</f>
        <v>3102</v>
      </c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+R_2014_10_priskirta!E48+'R_2014_10_atkelta(viso)'!E47</f>
        <v>1310.4000000000001</v>
      </c>
      <c r="F47" s="127">
        <f>+R_2014_10_priskirta!F48+'R_2014_10_atkelta(viso)'!F47</f>
        <v>36528</v>
      </c>
      <c r="G47" s="127">
        <f>+R_2014_10_priskirta!G48+'R_2014_10_atkelta(viso)'!G47</f>
        <v>6847.2</v>
      </c>
      <c r="H47" s="127">
        <f>+R_2014_10_priskirta!H48+'R_2014_10_atkelta(viso)'!H47</f>
        <v>235.20000000000005</v>
      </c>
      <c r="I47" s="127">
        <f>+R_2014_10_priskirta!I48+'R_2014_10_atkelta(viso)'!I47</f>
        <v>0</v>
      </c>
      <c r="J47" s="127">
        <f>+R_2014_10_priskirta!J48+'R_2014_10_atkelta(viso)'!J47</f>
        <v>0</v>
      </c>
      <c r="K47" s="127">
        <f>+R_2014_10_priskirta!K48+'R_2014_10_atkelta(viso)'!K47</f>
        <v>0</v>
      </c>
      <c r="L47" s="127">
        <f>+R_2014_10_priskirta!L48+'R_2014_10_atkelta(viso)'!L47</f>
        <v>0</v>
      </c>
      <c r="M47" s="127">
        <f>+R_2014_10_priskirta!M48+'R_2014_10_atkelta(viso)'!M47</f>
        <v>484.8</v>
      </c>
      <c r="N47" s="127">
        <f>+R_2014_10_priskirta!N48+'R_2014_10_atkelta(viso)'!N47</f>
        <v>871.19999999999982</v>
      </c>
      <c r="O47" s="127">
        <f>+R_2014_10_priskirta!O48+'R_2014_10_atkelta(viso)'!O47</f>
        <v>2052</v>
      </c>
      <c r="P47" s="127">
        <f>+R_2014_10_priskirta!P48+'R_2014_10_atkelta(viso)'!P47</f>
        <v>0</v>
      </c>
      <c r="Q47" s="24">
        <f t="shared" si="21"/>
        <v>48328.799999999996</v>
      </c>
      <c r="R47" s="229">
        <f t="shared" si="6"/>
        <v>44338.348623853206</v>
      </c>
      <c r="S47" s="5">
        <f t="shared" si="28"/>
        <v>3990.4513761467897</v>
      </c>
      <c r="T47" s="31">
        <f t="shared" si="29"/>
        <v>20137</v>
      </c>
      <c r="U47" s="71"/>
      <c r="V47" s="61">
        <v>9.6</v>
      </c>
      <c r="W47" s="13">
        <f t="shared" si="30"/>
        <v>193315.19999999998</v>
      </c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f>+R_2014_10_priskirta!E49+'R_2014_10_atkelta(viso)'!E48</f>
        <v>952</v>
      </c>
      <c r="F48" s="123">
        <f>+R_2014_10_priskirta!F49+'R_2014_10_atkelta(viso)'!F48</f>
        <v>17059</v>
      </c>
      <c r="G48" s="123">
        <f>+R_2014_10_priskirta!G49+'R_2014_10_atkelta(viso)'!G48</f>
        <v>1974</v>
      </c>
      <c r="H48" s="123">
        <f>+R_2014_10_priskirta!H49+'R_2014_10_atkelta(viso)'!H48</f>
        <v>952</v>
      </c>
      <c r="I48" s="123">
        <f>+R_2014_10_priskirta!I49+'R_2014_10_atkelta(viso)'!I48</f>
        <v>0</v>
      </c>
      <c r="J48" s="123">
        <f>+R_2014_10_priskirta!J49+'R_2014_10_atkelta(viso)'!J48</f>
        <v>0</v>
      </c>
      <c r="K48" s="123">
        <f>+R_2014_10_priskirta!K49+'R_2014_10_atkelta(viso)'!K48</f>
        <v>0</v>
      </c>
      <c r="L48" s="123">
        <f>+R_2014_10_priskirta!L49+'R_2014_10_atkelta(viso)'!L48</f>
        <v>0</v>
      </c>
      <c r="M48" s="123">
        <f>+R_2014_10_priskirta!M49+'R_2014_10_atkelta(viso)'!M48</f>
        <v>266</v>
      </c>
      <c r="N48" s="123">
        <f>+R_2014_10_priskirta!N49+'R_2014_10_atkelta(viso)'!N48</f>
        <v>336</v>
      </c>
      <c r="O48" s="123">
        <f>+R_2014_10_priskirta!O49+'R_2014_10_atkelta(viso)'!O48</f>
        <v>2373</v>
      </c>
      <c r="P48" s="123">
        <f>+R_2014_10_priskirta!P49+'R_2014_10_atkelta(viso)'!P48</f>
        <v>0</v>
      </c>
      <c r="Q48" s="5">
        <f t="shared" si="21"/>
        <v>23912</v>
      </c>
      <c r="R48" s="229">
        <f t="shared" si="6"/>
        <v>21937.614678899081</v>
      </c>
      <c r="S48" s="5">
        <f t="shared" si="28"/>
        <v>1974.3853211009191</v>
      </c>
      <c r="T48" s="31">
        <f t="shared" si="29"/>
        <v>1138.6666666666667</v>
      </c>
      <c r="U48" s="71"/>
      <c r="V48" s="61"/>
      <c r="W48" s="13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+R_2014_10_priskirta!E50+'R_2014_10_atkelta(viso)'!E49</f>
        <v>94.5</v>
      </c>
      <c r="F49" s="127">
        <f>+R_2014_10_priskirta!F50+'R_2014_10_atkelta(viso)'!F49</f>
        <v>1907.5</v>
      </c>
      <c r="G49" s="127">
        <f>+R_2014_10_priskirta!G50+'R_2014_10_atkelta(viso)'!G49</f>
        <v>262.5</v>
      </c>
      <c r="H49" s="127">
        <f>+R_2014_10_priskirta!H50+'R_2014_10_atkelta(viso)'!H49</f>
        <v>31.5</v>
      </c>
      <c r="I49" s="127">
        <f>+R_2014_10_priskirta!I50+'R_2014_10_atkelta(viso)'!I49</f>
        <v>0</v>
      </c>
      <c r="J49" s="127">
        <f>+R_2014_10_priskirta!J50+'R_2014_10_atkelta(viso)'!J49</f>
        <v>0</v>
      </c>
      <c r="K49" s="127">
        <f>+R_2014_10_priskirta!K50+'R_2014_10_atkelta(viso)'!K49</f>
        <v>0</v>
      </c>
      <c r="L49" s="127">
        <f>+R_2014_10_priskirta!L50+'R_2014_10_atkelta(viso)'!L49</f>
        <v>0</v>
      </c>
      <c r="M49" s="127">
        <f>+R_2014_10_priskirta!M50+'R_2014_10_atkelta(viso)'!M49</f>
        <v>42</v>
      </c>
      <c r="N49" s="127">
        <f>+R_2014_10_priskirta!N50+'R_2014_10_atkelta(viso)'!N49</f>
        <v>63</v>
      </c>
      <c r="O49" s="127">
        <f>+R_2014_10_priskirta!O50+'R_2014_10_atkelta(viso)'!O49</f>
        <v>70</v>
      </c>
      <c r="P49" s="127">
        <f>+R_2014_10_priskirta!P50+'R_2014_10_atkelta(viso)'!P49</f>
        <v>0</v>
      </c>
      <c r="Q49" s="24">
        <f t="shared" si="21"/>
        <v>2471</v>
      </c>
      <c r="R49" s="229">
        <f t="shared" si="6"/>
        <v>2266.9724770642201</v>
      </c>
      <c r="S49" s="5">
        <f t="shared" si="28"/>
        <v>204.02752293577987</v>
      </c>
      <c r="T49" s="21">
        <f t="shared" si="29"/>
        <v>235.33333333333334</v>
      </c>
      <c r="U49" s="71"/>
      <c r="V49" s="61">
        <v>10.5</v>
      </c>
      <c r="W49" s="13">
        <f t="shared" ref="W49:W50" si="31">+T49*V49</f>
        <v>2471</v>
      </c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+R_2014_10_priskirta!E51+'R_2014_10_atkelta(viso)'!E50</f>
        <v>282.8</v>
      </c>
      <c r="F50" s="127">
        <f>+R_2014_10_priskirta!F51+'R_2014_10_atkelta(viso)'!F50</f>
        <v>7936.6</v>
      </c>
      <c r="G50" s="127">
        <f>+R_2014_10_priskirta!G51+'R_2014_10_atkelta(viso)'!G50</f>
        <v>1059.8</v>
      </c>
      <c r="H50" s="127">
        <f>+R_2014_10_priskirta!H51+'R_2014_10_atkelta(viso)'!H50</f>
        <v>172.20000000000007</v>
      </c>
      <c r="I50" s="127">
        <f>+R_2014_10_priskirta!I51+'R_2014_10_atkelta(viso)'!I50</f>
        <v>0</v>
      </c>
      <c r="J50" s="127">
        <f>+R_2014_10_priskirta!J51+'R_2014_10_atkelta(viso)'!J50</f>
        <v>0</v>
      </c>
      <c r="K50" s="127">
        <f>+R_2014_10_priskirta!K51+'R_2014_10_atkelta(viso)'!K50</f>
        <v>0</v>
      </c>
      <c r="L50" s="127">
        <f>+R_2014_10_priskirta!L51+'R_2014_10_atkelta(viso)'!L50</f>
        <v>0</v>
      </c>
      <c r="M50" s="127">
        <f>+R_2014_10_priskirta!M51+'R_2014_10_atkelta(viso)'!M50</f>
        <v>51.8</v>
      </c>
      <c r="N50" s="127">
        <f>+R_2014_10_priskirta!N51+'R_2014_10_atkelta(viso)'!N50</f>
        <v>287.00000000000006</v>
      </c>
      <c r="O50" s="127">
        <f>+R_2014_10_priskirta!O51+'R_2014_10_atkelta(viso)'!O50</f>
        <v>880.6</v>
      </c>
      <c r="P50" s="127">
        <f>+R_2014_10_priskirta!P51+'R_2014_10_atkelta(viso)'!P50</f>
        <v>0</v>
      </c>
      <c r="Q50" s="24">
        <f t="shared" si="21"/>
        <v>10670.8</v>
      </c>
      <c r="R50" s="229">
        <f t="shared" si="6"/>
        <v>9789.7247706422004</v>
      </c>
      <c r="S50" s="5">
        <f t="shared" si="28"/>
        <v>881.07522935779889</v>
      </c>
      <c r="T50" s="21">
        <f t="shared" si="29"/>
        <v>2540.6666666666665</v>
      </c>
      <c r="U50" s="71"/>
      <c r="V50" s="61">
        <v>16.8</v>
      </c>
      <c r="W50" s="13">
        <f t="shared" si="31"/>
        <v>42683.199999999997</v>
      </c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+R_2014_10_priskirta!E52+'R_2014_10_atkelta(viso)'!E51</f>
        <v>3046.3</v>
      </c>
      <c r="F51" s="127">
        <f>+R_2014_10_priskirta!F52+'R_2014_10_atkelta(viso)'!F51</f>
        <v>59380.3</v>
      </c>
      <c r="G51" s="127">
        <f>+R_2014_10_priskirta!G52+'R_2014_10_atkelta(viso)'!G51</f>
        <v>8282</v>
      </c>
      <c r="H51" s="127">
        <f>+R_2014_10_priskirta!H52+'R_2014_10_atkelta(viso)'!H51</f>
        <v>2291.8999999999996</v>
      </c>
      <c r="I51" s="127">
        <f>+R_2014_10_priskirta!I52+'R_2014_10_atkelta(viso)'!I51</f>
        <v>0</v>
      </c>
      <c r="J51" s="127">
        <f>+R_2014_10_priskirta!J52+'R_2014_10_atkelta(viso)'!J51</f>
        <v>0</v>
      </c>
      <c r="K51" s="127">
        <f>+R_2014_10_priskirta!K52+'R_2014_10_atkelta(viso)'!K51</f>
        <v>0</v>
      </c>
      <c r="L51" s="127">
        <f>+R_2014_10_priskirta!L52+'R_2014_10_atkelta(viso)'!L51</f>
        <v>0</v>
      </c>
      <c r="M51" s="127">
        <f>+R_2014_10_priskirta!M52+'R_2014_10_atkelta(viso)'!M51</f>
        <v>733.9</v>
      </c>
      <c r="N51" s="127">
        <f>+R_2014_10_priskirta!N52+'R_2014_10_atkelta(viso)'!N51</f>
        <v>1123.4000000000001</v>
      </c>
      <c r="O51" s="127">
        <f>+R_2014_10_priskirta!O52+'R_2014_10_atkelta(viso)'!O51</f>
        <v>4182</v>
      </c>
      <c r="P51" s="127">
        <f>+R_2014_10_priskirta!P52+'R_2014_10_atkelta(viso)'!P51</f>
        <v>0</v>
      </c>
      <c r="Q51" s="24">
        <f t="shared" si="21"/>
        <v>79039.799999999988</v>
      </c>
      <c r="R51" s="229">
        <f t="shared" si="6"/>
        <v>72513.577981651353</v>
      </c>
      <c r="S51" s="5">
        <f t="shared" si="28"/>
        <v>6526.2220183486352</v>
      </c>
      <c r="T51" s="21">
        <f t="shared" si="29"/>
        <v>1927.7999999999997</v>
      </c>
      <c r="U51" s="71"/>
      <c r="V51" s="61"/>
      <c r="W51" s="13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+R_2014_10_priskirta!E53+'R_2014_10_atkelta(viso)'!E52</f>
        <v>215.25</v>
      </c>
      <c r="F52" s="127">
        <f>+R_2014_10_priskirta!F53+'R_2014_10_atkelta(viso)'!F52</f>
        <v>5315.6500000000005</v>
      </c>
      <c r="G52" s="127">
        <f>+R_2014_10_priskirta!G53+'R_2014_10_atkelta(viso)'!G52</f>
        <v>1025</v>
      </c>
      <c r="H52" s="127">
        <f>+R_2014_10_priskirta!H53+'R_2014_10_atkelta(viso)'!H52</f>
        <v>202.95</v>
      </c>
      <c r="I52" s="127">
        <f>+R_2014_10_priskirta!I53+'R_2014_10_atkelta(viso)'!I52</f>
        <v>0</v>
      </c>
      <c r="J52" s="127">
        <f>+R_2014_10_priskirta!J53+'R_2014_10_atkelta(viso)'!J52</f>
        <v>0</v>
      </c>
      <c r="K52" s="127">
        <f>+R_2014_10_priskirta!K53+'R_2014_10_atkelta(viso)'!K52</f>
        <v>0</v>
      </c>
      <c r="L52" s="127">
        <f>+R_2014_10_priskirta!L53+'R_2014_10_atkelta(viso)'!L52</f>
        <v>0</v>
      </c>
      <c r="M52" s="127">
        <f>+R_2014_10_priskirta!M53+'R_2014_10_atkelta(viso)'!M52</f>
        <v>82</v>
      </c>
      <c r="N52" s="127">
        <f>+R_2014_10_priskirta!N53+'R_2014_10_atkelta(viso)'!N52</f>
        <v>41.000000000000007</v>
      </c>
      <c r="O52" s="127">
        <f>+R_2014_10_priskirta!O53+'R_2014_10_atkelta(viso)'!O52</f>
        <v>120.95</v>
      </c>
      <c r="P52" s="127">
        <f>+R_2014_10_priskirta!P53+'R_2014_10_atkelta(viso)'!P52</f>
        <v>0</v>
      </c>
      <c r="Q52" s="24">
        <f t="shared" si="21"/>
        <v>7002.8</v>
      </c>
      <c r="R52" s="229">
        <f t="shared" si="6"/>
        <v>6424.5871559633024</v>
      </c>
      <c r="S52" s="5">
        <f t="shared" si="28"/>
        <v>578.21284403669779</v>
      </c>
      <c r="T52" s="21">
        <f t="shared" si="29"/>
        <v>341.6</v>
      </c>
      <c r="U52" s="71"/>
      <c r="V52" s="61">
        <v>20.5</v>
      </c>
      <c r="W52" s="13">
        <f t="shared" ref="W52:W53" si="32">+T52*V52</f>
        <v>7002.8</v>
      </c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+R_2014_10_priskirta!E54+'R_2014_10_atkelta(viso)'!E53</f>
        <v>310.77999999999997</v>
      </c>
      <c r="F53" s="199">
        <f>+R_2014_10_priskirta!F54+'R_2014_10_atkelta(viso)'!F53</f>
        <v>6324.6600000000008</v>
      </c>
      <c r="G53" s="199">
        <f>+R_2014_10_priskirta!G54+'R_2014_10_atkelta(viso)'!G53</f>
        <v>979.9</v>
      </c>
      <c r="H53" s="199">
        <f>+R_2014_10_priskirta!H54+'R_2014_10_atkelta(viso)'!H53</f>
        <v>124.64000000000001</v>
      </c>
      <c r="I53" s="199">
        <f>+R_2014_10_priskirta!I54+'R_2014_10_atkelta(viso)'!I53</f>
        <v>0</v>
      </c>
      <c r="J53" s="199">
        <f>+R_2014_10_priskirta!J54+'R_2014_10_atkelta(viso)'!J53</f>
        <v>0</v>
      </c>
      <c r="K53" s="199">
        <f>+R_2014_10_priskirta!K54+'R_2014_10_atkelta(viso)'!K53</f>
        <v>0</v>
      </c>
      <c r="L53" s="199">
        <f>+R_2014_10_priskirta!L54+'R_2014_10_atkelta(viso)'!L53</f>
        <v>0</v>
      </c>
      <c r="M53" s="199">
        <f>+R_2014_10_priskirta!M54+'R_2014_10_atkelta(viso)'!M53</f>
        <v>32.799999999999997</v>
      </c>
      <c r="N53" s="199">
        <f>+R_2014_10_priskirta!N54+'R_2014_10_atkelta(viso)'!N53</f>
        <v>203.36</v>
      </c>
      <c r="O53" s="199">
        <f>+R_2014_10_priskirta!O54+'R_2014_10_atkelta(viso)'!O53</f>
        <v>1047.1399999999999</v>
      </c>
      <c r="P53" s="199">
        <f>+R_2014_10_priskirta!P54+'R_2014_10_atkelta(viso)'!P53</f>
        <v>0</v>
      </c>
      <c r="Q53" s="359">
        <f t="shared" si="21"/>
        <v>9023.2800000000007</v>
      </c>
      <c r="R53" s="140">
        <f t="shared" si="6"/>
        <v>8278.2385321100919</v>
      </c>
      <c r="S53" s="6">
        <f t="shared" si="28"/>
        <v>745.04146788990874</v>
      </c>
      <c r="T53" s="22">
        <f t="shared" si="29"/>
        <v>1100.4000000000001</v>
      </c>
      <c r="U53" s="71"/>
      <c r="V53" s="61">
        <v>32.799999999999997</v>
      </c>
      <c r="W53" s="13">
        <f t="shared" si="32"/>
        <v>36093.120000000003</v>
      </c>
    </row>
    <row r="54" spans="1:23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3" x14ac:dyDescent="0.25">
      <c r="E55" s="2"/>
      <c r="F55" s="2"/>
      <c r="G55" s="2"/>
      <c r="H55" s="2"/>
      <c r="I55" s="2"/>
      <c r="J55" s="2"/>
      <c r="M55" s="2"/>
      <c r="N55" s="2"/>
      <c r="Q55" s="2"/>
      <c r="R55" s="2"/>
      <c r="S55" s="2"/>
    </row>
    <row r="57" spans="1:23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>
    <pageSetUpPr fitToPage="1"/>
  </sheetPr>
  <dimension ref="A1:BG73"/>
  <sheetViews>
    <sheetView zoomScaleNormal="100" workbookViewId="0">
      <pane xSplit="4" ySplit="4" topLeftCell="N50" activePane="bottomRight" state="frozen"/>
      <selection pane="topRight" activeCell="E1" sqref="E1"/>
      <selection pane="bottomLeft" activeCell="A5" sqref="A5"/>
      <selection pane="bottomRight" activeCell="D57" sqref="D57:Q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1.5546875" style="1" customWidth="1"/>
    <col min="9" max="9" width="15.109375" style="1" customWidth="1"/>
    <col min="10" max="10" width="14.109375" style="1" customWidth="1"/>
    <col min="11" max="11" width="11.33203125" style="1" customWidth="1"/>
    <col min="12" max="12" width="12.33203125" style="1" customWidth="1"/>
    <col min="13" max="13" width="13" style="1" customWidth="1"/>
    <col min="14" max="14" width="12.6640625" style="1" customWidth="1"/>
    <col min="15" max="15" width="13" style="1" customWidth="1"/>
    <col min="16" max="16" width="11.5546875" style="1" customWidth="1" outlineLevel="1"/>
    <col min="17" max="17" width="15.109375" style="1" bestFit="1" customWidth="1"/>
    <col min="18" max="19" width="12.33203125" style="1" customWidth="1"/>
    <col min="20" max="20" width="11.6640625" style="1" customWidth="1"/>
    <col min="21" max="21" width="13.77734375" style="1" customWidth="1"/>
    <col min="22" max="22" width="4.88671875" style="1" customWidth="1"/>
    <col min="23" max="23" width="12.88671875" style="2" customWidth="1"/>
    <col min="24" max="24" width="9.88671875" style="1" bestFit="1" customWidth="1"/>
    <col min="25" max="16384" width="8.88671875" style="1"/>
  </cols>
  <sheetData>
    <row r="1" spans="1:59" ht="22.2" customHeight="1" x14ac:dyDescent="0.3">
      <c r="A1" s="40" t="s">
        <v>484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59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59" ht="21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601" t="s">
        <v>178</v>
      </c>
      <c r="P3" s="602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59" ht="26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502</v>
      </c>
      <c r="M4" s="575"/>
      <c r="N4" s="575"/>
      <c r="O4" s="429" t="s">
        <v>481</v>
      </c>
      <c r="P4" s="431" t="s">
        <v>485</v>
      </c>
      <c r="Q4" s="591"/>
      <c r="R4" s="592"/>
      <c r="S4" s="592"/>
      <c r="T4" s="592"/>
      <c r="V4" s="87"/>
      <c r="W4" s="585"/>
    </row>
    <row r="5" spans="1:59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T5" si="0">+E6+E18+E44</f>
        <v>340942.77999999997</v>
      </c>
      <c r="F5" s="187">
        <f t="shared" si="0"/>
        <v>6786597.9800000004</v>
      </c>
      <c r="G5" s="82">
        <f t="shared" si="0"/>
        <v>1027491.34</v>
      </c>
      <c r="H5" s="82">
        <f t="shared" si="0"/>
        <v>175962.94</v>
      </c>
      <c r="I5" s="187">
        <f t="shared" si="0"/>
        <v>620519.19999999995</v>
      </c>
      <c r="J5" s="187">
        <f t="shared" si="0"/>
        <v>1055272.75</v>
      </c>
      <c r="K5" s="187">
        <f t="shared" si="0"/>
        <v>1045921.82</v>
      </c>
      <c r="L5" s="187">
        <f t="shared" si="0"/>
        <v>3244.2399999998765</v>
      </c>
      <c r="M5" s="187">
        <f t="shared" si="0"/>
        <v>110089.15999999999</v>
      </c>
      <c r="N5" s="192">
        <f>+N6+N18+N44</f>
        <v>146422</v>
      </c>
      <c r="O5" s="187">
        <f>+O6+O18+O44</f>
        <v>630834.38</v>
      </c>
      <c r="P5" s="19">
        <f>+P6+P18+P44</f>
        <v>94.399999999994179</v>
      </c>
      <c r="Q5" s="42">
        <f t="shared" ref="Q5:Q10" si="1">+SUM(E5:P5)</f>
        <v>11943392.990000002</v>
      </c>
      <c r="R5" s="42">
        <f t="shared" si="0"/>
        <v>10957241.275229355</v>
      </c>
      <c r="S5" s="42">
        <f t="shared" si="0"/>
        <v>986151.71477064281</v>
      </c>
      <c r="T5" s="42">
        <f t="shared" si="0"/>
        <v>2621667</v>
      </c>
      <c r="U5" s="71"/>
      <c r="V5" s="87"/>
      <c r="W5" s="135">
        <f>+W7+W18+W44</f>
        <v>7273848.5099999998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T6" si="2">+E7+E11</f>
        <v>80932.179999999978</v>
      </c>
      <c r="F6" s="187">
        <f t="shared" si="2"/>
        <v>1796330.58</v>
      </c>
      <c r="G6" s="82">
        <f t="shared" si="2"/>
        <v>269429.94</v>
      </c>
      <c r="H6" s="82">
        <f t="shared" si="2"/>
        <v>36055.94</v>
      </c>
      <c r="I6" s="187">
        <f t="shared" si="2"/>
        <v>620519.19999999995</v>
      </c>
      <c r="J6" s="187">
        <f t="shared" si="2"/>
        <v>1055272.75</v>
      </c>
      <c r="K6" s="187">
        <f t="shared" si="2"/>
        <v>1045921.82</v>
      </c>
      <c r="L6" s="187">
        <f t="shared" si="2"/>
        <v>3244.2399999998765</v>
      </c>
      <c r="M6" s="187">
        <f t="shared" si="2"/>
        <v>29324.46</v>
      </c>
      <c r="N6" s="192">
        <f>+N7+N11</f>
        <v>97823.2</v>
      </c>
      <c r="O6" s="187">
        <f t="shared" si="2"/>
        <v>149690.37999999998</v>
      </c>
      <c r="P6" s="19">
        <f t="shared" si="2"/>
        <v>4.3999999999941792</v>
      </c>
      <c r="Q6" s="42">
        <f t="shared" si="1"/>
        <v>5184549.0900000008</v>
      </c>
      <c r="R6" s="42">
        <f t="shared" si="2"/>
        <v>4756467.0550458711</v>
      </c>
      <c r="S6" s="42">
        <f t="shared" si="2"/>
        <v>428082.03495412855</v>
      </c>
      <c r="T6" s="42">
        <f t="shared" si="2"/>
        <v>2467716</v>
      </c>
      <c r="V6" s="61"/>
      <c r="W6" s="1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 spans="1:59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219">
        <f t="shared" si="3"/>
        <v>0</v>
      </c>
      <c r="G7" s="79">
        <f t="shared" si="3"/>
        <v>0</v>
      </c>
      <c r="H7" s="79">
        <f t="shared" si="3"/>
        <v>0</v>
      </c>
      <c r="I7" s="126">
        <f t="shared" si="3"/>
        <v>620519.19999999995</v>
      </c>
      <c r="J7" s="380">
        <f t="shared" si="3"/>
        <v>1055272.75</v>
      </c>
      <c r="K7" s="79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219">
        <f t="shared" si="4"/>
        <v>0</v>
      </c>
      <c r="P7" s="226">
        <f t="shared" si="4"/>
        <v>0</v>
      </c>
      <c r="Q7" s="43">
        <f t="shared" si="1"/>
        <v>1675791.95</v>
      </c>
      <c r="R7" s="43">
        <f t="shared" si="4"/>
        <v>1537423.8073394494</v>
      </c>
      <c r="S7" s="43">
        <f t="shared" si="4"/>
        <v>138368.1426605506</v>
      </c>
      <c r="T7" s="43">
        <f t="shared" si="4"/>
        <v>608101</v>
      </c>
      <c r="U7" s="71"/>
      <c r="V7" s="134"/>
      <c r="W7" s="105">
        <f>+SUM(W8:W17)</f>
        <v>1109032.4099999999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</row>
    <row r="8" spans="1:59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447772.5</v>
      </c>
      <c r="J8" s="127">
        <f>759626+29053.5</f>
        <v>788679.5</v>
      </c>
      <c r="K8" s="36"/>
      <c r="L8" s="36"/>
      <c r="M8" s="36"/>
      <c r="N8" s="127"/>
      <c r="O8" s="362"/>
      <c r="P8" s="355"/>
      <c r="Q8" s="24">
        <f t="shared" si="1"/>
        <v>1236452</v>
      </c>
      <c r="R8" s="5">
        <f t="shared" ref="R8:R10" si="5">+Q8/1.09</f>
        <v>1134359.6330275228</v>
      </c>
      <c r="S8" s="5">
        <f t="shared" ref="S8:S10" si="6">+Q8-R8</f>
        <v>102092.36697247718</v>
      </c>
      <c r="T8" s="5">
        <f>Q8/D8</f>
        <v>353272</v>
      </c>
      <c r="U8" s="71"/>
      <c r="V8" s="61"/>
      <c r="W8" s="13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</row>
    <row r="9" spans="1:59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7">+D8*0.5</f>
        <v>1.75</v>
      </c>
      <c r="E9" s="122"/>
      <c r="F9" s="17"/>
      <c r="G9" s="13"/>
      <c r="H9" s="13"/>
      <c r="I9" s="127">
        <v>170163</v>
      </c>
      <c r="J9" s="127">
        <f>253240.75+11529</f>
        <v>264769.75</v>
      </c>
      <c r="K9" s="143"/>
      <c r="L9" s="143"/>
      <c r="M9" s="143"/>
      <c r="N9" s="127"/>
      <c r="O9" s="17"/>
      <c r="P9" s="350"/>
      <c r="Q9" s="24">
        <f t="shared" si="1"/>
        <v>434932.75</v>
      </c>
      <c r="R9" s="26">
        <f t="shared" si="5"/>
        <v>399020.871559633</v>
      </c>
      <c r="S9" s="26">
        <f t="shared" si="6"/>
        <v>35911.878440367</v>
      </c>
      <c r="T9" s="26">
        <f>Q9/D9</f>
        <v>248533</v>
      </c>
      <c r="U9" s="71"/>
      <c r="V9" s="61">
        <v>1.75</v>
      </c>
      <c r="W9" s="13">
        <f>+T9*V9</f>
        <v>434932.75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</row>
    <row r="10" spans="1:59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2583.6999999999998</v>
      </c>
      <c r="J10" s="144">
        <f>1764+59.5</f>
        <v>1823.5</v>
      </c>
      <c r="K10" s="144"/>
      <c r="L10" s="144"/>
      <c r="M10" s="144"/>
      <c r="N10" s="144"/>
      <c r="O10" s="18"/>
      <c r="P10" s="350"/>
      <c r="Q10" s="24">
        <f t="shared" si="1"/>
        <v>4407.2</v>
      </c>
      <c r="R10" s="26">
        <f t="shared" si="5"/>
        <v>4043.3027522935777</v>
      </c>
      <c r="S10" s="26">
        <f t="shared" si="6"/>
        <v>363.89724770642215</v>
      </c>
      <c r="T10" s="26">
        <f>Q10/D10</f>
        <v>6296</v>
      </c>
      <c r="U10" s="71"/>
      <c r="V10" s="107">
        <v>2.8</v>
      </c>
      <c r="W10" s="13">
        <f>+T10*V10</f>
        <v>17628.8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 spans="1:59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80932.179999999978</v>
      </c>
      <c r="F11" s="16">
        <f t="shared" si="8"/>
        <v>1796330.58</v>
      </c>
      <c r="G11" s="84">
        <f t="shared" si="8"/>
        <v>269429.94</v>
      </c>
      <c r="H11" s="84">
        <f t="shared" si="8"/>
        <v>36055.94</v>
      </c>
      <c r="I11" s="84">
        <f t="shared" si="8"/>
        <v>0</v>
      </c>
      <c r="J11" s="74">
        <f t="shared" si="8"/>
        <v>0</v>
      </c>
      <c r="K11" s="101">
        <f t="shared" si="8"/>
        <v>1045921.82</v>
      </c>
      <c r="L11" s="101">
        <f t="shared" si="8"/>
        <v>3244.2399999998765</v>
      </c>
      <c r="M11" s="101">
        <f t="shared" si="8"/>
        <v>29324.46</v>
      </c>
      <c r="N11" s="101">
        <f t="shared" si="8"/>
        <v>97823.2</v>
      </c>
      <c r="O11" s="101">
        <f t="shared" si="8"/>
        <v>149690.37999999998</v>
      </c>
      <c r="P11" s="101">
        <f t="shared" si="8"/>
        <v>4.3999999999941792</v>
      </c>
      <c r="Q11" s="43">
        <f t="shared" si="8"/>
        <v>3508757.14</v>
      </c>
      <c r="R11" s="43">
        <f t="shared" si="8"/>
        <v>3219043.2477064221</v>
      </c>
      <c r="S11" s="43">
        <f t="shared" si="8"/>
        <v>289713.89229357796</v>
      </c>
      <c r="T11" s="43">
        <f t="shared" si="8"/>
        <v>1859614.9999999998</v>
      </c>
      <c r="U11" s="71"/>
      <c r="V11" s="61"/>
      <c r="W11" s="13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</row>
    <row r="12" spans="1:59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f>65285+19.8</f>
        <v>65304.800000000003</v>
      </c>
      <c r="F12" s="13">
        <v>1363634.8</v>
      </c>
      <c r="G12" s="13">
        <v>197181.6</v>
      </c>
      <c r="H12" s="13">
        <v>26719</v>
      </c>
      <c r="I12" s="13"/>
      <c r="J12" s="33"/>
      <c r="K12" s="33">
        <v>801288.4</v>
      </c>
      <c r="L12" s="305">
        <v>2496.9999999998836</v>
      </c>
      <c r="M12" s="308">
        <v>19635</v>
      </c>
      <c r="N12" s="127">
        <f>86006.8-13.2</f>
        <v>85993.600000000006</v>
      </c>
      <c r="O12" s="467">
        <f>131098-2.2</f>
        <v>131095.79999999999</v>
      </c>
      <c r="P12" s="164">
        <v>4.3999999999941792</v>
      </c>
      <c r="Q12" s="24">
        <f t="shared" ref="Q12:Q17" si="9">+SUM(E12:P12)</f>
        <v>2693354.4</v>
      </c>
      <c r="R12" s="5">
        <f t="shared" ref="R12:R17" si="10">+Q12/1.09</f>
        <v>2470967.3394495412</v>
      </c>
      <c r="S12" s="5">
        <f t="shared" ref="S12:S17" si="11">+Q12-R12</f>
        <v>222387.06055045873</v>
      </c>
      <c r="T12" s="5">
        <f t="shared" ref="T12:T17" si="12">Q12/D12</f>
        <v>1224251.9999999998</v>
      </c>
      <c r="U12" s="2"/>
      <c r="V12" s="61"/>
      <c r="W12" s="13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 spans="1:59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14428.7</v>
      </c>
      <c r="F13" s="13">
        <v>402909.10000000003</v>
      </c>
      <c r="G13" s="13">
        <v>66207.899999999994</v>
      </c>
      <c r="H13" s="13">
        <v>9047.4999999999982</v>
      </c>
      <c r="I13" s="13"/>
      <c r="J13" s="33"/>
      <c r="K13" s="33">
        <v>84236.9</v>
      </c>
      <c r="L13" s="306">
        <v>233.19999999998254</v>
      </c>
      <c r="M13" s="13">
        <v>9067.2999999999993</v>
      </c>
      <c r="N13" s="127">
        <v>2642.2</v>
      </c>
      <c r="O13" s="96">
        <v>10077.1</v>
      </c>
      <c r="P13" s="164"/>
      <c r="Q13" s="24">
        <f t="shared" si="9"/>
        <v>598849.9</v>
      </c>
      <c r="R13" s="5">
        <f t="shared" si="10"/>
        <v>549403.57798165141</v>
      </c>
      <c r="S13" s="5">
        <f t="shared" si="11"/>
        <v>49446.322018348612</v>
      </c>
      <c r="T13" s="5">
        <f t="shared" si="12"/>
        <v>544409</v>
      </c>
      <c r="U13" s="71"/>
      <c r="V13" s="107">
        <v>1.1000000000000001</v>
      </c>
      <c r="W13" s="13">
        <f t="shared" ref="W13:W14" si="13">+T13*V13</f>
        <v>598849.9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</row>
    <row r="14" spans="1:59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174.68</v>
      </c>
      <c r="F14" s="13">
        <v>4389.88</v>
      </c>
      <c r="G14" s="13">
        <v>715</v>
      </c>
      <c r="H14" s="13">
        <v>156.64000000000001</v>
      </c>
      <c r="I14" s="13"/>
      <c r="J14" s="33"/>
      <c r="K14" s="33">
        <v>1370.6</v>
      </c>
      <c r="L14" s="306">
        <v>3.9600000000000364</v>
      </c>
      <c r="M14" s="13">
        <v>66</v>
      </c>
      <c r="N14" s="127">
        <v>400.84</v>
      </c>
      <c r="O14" s="96">
        <v>149.16</v>
      </c>
      <c r="P14" s="164"/>
      <c r="Q14" s="24">
        <f t="shared" si="9"/>
        <v>7426.7600000000011</v>
      </c>
      <c r="R14" s="5">
        <f t="shared" si="10"/>
        <v>6813.54128440367</v>
      </c>
      <c r="S14" s="5">
        <f t="shared" si="11"/>
        <v>613.21871559633109</v>
      </c>
      <c r="T14" s="5">
        <f t="shared" si="12"/>
        <v>16879.000000000004</v>
      </c>
      <c r="U14" s="71"/>
      <c r="V14" s="61">
        <v>1.76</v>
      </c>
      <c r="W14" s="13">
        <f t="shared" si="13"/>
        <v>29707.040000000008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</row>
    <row r="15" spans="1:59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838.4</v>
      </c>
      <c r="F15" s="13">
        <v>20524.800000000003</v>
      </c>
      <c r="G15" s="13">
        <v>4246.3999999999996</v>
      </c>
      <c r="H15" s="13">
        <v>64</v>
      </c>
      <c r="I15" s="13"/>
      <c r="J15" s="33"/>
      <c r="K15" s="33">
        <v>140505.60000000001</v>
      </c>
      <c r="L15" s="306">
        <v>467.20000000001164</v>
      </c>
      <c r="M15" s="13">
        <v>384</v>
      </c>
      <c r="N15" s="127">
        <f>8310.4-25.6</f>
        <v>8284.7999999999993</v>
      </c>
      <c r="O15" s="96">
        <v>7648</v>
      </c>
      <c r="P15" s="164"/>
      <c r="Q15" s="24">
        <f t="shared" si="9"/>
        <v>182963.20000000001</v>
      </c>
      <c r="R15" s="5">
        <f t="shared" si="10"/>
        <v>167856.14678899082</v>
      </c>
      <c r="S15" s="5">
        <f t="shared" si="11"/>
        <v>15107.053211009188</v>
      </c>
      <c r="T15" s="5">
        <f t="shared" si="12"/>
        <v>57176</v>
      </c>
      <c r="U15" s="71"/>
      <c r="V15" s="61"/>
      <c r="W15" s="13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</row>
    <row r="16" spans="1:59" ht="14.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30">
        <v>179.2</v>
      </c>
      <c r="F16" s="13">
        <v>4731.2</v>
      </c>
      <c r="G16" s="13">
        <v>1068.8</v>
      </c>
      <c r="H16" s="13">
        <v>62.400000000000006</v>
      </c>
      <c r="I16" s="13"/>
      <c r="J16" s="33"/>
      <c r="K16" s="33">
        <v>18265.599999999999</v>
      </c>
      <c r="L16" s="306">
        <v>41.599999999998545</v>
      </c>
      <c r="M16" s="13">
        <v>169.6</v>
      </c>
      <c r="N16" s="127">
        <v>368</v>
      </c>
      <c r="O16" s="96">
        <v>692.8</v>
      </c>
      <c r="P16" s="164"/>
      <c r="Q16" s="24">
        <f t="shared" si="9"/>
        <v>25579.199999999993</v>
      </c>
      <c r="R16" s="5">
        <f t="shared" si="10"/>
        <v>23467.155963302743</v>
      </c>
      <c r="S16" s="5">
        <f t="shared" si="11"/>
        <v>2112.0440366972507</v>
      </c>
      <c r="T16" s="5">
        <f t="shared" si="12"/>
        <v>15986.999999999995</v>
      </c>
      <c r="U16" s="71"/>
      <c r="V16" s="61">
        <v>1.6</v>
      </c>
      <c r="W16" s="13">
        <f t="shared" ref="W16:W17" si="14">+T16*V16</f>
        <v>25579.199999999993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</row>
    <row r="17" spans="1:59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6.4</v>
      </c>
      <c r="F17" s="13">
        <v>140.80000000000001</v>
      </c>
      <c r="G17" s="13">
        <v>10.24</v>
      </c>
      <c r="H17" s="14">
        <v>6.4</v>
      </c>
      <c r="I17" s="14"/>
      <c r="J17" s="76"/>
      <c r="K17" s="76">
        <v>254.72</v>
      </c>
      <c r="L17" s="307">
        <v>1.2800000000000296</v>
      </c>
      <c r="M17" s="14">
        <v>2.56</v>
      </c>
      <c r="N17" s="127">
        <v>133.76</v>
      </c>
      <c r="O17" s="148">
        <v>27.52</v>
      </c>
      <c r="P17" s="164"/>
      <c r="Q17" s="24">
        <f t="shared" si="9"/>
        <v>583.68000000000006</v>
      </c>
      <c r="R17" s="5">
        <f t="shared" si="10"/>
        <v>535.48623853211006</v>
      </c>
      <c r="S17" s="5">
        <f t="shared" si="11"/>
        <v>48.193761467889999</v>
      </c>
      <c r="T17" s="6">
        <f t="shared" si="12"/>
        <v>912.00000000000011</v>
      </c>
      <c r="U17" s="71"/>
      <c r="V17" s="61">
        <v>2.56</v>
      </c>
      <c r="W17" s="13">
        <f t="shared" si="14"/>
        <v>2334.7200000000003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252715</v>
      </c>
      <c r="F18" s="118">
        <f t="shared" ref="F18:T18" si="15">+SUM(F19:F43)</f>
        <v>4839737</v>
      </c>
      <c r="G18" s="231">
        <f t="shared" si="15"/>
        <v>735620</v>
      </c>
      <c r="H18" s="118">
        <f t="shared" si="15"/>
        <v>135442</v>
      </c>
      <c r="I18" s="231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78802</v>
      </c>
      <c r="N18" s="231">
        <f t="shared" ref="N18" si="16">+SUM(N19:N43)</f>
        <v>45164</v>
      </c>
      <c r="O18" s="118">
        <f>+SUM(O19:O43)</f>
        <v>469136</v>
      </c>
      <c r="P18" s="118">
        <f t="shared" ref="P18" si="17">+SUM(P19:P43)</f>
        <v>90</v>
      </c>
      <c r="Q18" s="42">
        <f>+SUM(Q19:Q43)</f>
        <v>6556706</v>
      </c>
      <c r="R18" s="118">
        <f t="shared" si="15"/>
        <v>6015326.6055045845</v>
      </c>
      <c r="S18" s="118">
        <f t="shared" si="15"/>
        <v>541379.39449541329</v>
      </c>
      <c r="T18" s="253">
        <f t="shared" si="15"/>
        <v>124367</v>
      </c>
      <c r="U18" s="71"/>
      <c r="V18" s="61"/>
      <c r="W18" s="105">
        <f>+SUM(W19:W43)</f>
        <v>5881814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155100</v>
      </c>
      <c r="F19" s="92">
        <v>2774400</v>
      </c>
      <c r="G19" s="92">
        <v>403500</v>
      </c>
      <c r="H19" s="92">
        <v>74000</v>
      </c>
      <c r="I19" s="28"/>
      <c r="J19" s="367"/>
      <c r="K19" s="367"/>
      <c r="L19" s="367"/>
      <c r="M19" s="367">
        <v>44100</v>
      </c>
      <c r="N19" s="127">
        <v>26800</v>
      </c>
      <c r="O19" s="362">
        <v>244000</v>
      </c>
      <c r="P19" s="434"/>
      <c r="Q19" s="24">
        <f t="shared" ref="Q19:Q43" si="18">+SUM(E19:P19)</f>
        <v>3721900</v>
      </c>
      <c r="R19" s="99">
        <f t="shared" ref="R19:R43" si="19">+Q19/1.09</f>
        <v>3414587.1559633026</v>
      </c>
      <c r="S19" s="24">
        <f>+Q19-R19</f>
        <v>307312.84403669741</v>
      </c>
      <c r="T19" s="24">
        <f t="shared" ref="T19:T43" si="20">Q19/D19</f>
        <v>37219</v>
      </c>
      <c r="U19" s="41"/>
      <c r="V19" s="61"/>
      <c r="W19" s="106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28500</v>
      </c>
      <c r="F20" s="48">
        <v>752450</v>
      </c>
      <c r="G20" s="48">
        <v>108400</v>
      </c>
      <c r="H20" s="48">
        <v>23450</v>
      </c>
      <c r="I20" s="17"/>
      <c r="J20" s="36"/>
      <c r="K20" s="36"/>
      <c r="L20" s="36"/>
      <c r="M20" s="36">
        <v>17950</v>
      </c>
      <c r="N20" s="127">
        <v>300</v>
      </c>
      <c r="O20" s="17">
        <v>13150</v>
      </c>
      <c r="P20" s="355"/>
      <c r="Q20" s="24">
        <f t="shared" si="18"/>
        <v>944200</v>
      </c>
      <c r="R20" s="5">
        <f t="shared" si="19"/>
        <v>866238.53211009165</v>
      </c>
      <c r="S20" s="5">
        <f t="shared" ref="S20:S43" si="21">+Q20-R20</f>
        <v>77961.467889908352</v>
      </c>
      <c r="T20" s="5">
        <f t="shared" si="20"/>
        <v>18884</v>
      </c>
      <c r="U20" s="41"/>
      <c r="V20" s="61">
        <v>50</v>
      </c>
      <c r="W20" s="13">
        <f t="shared" ref="W20:W21" si="22">+T20*V20</f>
        <v>944200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40640</v>
      </c>
      <c r="F21" s="96">
        <v>855360</v>
      </c>
      <c r="G21" s="96">
        <v>147940</v>
      </c>
      <c r="H21" s="96">
        <v>14500</v>
      </c>
      <c r="I21" s="17"/>
      <c r="J21" s="36"/>
      <c r="K21" s="36"/>
      <c r="L21" s="36"/>
      <c r="M21" s="36">
        <v>9000</v>
      </c>
      <c r="N21" s="221">
        <v>9760</v>
      </c>
      <c r="O21" s="17">
        <v>87140</v>
      </c>
      <c r="P21" s="355"/>
      <c r="Q21" s="24">
        <f t="shared" si="18"/>
        <v>1164340</v>
      </c>
      <c r="R21" s="5">
        <f t="shared" si="19"/>
        <v>1068201.8348623852</v>
      </c>
      <c r="S21" s="5">
        <f t="shared" si="21"/>
        <v>96138.165137614822</v>
      </c>
      <c r="T21" s="402">
        <f t="shared" si="20"/>
        <v>58217</v>
      </c>
      <c r="U21" s="41"/>
      <c r="V21" s="61">
        <v>80</v>
      </c>
      <c r="W21" s="13">
        <f t="shared" si="22"/>
        <v>4657360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24660</v>
      </c>
      <c r="F22" s="96">
        <v>391500</v>
      </c>
      <c r="G22" s="96">
        <v>66060</v>
      </c>
      <c r="H22" s="96">
        <v>17460</v>
      </c>
      <c r="I22" s="17"/>
      <c r="J22" s="36"/>
      <c r="K22" s="36"/>
      <c r="L22" s="36"/>
      <c r="M22" s="36">
        <v>5670</v>
      </c>
      <c r="N22" s="401">
        <v>5940</v>
      </c>
      <c r="O22" s="400">
        <v>91620</v>
      </c>
      <c r="P22" s="355">
        <v>90</v>
      </c>
      <c r="Q22" s="24">
        <f t="shared" si="18"/>
        <v>603000</v>
      </c>
      <c r="R22" s="5">
        <f t="shared" si="19"/>
        <v>553211.00917431188</v>
      </c>
      <c r="S22" s="5">
        <f t="shared" si="21"/>
        <v>49788.990825688117</v>
      </c>
      <c r="T22" s="5">
        <f t="shared" si="20"/>
        <v>6700</v>
      </c>
      <c r="U22" s="41"/>
      <c r="V22" s="61"/>
      <c r="W22" s="13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855</v>
      </c>
      <c r="F23" s="96">
        <v>23265</v>
      </c>
      <c r="G23" s="96">
        <v>4050</v>
      </c>
      <c r="H23" s="96">
        <v>1350</v>
      </c>
      <c r="I23" s="17"/>
      <c r="J23" s="36"/>
      <c r="K23" s="36"/>
      <c r="L23" s="36"/>
      <c r="M23" s="36">
        <v>360</v>
      </c>
      <c r="N23" s="127">
        <v>0</v>
      </c>
      <c r="O23" s="468">
        <f>3870-45</f>
        <v>3825</v>
      </c>
      <c r="P23" s="355"/>
      <c r="Q23" s="24">
        <f t="shared" si="18"/>
        <v>33705</v>
      </c>
      <c r="R23" s="5">
        <f t="shared" si="19"/>
        <v>30922.018348623849</v>
      </c>
      <c r="S23" s="5">
        <f t="shared" si="21"/>
        <v>2782.9816513761507</v>
      </c>
      <c r="T23" s="5">
        <f t="shared" si="20"/>
        <v>749</v>
      </c>
      <c r="U23" s="35"/>
      <c r="V23" s="61">
        <v>45</v>
      </c>
      <c r="W23" s="13">
        <f t="shared" ref="W23:W24" si="23">+T23*V23</f>
        <v>33705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1476</v>
      </c>
      <c r="F24" s="96">
        <v>18486</v>
      </c>
      <c r="G24" s="96">
        <v>2916</v>
      </c>
      <c r="H24" s="96">
        <v>504</v>
      </c>
      <c r="I24" s="17"/>
      <c r="J24" s="36"/>
      <c r="K24" s="36"/>
      <c r="L24" s="36"/>
      <c r="M24" s="36">
        <v>432</v>
      </c>
      <c r="N24" s="127">
        <v>666</v>
      </c>
      <c r="O24" s="17">
        <v>6354</v>
      </c>
      <c r="P24" s="355"/>
      <c r="Q24" s="24">
        <f t="shared" si="18"/>
        <v>30834</v>
      </c>
      <c r="R24" s="5">
        <f t="shared" si="19"/>
        <v>28288.073394495412</v>
      </c>
      <c r="S24" s="5">
        <f t="shared" si="21"/>
        <v>2545.9266055045882</v>
      </c>
      <c r="T24" s="5">
        <f t="shared" si="20"/>
        <v>1713</v>
      </c>
      <c r="U24" s="35"/>
      <c r="V24" s="61">
        <v>72</v>
      </c>
      <c r="W24" s="13">
        <f t="shared" si="23"/>
        <v>123336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300</v>
      </c>
      <c r="F25" s="96">
        <v>3900</v>
      </c>
      <c r="G25" s="96"/>
      <c r="H25" s="96">
        <v>600</v>
      </c>
      <c r="I25" s="17"/>
      <c r="J25" s="36"/>
      <c r="K25" s="36"/>
      <c r="L25" s="36"/>
      <c r="M25" s="36"/>
      <c r="N25" s="127">
        <v>300</v>
      </c>
      <c r="O25" s="17">
        <v>6000</v>
      </c>
      <c r="P25" s="355"/>
      <c r="Q25" s="24">
        <f t="shared" si="18"/>
        <v>11100</v>
      </c>
      <c r="R25" s="5">
        <f t="shared" si="19"/>
        <v>10183.486238532108</v>
      </c>
      <c r="S25" s="5">
        <f t="shared" si="21"/>
        <v>916.51376146789153</v>
      </c>
      <c r="T25" s="5">
        <f t="shared" si="20"/>
        <v>37</v>
      </c>
      <c r="U25" s="35"/>
      <c r="V25" s="61"/>
      <c r="W25" s="13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6">
        <v>3900</v>
      </c>
      <c r="G26" s="96">
        <v>150</v>
      </c>
      <c r="H26" s="96">
        <v>150</v>
      </c>
      <c r="I26" s="17"/>
      <c r="J26" s="36"/>
      <c r="K26" s="36"/>
      <c r="L26" s="36"/>
      <c r="M26" s="36">
        <v>300</v>
      </c>
      <c r="N26" s="127">
        <v>0</v>
      </c>
      <c r="O26" s="17">
        <v>450</v>
      </c>
      <c r="P26" s="355"/>
      <c r="Q26" s="24">
        <f t="shared" si="18"/>
        <v>4950</v>
      </c>
      <c r="R26" s="5">
        <f t="shared" si="19"/>
        <v>4541.2844036697243</v>
      </c>
      <c r="S26" s="5">
        <f t="shared" si="21"/>
        <v>408.71559633027573</v>
      </c>
      <c r="T26" s="5">
        <f t="shared" si="20"/>
        <v>33</v>
      </c>
      <c r="U26" s="35"/>
      <c r="V26" s="61">
        <v>150</v>
      </c>
      <c r="W26" s="13">
        <f t="shared" ref="W26:W42" si="24">+T26*V26</f>
        <v>4950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420</v>
      </c>
      <c r="F27" s="96">
        <v>8880</v>
      </c>
      <c r="G27" s="96">
        <v>1560</v>
      </c>
      <c r="H27" s="96">
        <v>1140</v>
      </c>
      <c r="I27" s="17"/>
      <c r="J27" s="36"/>
      <c r="K27" s="36"/>
      <c r="L27" s="36"/>
      <c r="M27" s="36">
        <v>480</v>
      </c>
      <c r="N27" s="127">
        <v>600</v>
      </c>
      <c r="O27" s="17">
        <v>8400</v>
      </c>
      <c r="P27" s="355"/>
      <c r="Q27" s="24">
        <f t="shared" si="18"/>
        <v>21480</v>
      </c>
      <c r="R27" s="5">
        <f t="shared" si="19"/>
        <v>19706.422018348621</v>
      </c>
      <c r="S27" s="5">
        <f t="shared" si="21"/>
        <v>1773.5779816513786</v>
      </c>
      <c r="T27" s="5">
        <f t="shared" si="20"/>
        <v>358</v>
      </c>
      <c r="U27" s="35"/>
      <c r="V27" s="61">
        <v>240</v>
      </c>
      <c r="W27" s="13">
        <f t="shared" si="24"/>
        <v>85920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>
        <v>540</v>
      </c>
      <c r="F28" s="96">
        <v>540</v>
      </c>
      <c r="G28" s="96"/>
      <c r="H28" s="96">
        <v>270</v>
      </c>
      <c r="I28" s="17"/>
      <c r="J28" s="36"/>
      <c r="K28" s="36"/>
      <c r="L28" s="36"/>
      <c r="M28" s="36"/>
      <c r="N28" s="127">
        <v>270</v>
      </c>
      <c r="O28" s="17">
        <v>3240</v>
      </c>
      <c r="P28" s="355"/>
      <c r="Q28" s="24">
        <f t="shared" si="18"/>
        <v>4860</v>
      </c>
      <c r="R28" s="5">
        <f t="shared" si="19"/>
        <v>4458.7155963302748</v>
      </c>
      <c r="S28" s="5">
        <f t="shared" si="21"/>
        <v>401.28440366972518</v>
      </c>
      <c r="T28" s="5">
        <f t="shared" si="20"/>
        <v>18</v>
      </c>
      <c r="U28" s="35"/>
      <c r="V28" s="61"/>
      <c r="W28" s="13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6">
        <v>0</v>
      </c>
      <c r="G29" s="96"/>
      <c r="H29" s="96">
        <v>0</v>
      </c>
      <c r="I29" s="17"/>
      <c r="J29" s="36"/>
      <c r="K29" s="36"/>
      <c r="L29" s="36"/>
      <c r="M29" s="36"/>
      <c r="N29" s="127">
        <v>0</v>
      </c>
      <c r="O29" s="17">
        <v>135</v>
      </c>
      <c r="P29" s="355"/>
      <c r="Q29" s="24">
        <f t="shared" si="18"/>
        <v>135</v>
      </c>
      <c r="R29" s="5">
        <f t="shared" si="19"/>
        <v>123.8532110091743</v>
      </c>
      <c r="S29" s="5">
        <f t="shared" si="21"/>
        <v>11.146788990825698</v>
      </c>
      <c r="T29" s="5">
        <f t="shared" si="20"/>
        <v>1</v>
      </c>
      <c r="U29" s="35"/>
      <c r="V29" s="61">
        <v>135</v>
      </c>
      <c r="W29" s="13">
        <f t="shared" si="24"/>
        <v>135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54</v>
      </c>
      <c r="F30" s="96">
        <v>108</v>
      </c>
      <c r="G30" s="96">
        <v>54</v>
      </c>
      <c r="H30" s="96">
        <v>108</v>
      </c>
      <c r="I30" s="17"/>
      <c r="J30" s="36"/>
      <c r="K30" s="36"/>
      <c r="L30" s="36"/>
      <c r="M30" s="36"/>
      <c r="N30" s="127">
        <v>108</v>
      </c>
      <c r="O30" s="17">
        <v>1134</v>
      </c>
      <c r="P30" s="355"/>
      <c r="Q30" s="24">
        <f t="shared" si="18"/>
        <v>1566</v>
      </c>
      <c r="R30" s="5">
        <f t="shared" si="19"/>
        <v>1436.6972477064219</v>
      </c>
      <c r="S30" s="5">
        <f t="shared" si="21"/>
        <v>129.30275229357812</v>
      </c>
      <c r="T30" s="5">
        <f t="shared" si="20"/>
        <v>29</v>
      </c>
      <c r="U30" s="35"/>
      <c r="V30" s="61">
        <v>216</v>
      </c>
      <c r="W30" s="13">
        <f t="shared" si="24"/>
        <v>6264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6">
        <v>600</v>
      </c>
      <c r="G31" s="96">
        <v>600</v>
      </c>
      <c r="H31" s="96">
        <v>600</v>
      </c>
      <c r="I31" s="17"/>
      <c r="J31" s="36"/>
      <c r="K31" s="36"/>
      <c r="L31" s="36"/>
      <c r="M31" s="36"/>
      <c r="N31" s="127">
        <v>0</v>
      </c>
      <c r="O31" s="17"/>
      <c r="P31" s="355"/>
      <c r="Q31" s="24">
        <f t="shared" si="18"/>
        <v>1800</v>
      </c>
      <c r="R31" s="5">
        <f t="shared" si="19"/>
        <v>1651.3761467889908</v>
      </c>
      <c r="S31" s="5">
        <f t="shared" si="21"/>
        <v>148.62385321100919</v>
      </c>
      <c r="T31" s="5">
        <f t="shared" si="20"/>
        <v>3</v>
      </c>
      <c r="U31" s="35"/>
      <c r="V31" s="61"/>
      <c r="W31" s="13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6">
        <v>0</v>
      </c>
      <c r="G32" s="96"/>
      <c r="H32" s="96">
        <v>0</v>
      </c>
      <c r="I32" s="17"/>
      <c r="J32" s="36"/>
      <c r="K32" s="36"/>
      <c r="L32" s="36"/>
      <c r="M32" s="36"/>
      <c r="N32" s="127">
        <v>0</v>
      </c>
      <c r="O32" s="17"/>
      <c r="P32" s="355"/>
      <c r="Q32" s="24">
        <f t="shared" si="18"/>
        <v>0</v>
      </c>
      <c r="R32" s="5">
        <f t="shared" si="19"/>
        <v>0</v>
      </c>
      <c r="S32" s="5">
        <f t="shared" si="21"/>
        <v>0</v>
      </c>
      <c r="T32" s="5">
        <f t="shared" si="20"/>
        <v>0</v>
      </c>
      <c r="U32" s="35"/>
      <c r="V32" s="61">
        <v>300</v>
      </c>
      <c r="W32" s="13">
        <f t="shared" si="24"/>
        <v>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120</v>
      </c>
      <c r="F33" s="96">
        <v>1080</v>
      </c>
      <c r="G33" s="96"/>
      <c r="H33" s="96">
        <v>240</v>
      </c>
      <c r="I33" s="17"/>
      <c r="J33" s="36"/>
      <c r="K33" s="36"/>
      <c r="L33" s="36"/>
      <c r="M33" s="36">
        <v>120</v>
      </c>
      <c r="N33" s="127">
        <v>240</v>
      </c>
      <c r="O33" s="17">
        <v>1320</v>
      </c>
      <c r="P33" s="355"/>
      <c r="Q33" s="24">
        <f t="shared" si="18"/>
        <v>3120</v>
      </c>
      <c r="R33" s="5">
        <f t="shared" si="19"/>
        <v>2862.3853211009173</v>
      </c>
      <c r="S33" s="5">
        <f t="shared" si="21"/>
        <v>257.61467889908272</v>
      </c>
      <c r="T33" s="5">
        <f t="shared" si="20"/>
        <v>26</v>
      </c>
      <c r="U33" s="35"/>
      <c r="V33" s="61">
        <v>480</v>
      </c>
      <c r="W33" s="13">
        <f t="shared" si="24"/>
        <v>12480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6">
        <v>0</v>
      </c>
      <c r="G34" s="96"/>
      <c r="H34" s="96">
        <v>0</v>
      </c>
      <c r="I34" s="17"/>
      <c r="J34" s="36"/>
      <c r="K34" s="36"/>
      <c r="L34" s="36"/>
      <c r="M34" s="36"/>
      <c r="N34" s="127">
        <v>0</v>
      </c>
      <c r="O34" s="17">
        <v>1080</v>
      </c>
      <c r="P34" s="355"/>
      <c r="Q34" s="24">
        <f t="shared" si="18"/>
        <v>1080</v>
      </c>
      <c r="R34" s="5">
        <f t="shared" si="19"/>
        <v>990.82568807339442</v>
      </c>
      <c r="S34" s="5">
        <f t="shared" si="21"/>
        <v>89.174311926605583</v>
      </c>
      <c r="T34" s="5">
        <f t="shared" si="20"/>
        <v>2</v>
      </c>
      <c r="U34" s="35"/>
      <c r="V34" s="61"/>
      <c r="W34" s="13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6">
        <v>0</v>
      </c>
      <c r="G35" s="96"/>
      <c r="H35" s="96">
        <v>0</v>
      </c>
      <c r="I35" s="17"/>
      <c r="J35" s="36"/>
      <c r="K35" s="36"/>
      <c r="L35" s="36"/>
      <c r="M35" s="36"/>
      <c r="N35" s="127">
        <v>0</v>
      </c>
      <c r="O35" s="17"/>
      <c r="P35" s="355"/>
      <c r="Q35" s="24">
        <f t="shared" si="18"/>
        <v>0</v>
      </c>
      <c r="R35" s="5">
        <f t="shared" si="19"/>
        <v>0</v>
      </c>
      <c r="S35" s="5">
        <f t="shared" si="21"/>
        <v>0</v>
      </c>
      <c r="T35" s="5">
        <f t="shared" si="20"/>
        <v>0</v>
      </c>
      <c r="U35" s="35"/>
      <c r="V35" s="61">
        <v>270</v>
      </c>
      <c r="W35" s="13">
        <f t="shared" si="24"/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6">
        <v>216</v>
      </c>
      <c r="G36" s="96"/>
      <c r="H36" s="96">
        <v>0</v>
      </c>
      <c r="I36" s="17"/>
      <c r="J36" s="36"/>
      <c r="K36" s="36"/>
      <c r="L36" s="36"/>
      <c r="M36" s="36"/>
      <c r="N36" s="127">
        <v>0</v>
      </c>
      <c r="O36" s="17">
        <v>108</v>
      </c>
      <c r="P36" s="355"/>
      <c r="Q36" s="24">
        <f t="shared" si="18"/>
        <v>324</v>
      </c>
      <c r="R36" s="5">
        <f t="shared" si="19"/>
        <v>297.24770642201833</v>
      </c>
      <c r="S36" s="5">
        <f t="shared" si="21"/>
        <v>26.752293577981675</v>
      </c>
      <c r="T36" s="5">
        <f t="shared" si="20"/>
        <v>3</v>
      </c>
      <c r="U36" s="35"/>
      <c r="V36" s="61">
        <v>432</v>
      </c>
      <c r="W36" s="13">
        <f t="shared" si="24"/>
        <v>1296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6">
        <v>900</v>
      </c>
      <c r="G37" s="96"/>
      <c r="H37" s="96">
        <v>0</v>
      </c>
      <c r="I37" s="17"/>
      <c r="J37" s="36"/>
      <c r="K37" s="36"/>
      <c r="L37" s="36"/>
      <c r="M37" s="36"/>
      <c r="N37" s="127">
        <v>0</v>
      </c>
      <c r="O37" s="17"/>
      <c r="P37" s="355"/>
      <c r="Q37" s="24">
        <f t="shared" si="18"/>
        <v>900</v>
      </c>
      <c r="R37" s="5">
        <f t="shared" si="19"/>
        <v>825.6880733944954</v>
      </c>
      <c r="S37" s="5">
        <f t="shared" si="21"/>
        <v>74.311926605504595</v>
      </c>
      <c r="T37" s="5">
        <f t="shared" si="20"/>
        <v>1</v>
      </c>
      <c r="U37" s="35"/>
      <c r="V37" s="61"/>
      <c r="W37" s="13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6">
        <v>0</v>
      </c>
      <c r="G38" s="96"/>
      <c r="H38" s="96">
        <v>0</v>
      </c>
      <c r="I38" s="17"/>
      <c r="J38" s="36"/>
      <c r="K38" s="36"/>
      <c r="L38" s="36"/>
      <c r="M38" s="36"/>
      <c r="N38" s="127">
        <v>0</v>
      </c>
      <c r="O38" s="17"/>
      <c r="P38" s="355"/>
      <c r="Q38" s="24">
        <f t="shared" si="18"/>
        <v>0</v>
      </c>
      <c r="R38" s="5">
        <f t="shared" si="19"/>
        <v>0</v>
      </c>
      <c r="S38" s="5">
        <f t="shared" si="21"/>
        <v>0</v>
      </c>
      <c r="T38" s="5">
        <f t="shared" si="20"/>
        <v>0</v>
      </c>
      <c r="U38" s="35"/>
      <c r="V38" s="61">
        <v>450</v>
      </c>
      <c r="W38" s="13">
        <f t="shared" si="24"/>
        <v>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6">
        <v>1620</v>
      </c>
      <c r="G39" s="96"/>
      <c r="H39" s="96">
        <v>360</v>
      </c>
      <c r="I39" s="17"/>
      <c r="J39" s="36"/>
      <c r="K39" s="36"/>
      <c r="L39" s="36"/>
      <c r="M39" s="36">
        <v>360</v>
      </c>
      <c r="N39" s="127">
        <v>180</v>
      </c>
      <c r="O39" s="17">
        <v>360</v>
      </c>
      <c r="P39" s="355"/>
      <c r="Q39" s="24">
        <f t="shared" si="18"/>
        <v>2880</v>
      </c>
      <c r="R39" s="5">
        <f t="shared" si="19"/>
        <v>2642.2018348623851</v>
      </c>
      <c r="S39" s="5">
        <f t="shared" si="21"/>
        <v>237.79816513761489</v>
      </c>
      <c r="T39" s="5">
        <f t="shared" si="20"/>
        <v>16</v>
      </c>
      <c r="U39" s="35"/>
      <c r="V39" s="61">
        <v>720</v>
      </c>
      <c r="W39" s="13">
        <f t="shared" si="24"/>
        <v>11520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6">
        <v>0</v>
      </c>
      <c r="G40" s="96"/>
      <c r="H40" s="96">
        <v>0</v>
      </c>
      <c r="I40" s="17"/>
      <c r="J40" s="36"/>
      <c r="K40" s="36"/>
      <c r="L40" s="36"/>
      <c r="M40" s="36"/>
      <c r="N40" s="127">
        <v>0</v>
      </c>
      <c r="O40" s="17">
        <v>810</v>
      </c>
      <c r="P40" s="355"/>
      <c r="Q40" s="24">
        <f t="shared" si="18"/>
        <v>810</v>
      </c>
      <c r="R40" s="5">
        <f t="shared" si="19"/>
        <v>743.11926605504584</v>
      </c>
      <c r="S40" s="5">
        <f t="shared" si="21"/>
        <v>66.880733944954159</v>
      </c>
      <c r="T40" s="5">
        <f t="shared" si="20"/>
        <v>1</v>
      </c>
      <c r="U40" s="71"/>
      <c r="V40" s="61"/>
      <c r="W40" s="13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6">
        <v>0</v>
      </c>
      <c r="G41" s="96"/>
      <c r="H41" s="96">
        <v>0</v>
      </c>
      <c r="I41" s="17"/>
      <c r="J41" s="36"/>
      <c r="K41" s="36"/>
      <c r="L41" s="36"/>
      <c r="M41" s="36"/>
      <c r="N41" s="127">
        <v>0</v>
      </c>
      <c r="O41" s="17"/>
      <c r="P41" s="355"/>
      <c r="Q41" s="24">
        <f t="shared" si="18"/>
        <v>0</v>
      </c>
      <c r="R41" s="5">
        <f t="shared" si="19"/>
        <v>0</v>
      </c>
      <c r="S41" s="5">
        <f t="shared" si="21"/>
        <v>0</v>
      </c>
      <c r="T41" s="5">
        <f t="shared" si="20"/>
        <v>0</v>
      </c>
      <c r="U41" s="71"/>
      <c r="V41" s="61">
        <v>405</v>
      </c>
      <c r="W41" s="13">
        <f t="shared" si="24"/>
        <v>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433">
        <v>162</v>
      </c>
      <c r="G42" s="433"/>
      <c r="H42" s="433">
        <v>0</v>
      </c>
      <c r="I42" s="196"/>
      <c r="J42" s="143"/>
      <c r="K42" s="143"/>
      <c r="L42" s="143"/>
      <c r="M42" s="143"/>
      <c r="N42" s="221">
        <v>0</v>
      </c>
      <c r="O42" s="17"/>
      <c r="P42" s="350"/>
      <c r="Q42" s="24">
        <f t="shared" si="18"/>
        <v>162</v>
      </c>
      <c r="R42" s="26">
        <f t="shared" si="19"/>
        <v>148.62385321100916</v>
      </c>
      <c r="S42" s="26">
        <f t="shared" si="21"/>
        <v>13.376146788990837</v>
      </c>
      <c r="T42" s="26">
        <f t="shared" si="20"/>
        <v>1</v>
      </c>
      <c r="U42" s="71"/>
      <c r="V42" s="61">
        <v>648</v>
      </c>
      <c r="W42" s="13">
        <f t="shared" si="24"/>
        <v>648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50</v>
      </c>
      <c r="F43" s="124">
        <v>2370</v>
      </c>
      <c r="G43" s="124">
        <v>390</v>
      </c>
      <c r="H43" s="124">
        <v>710</v>
      </c>
      <c r="I43" s="124"/>
      <c r="J43" s="124"/>
      <c r="K43" s="124"/>
      <c r="L43" s="124"/>
      <c r="M43" s="124">
        <v>30</v>
      </c>
      <c r="N43" s="124">
        <v>0</v>
      </c>
      <c r="O43" s="148">
        <v>10</v>
      </c>
      <c r="P43" s="352"/>
      <c r="Q43" s="24">
        <f t="shared" si="18"/>
        <v>3560</v>
      </c>
      <c r="R43" s="26">
        <f t="shared" si="19"/>
        <v>3266.0550458715593</v>
      </c>
      <c r="S43" s="26">
        <f t="shared" si="21"/>
        <v>293.94495412844071</v>
      </c>
      <c r="T43" s="26">
        <f t="shared" si="20"/>
        <v>356</v>
      </c>
      <c r="U43" s="71"/>
      <c r="V43" s="61"/>
      <c r="W43" s="13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2" customHeight="1" x14ac:dyDescent="0.25">
      <c r="A44" s="70" t="s">
        <v>16</v>
      </c>
      <c r="B44" s="52" t="s">
        <v>34</v>
      </c>
      <c r="C44" s="80" t="s">
        <v>91</v>
      </c>
      <c r="D44" s="78"/>
      <c r="E44" s="428">
        <f>+SUM(E45:E53)</f>
        <v>7295.6</v>
      </c>
      <c r="F44" s="426">
        <f>+SUM(F45:F53)</f>
        <v>150530.40000000002</v>
      </c>
      <c r="G44" s="426">
        <f t="shared" ref="G44:T44" si="25">+SUM(G45:G53)</f>
        <v>22441.4</v>
      </c>
      <c r="H44" s="426">
        <f>+SUM(H45:H53)</f>
        <v>4465</v>
      </c>
      <c r="I44" s="426">
        <f t="shared" si="25"/>
        <v>0</v>
      </c>
      <c r="J44" s="426">
        <f t="shared" si="25"/>
        <v>0</v>
      </c>
      <c r="K44" s="426">
        <f t="shared" si="25"/>
        <v>0</v>
      </c>
      <c r="L44" s="426">
        <f t="shared" si="25"/>
        <v>0</v>
      </c>
      <c r="M44" s="426">
        <f t="shared" si="25"/>
        <v>1962.6999999999998</v>
      </c>
      <c r="N44" s="426">
        <f t="shared" si="25"/>
        <v>3434.8</v>
      </c>
      <c r="O44" s="426">
        <f t="shared" si="25"/>
        <v>12008</v>
      </c>
      <c r="P44" s="427">
        <f t="shared" si="25"/>
        <v>0</v>
      </c>
      <c r="Q44" s="42">
        <f>+SUM(Q45:Q53)</f>
        <v>202137.89999999997</v>
      </c>
      <c r="R44" s="82">
        <f t="shared" si="25"/>
        <v>185447.61467889909</v>
      </c>
      <c r="S44" s="82">
        <f t="shared" si="25"/>
        <v>16690.285321100928</v>
      </c>
      <c r="T44" s="19">
        <f t="shared" si="25"/>
        <v>29584</v>
      </c>
      <c r="U44" s="71"/>
      <c r="V44" s="61"/>
      <c r="W44" s="105">
        <f>+SUM(W45:W68)</f>
        <v>283002.09999999998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912</v>
      </c>
      <c r="F45" s="23">
        <v>15408</v>
      </c>
      <c r="G45" s="28">
        <v>2088</v>
      </c>
      <c r="H45" s="347">
        <v>444</v>
      </c>
      <c r="I45" s="83"/>
      <c r="J45" s="75"/>
      <c r="K45" s="75"/>
      <c r="L45" s="75"/>
      <c r="M45" s="75">
        <v>192</v>
      </c>
      <c r="N45" s="127">
        <v>660</v>
      </c>
      <c r="O45" s="362">
        <v>1440</v>
      </c>
      <c r="P45" s="356"/>
      <c r="Q45" s="24">
        <f t="shared" ref="Q45:Q55" si="26">+SUM(E45:P45)</f>
        <v>21144</v>
      </c>
      <c r="R45" s="99">
        <f t="shared" ref="R45:R53" si="27">+Q45/1.09</f>
        <v>19398.165137614676</v>
      </c>
      <c r="S45" s="64">
        <f t="shared" ref="S45:S54" si="28">+Q45-R45</f>
        <v>1745.8348623853235</v>
      </c>
      <c r="T45" s="403">
        <f t="shared" ref="T45:T54" si="29">Q45/D45</f>
        <v>1762</v>
      </c>
      <c r="U45" s="71"/>
      <c r="V45" s="61"/>
      <c r="W45" s="13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342</v>
      </c>
      <c r="F46" s="13">
        <v>2148</v>
      </c>
      <c r="G46" s="17">
        <v>366</v>
      </c>
      <c r="H46" s="347">
        <v>12</v>
      </c>
      <c r="I46" s="13"/>
      <c r="J46" s="33"/>
      <c r="K46" s="33"/>
      <c r="L46" s="33"/>
      <c r="M46" s="33">
        <v>54</v>
      </c>
      <c r="N46" s="127">
        <v>30</v>
      </c>
      <c r="O46" s="17">
        <v>150</v>
      </c>
      <c r="P46" s="357"/>
      <c r="Q46" s="24">
        <f t="shared" si="26"/>
        <v>3102</v>
      </c>
      <c r="R46" s="5">
        <f t="shared" si="27"/>
        <v>2845.8715596330271</v>
      </c>
      <c r="S46" s="5">
        <f t="shared" si="28"/>
        <v>256.12844036697288</v>
      </c>
      <c r="T46" s="404">
        <f t="shared" si="29"/>
        <v>517</v>
      </c>
      <c r="U46" s="71"/>
      <c r="V46" s="61">
        <v>6</v>
      </c>
      <c r="W46" s="13">
        <f t="shared" ref="W46:W47" si="30">+T46*V46</f>
        <v>3102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1310.4000000000001</v>
      </c>
      <c r="F47" s="13">
        <v>36528</v>
      </c>
      <c r="G47" s="17">
        <v>6847.2</v>
      </c>
      <c r="H47" s="347">
        <v>235.20000000000005</v>
      </c>
      <c r="I47" s="13"/>
      <c r="J47" s="33"/>
      <c r="K47" s="33"/>
      <c r="L47" s="33"/>
      <c r="M47" s="33">
        <v>484.8</v>
      </c>
      <c r="N47" s="127">
        <v>871.2</v>
      </c>
      <c r="O47" s="17">
        <v>2052</v>
      </c>
      <c r="P47" s="357"/>
      <c r="Q47" s="24">
        <f t="shared" si="26"/>
        <v>48328.799999999996</v>
      </c>
      <c r="R47" s="5">
        <f t="shared" si="27"/>
        <v>44338.348623853206</v>
      </c>
      <c r="S47" s="5">
        <f t="shared" si="28"/>
        <v>3990.4513761467897</v>
      </c>
      <c r="T47" s="404">
        <f t="shared" si="29"/>
        <v>20137</v>
      </c>
      <c r="U47" s="71"/>
      <c r="V47" s="61">
        <v>9.6</v>
      </c>
      <c r="W47" s="13">
        <f t="shared" si="30"/>
        <v>193315.19999999998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903</v>
      </c>
      <c r="F48" s="13">
        <v>17010</v>
      </c>
      <c r="G48" s="17">
        <v>1974</v>
      </c>
      <c r="H48" s="13">
        <v>987</v>
      </c>
      <c r="I48" s="13"/>
      <c r="J48" s="33"/>
      <c r="K48" s="33"/>
      <c r="L48" s="33"/>
      <c r="M48" s="33">
        <v>252</v>
      </c>
      <c r="N48" s="127">
        <v>336</v>
      </c>
      <c r="O48" s="400">
        <v>2331</v>
      </c>
      <c r="P48" s="357"/>
      <c r="Q48" s="24">
        <f t="shared" si="26"/>
        <v>23793</v>
      </c>
      <c r="R48" s="5">
        <f t="shared" si="27"/>
        <v>21828.440366972474</v>
      </c>
      <c r="S48" s="5">
        <f t="shared" si="28"/>
        <v>1964.5596330275257</v>
      </c>
      <c r="T48" s="404">
        <f t="shared" si="29"/>
        <v>1133</v>
      </c>
      <c r="U48" s="71"/>
      <c r="V48" s="61"/>
      <c r="W48" s="13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94.5</v>
      </c>
      <c r="F49" s="13">
        <v>1869</v>
      </c>
      <c r="G49" s="17">
        <v>252</v>
      </c>
      <c r="H49" s="13">
        <v>31.5</v>
      </c>
      <c r="I49" s="13"/>
      <c r="J49" s="33"/>
      <c r="K49" s="33"/>
      <c r="L49" s="33"/>
      <c r="M49" s="33">
        <v>31.5</v>
      </c>
      <c r="N49" s="127">
        <v>63</v>
      </c>
      <c r="O49" s="17">
        <v>73.5</v>
      </c>
      <c r="P49" s="357"/>
      <c r="Q49" s="24">
        <f t="shared" si="26"/>
        <v>2415</v>
      </c>
      <c r="R49" s="5">
        <f t="shared" si="27"/>
        <v>2215.5963302752293</v>
      </c>
      <c r="S49" s="5">
        <f t="shared" si="28"/>
        <v>199.40366972477068</v>
      </c>
      <c r="T49" s="5">
        <f t="shared" si="29"/>
        <v>230</v>
      </c>
      <c r="U49" s="71"/>
      <c r="V49" s="61">
        <v>10.5</v>
      </c>
      <c r="W49" s="13">
        <f t="shared" ref="W49:W50" si="31">+T49*V49</f>
        <v>2415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285.60000000000002</v>
      </c>
      <c r="F50" s="13">
        <v>7900.2000000000007</v>
      </c>
      <c r="G50" s="17">
        <v>1033.2</v>
      </c>
      <c r="H50" s="13">
        <v>176.40000000000006</v>
      </c>
      <c r="I50" s="13"/>
      <c r="J50" s="33"/>
      <c r="K50" s="33"/>
      <c r="L50" s="33"/>
      <c r="M50" s="33">
        <v>54.6</v>
      </c>
      <c r="N50" s="127">
        <v>285.60000000000002</v>
      </c>
      <c r="O50" s="17">
        <v>865.2</v>
      </c>
      <c r="P50" s="357"/>
      <c r="Q50" s="24">
        <f t="shared" si="26"/>
        <v>10600.800000000003</v>
      </c>
      <c r="R50" s="5">
        <f t="shared" si="27"/>
        <v>9725.5045871559651</v>
      </c>
      <c r="S50" s="5">
        <f t="shared" si="28"/>
        <v>875.29541284403786</v>
      </c>
      <c r="T50" s="5">
        <f t="shared" si="29"/>
        <v>2524.0000000000005</v>
      </c>
      <c r="U50" s="71"/>
      <c r="V50" s="61">
        <v>16.8</v>
      </c>
      <c r="W50" s="13">
        <f t="shared" si="31"/>
        <v>42403.200000000012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2952</v>
      </c>
      <c r="F51" s="13">
        <v>58138</v>
      </c>
      <c r="G51" s="17">
        <v>7872</v>
      </c>
      <c r="H51" s="13">
        <v>2255</v>
      </c>
      <c r="I51" s="13"/>
      <c r="J51" s="33"/>
      <c r="K51" s="33"/>
      <c r="L51" s="33"/>
      <c r="M51" s="33">
        <v>779</v>
      </c>
      <c r="N51" s="127">
        <v>984</v>
      </c>
      <c r="O51" s="17">
        <v>3936</v>
      </c>
      <c r="P51" s="357"/>
      <c r="Q51" s="24">
        <f t="shared" si="26"/>
        <v>76916</v>
      </c>
      <c r="R51" s="5">
        <f t="shared" si="27"/>
        <v>70565.137614678897</v>
      </c>
      <c r="S51" s="5">
        <f t="shared" si="28"/>
        <v>6350.8623853211029</v>
      </c>
      <c r="T51" s="5">
        <f t="shared" si="29"/>
        <v>1876</v>
      </c>
      <c r="U51" s="71"/>
      <c r="V51" s="61"/>
      <c r="W51" s="13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225.5</v>
      </c>
      <c r="F52" s="13">
        <v>5453</v>
      </c>
      <c r="G52" s="17">
        <v>1066</v>
      </c>
      <c r="H52" s="13">
        <v>184.5</v>
      </c>
      <c r="I52" s="13"/>
      <c r="J52" s="33"/>
      <c r="K52" s="33"/>
      <c r="L52" s="33"/>
      <c r="M52" s="33">
        <v>82</v>
      </c>
      <c r="N52" s="127">
        <v>41</v>
      </c>
      <c r="O52" s="13">
        <v>143.5</v>
      </c>
      <c r="P52" s="357"/>
      <c r="Q52" s="24">
        <f t="shared" si="26"/>
        <v>7195.5</v>
      </c>
      <c r="R52" s="5">
        <f t="shared" si="27"/>
        <v>6601.3761467889899</v>
      </c>
      <c r="S52" s="5">
        <f t="shared" si="28"/>
        <v>594.1238532110101</v>
      </c>
      <c r="T52" s="5">
        <f t="shared" si="29"/>
        <v>351</v>
      </c>
      <c r="U52" s="71"/>
      <c r="V52" s="61">
        <v>20.5</v>
      </c>
      <c r="W52" s="13">
        <f t="shared" ref="W52:W53" si="32">+T52*V52</f>
        <v>7195.5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270.60000000000002</v>
      </c>
      <c r="F53" s="14">
        <v>6076.2000000000007</v>
      </c>
      <c r="G53" s="51">
        <v>943</v>
      </c>
      <c r="H53" s="14">
        <v>139.4</v>
      </c>
      <c r="I53" s="14"/>
      <c r="J53" s="76"/>
      <c r="K53" s="76"/>
      <c r="L53" s="76"/>
      <c r="M53" s="76">
        <v>32.799999999999997</v>
      </c>
      <c r="N53" s="148">
        <v>164</v>
      </c>
      <c r="O53" s="25">
        <v>1016.8</v>
      </c>
      <c r="P53" s="224"/>
      <c r="Q53" s="359">
        <f t="shared" si="26"/>
        <v>8642.8000000000011</v>
      </c>
      <c r="R53" s="6">
        <f t="shared" si="27"/>
        <v>7929.1743119266057</v>
      </c>
      <c r="S53" s="6">
        <f t="shared" si="28"/>
        <v>713.62568807339539</v>
      </c>
      <c r="T53" s="6">
        <f t="shared" si="29"/>
        <v>1054.0000000000002</v>
      </c>
      <c r="U53" s="35"/>
      <c r="V53" s="61">
        <v>32.799999999999997</v>
      </c>
      <c r="W53" s="13">
        <f t="shared" si="32"/>
        <v>34571.200000000004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x14ac:dyDescent="0.25">
      <c r="C54" s="1" t="s">
        <v>150</v>
      </c>
      <c r="D54" s="4">
        <v>4</v>
      </c>
      <c r="E54" s="386">
        <f>500*4</f>
        <v>2000</v>
      </c>
      <c r="F54" s="112">
        <v>45652</v>
      </c>
      <c r="G54" s="112">
        <v>5888</v>
      </c>
      <c r="H54" s="112">
        <v>2892</v>
      </c>
      <c r="I54" s="112"/>
      <c r="J54" s="112"/>
      <c r="K54" s="112"/>
      <c r="L54" s="112"/>
      <c r="M54" s="1">
        <f>250*4</f>
        <v>1000</v>
      </c>
      <c r="O54" s="424"/>
      <c r="P54" s="425"/>
      <c r="Q54" s="230">
        <f>+SUM(E54:P54)+P59</f>
        <v>58232</v>
      </c>
      <c r="R54" s="6">
        <f>+Q54/1.21</f>
        <v>48125.619834710742</v>
      </c>
      <c r="S54" s="6">
        <f t="shared" si="28"/>
        <v>10106.380165289258</v>
      </c>
      <c r="T54" s="6">
        <f t="shared" si="29"/>
        <v>14558</v>
      </c>
      <c r="V54" s="405"/>
      <c r="W54" s="13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x14ac:dyDescent="0.25">
      <c r="C55" s="1" t="s">
        <v>143</v>
      </c>
      <c r="E55" s="2">
        <f>51116.59+20</f>
        <v>51136.59</v>
      </c>
      <c r="F55" s="2">
        <v>854152.64</v>
      </c>
      <c r="G55" s="2">
        <v>124421.22</v>
      </c>
      <c r="H55" s="2">
        <v>16547.46</v>
      </c>
      <c r="I55" s="2"/>
      <c r="J55" s="2"/>
      <c r="K55" s="2"/>
      <c r="L55" s="2"/>
      <c r="M55" s="2">
        <v>12741.65</v>
      </c>
      <c r="N55" s="2"/>
      <c r="Q55" s="6">
        <f t="shared" si="26"/>
        <v>1058999.5599999998</v>
      </c>
      <c r="R55" s="6">
        <f>+Q55</f>
        <v>1058999.5599999998</v>
      </c>
      <c r="S55" s="6"/>
      <c r="T55" s="6"/>
    </row>
    <row r="57" spans="1:59" x14ac:dyDescent="0.25">
      <c r="D57" s="4" t="s">
        <v>151</v>
      </c>
      <c r="E57" s="136">
        <f>+E5+E54+E55</f>
        <v>394079.37</v>
      </c>
      <c r="F57" s="136">
        <f t="shared" ref="F57:P57" si="33">+F5+F54+F55</f>
        <v>7686402.6200000001</v>
      </c>
      <c r="G57" s="136">
        <f t="shared" si="33"/>
        <v>1157800.56</v>
      </c>
      <c r="H57" s="136">
        <f t="shared" si="33"/>
        <v>195402.4</v>
      </c>
      <c r="I57" s="136">
        <f t="shared" si="33"/>
        <v>620519.19999999995</v>
      </c>
      <c r="J57" s="136">
        <f t="shared" si="33"/>
        <v>1055272.75</v>
      </c>
      <c r="K57" s="136">
        <f t="shared" si="33"/>
        <v>1045921.82</v>
      </c>
      <c r="L57" s="136">
        <f t="shared" si="33"/>
        <v>3244.2399999998765</v>
      </c>
      <c r="M57" s="136">
        <f t="shared" si="33"/>
        <v>123830.80999999998</v>
      </c>
      <c r="N57" s="136">
        <f t="shared" si="33"/>
        <v>146422</v>
      </c>
      <c r="O57" s="136">
        <f t="shared" si="33"/>
        <v>630834.38</v>
      </c>
      <c r="P57" s="136">
        <f t="shared" si="33"/>
        <v>94.399999999994179</v>
      </c>
      <c r="Q57" s="103">
        <f>+SUM(E57:O57)</f>
        <v>13059730.150000002</v>
      </c>
      <c r="R57" s="150"/>
      <c r="S57" s="150"/>
    </row>
    <row r="59" spans="1:59" x14ac:dyDescent="0.25">
      <c r="E59" s="125"/>
      <c r="F59" s="112"/>
      <c r="G59" s="2"/>
      <c r="H59" s="112"/>
      <c r="O59" s="561" t="s">
        <v>609</v>
      </c>
      <c r="P59" s="560">
        <f>200*4</f>
        <v>800</v>
      </c>
      <c r="Q59" s="112"/>
    </row>
    <row r="60" spans="1:59" x14ac:dyDescent="0.25">
      <c r="E60" s="125"/>
    </row>
    <row r="61" spans="1:59" x14ac:dyDescent="0.25">
      <c r="G61" s="2"/>
      <c r="M61" s="2"/>
      <c r="N61" s="2"/>
    </row>
    <row r="62" spans="1:59" x14ac:dyDescent="0.25">
      <c r="F62" s="408"/>
    </row>
    <row r="63" spans="1:59" x14ac:dyDescent="0.25">
      <c r="F63" s="408"/>
    </row>
    <row r="64" spans="1:59" x14ac:dyDescent="0.25">
      <c r="F64" s="408"/>
    </row>
    <row r="65" spans="2:6" x14ac:dyDescent="0.25">
      <c r="F65" s="35"/>
    </row>
    <row r="73" spans="2:6" x14ac:dyDescent="0.25">
      <c r="B73" s="1"/>
    </row>
  </sheetData>
  <mergeCells count="19">
    <mergeCell ref="W3:W4"/>
    <mergeCell ref="N3:N4"/>
    <mergeCell ref="O3:P3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P5" sqref="P5"/>
    </sheetView>
  </sheetViews>
  <sheetFormatPr defaultRowHeight="14.4" outlineLevelCol="1" x14ac:dyDescent="0.3"/>
  <cols>
    <col min="3" max="3" width="14.88671875" bestFit="1" customWidth="1"/>
    <col min="8" max="8" width="14.33203125" bestFit="1" customWidth="1"/>
    <col min="10" max="14" width="0" hidden="1" customWidth="1" outlineLevel="1"/>
    <col min="15" max="15" width="23.33203125" customWidth="1" collapsed="1"/>
    <col min="16" max="16" width="27.33203125" customWidth="1"/>
  </cols>
  <sheetData>
    <row r="1" spans="1:16" x14ac:dyDescent="0.3">
      <c r="A1" s="142" t="s">
        <v>308</v>
      </c>
      <c r="B1" s="142"/>
    </row>
    <row r="2" spans="1:16" x14ac:dyDescent="0.3">
      <c r="A2" s="142"/>
      <c r="B2" s="142"/>
    </row>
    <row r="3" spans="1:16" x14ac:dyDescent="0.3">
      <c r="A3" s="568" t="s">
        <v>433</v>
      </c>
      <c r="B3" s="567" t="s">
        <v>434</v>
      </c>
      <c r="C3" s="567" t="s">
        <v>435</v>
      </c>
      <c r="D3" s="567" t="s">
        <v>436</v>
      </c>
      <c r="E3" s="567" t="s">
        <v>437</v>
      </c>
      <c r="F3" s="567" t="s">
        <v>275</v>
      </c>
      <c r="G3" s="567" t="s">
        <v>304</v>
      </c>
      <c r="H3" s="567" t="s">
        <v>307</v>
      </c>
      <c r="I3" s="567" t="s">
        <v>556</v>
      </c>
      <c r="J3" s="566" t="s">
        <v>429</v>
      </c>
      <c r="K3" s="566"/>
      <c r="L3" s="566"/>
      <c r="M3" s="566"/>
      <c r="N3" s="566"/>
      <c r="O3" s="566"/>
      <c r="P3" s="566"/>
    </row>
    <row r="4" spans="1:16" ht="43.2" x14ac:dyDescent="0.3">
      <c r="A4" s="568"/>
      <c r="B4" s="567"/>
      <c r="C4" s="567"/>
      <c r="D4" s="567"/>
      <c r="E4" s="567"/>
      <c r="F4" s="567"/>
      <c r="G4" s="567"/>
      <c r="H4" s="567"/>
      <c r="I4" s="567"/>
      <c r="J4" s="398" t="s">
        <v>306</v>
      </c>
      <c r="K4" s="534" t="s">
        <v>332</v>
      </c>
      <c r="L4" s="534" t="s">
        <v>384</v>
      </c>
      <c r="M4" s="534" t="s">
        <v>414</v>
      </c>
      <c r="N4" s="534" t="s">
        <v>428</v>
      </c>
      <c r="O4" s="534" t="s">
        <v>557</v>
      </c>
      <c r="P4" s="534" t="s">
        <v>584</v>
      </c>
    </row>
    <row r="5" spans="1:16" x14ac:dyDescent="0.3">
      <c r="A5" s="493">
        <v>1</v>
      </c>
      <c r="B5" s="504" t="s">
        <v>278</v>
      </c>
      <c r="C5" s="505">
        <v>41659</v>
      </c>
      <c r="D5" s="506" t="s">
        <v>279</v>
      </c>
      <c r="E5" s="506" t="s">
        <v>280</v>
      </c>
      <c r="F5" s="505" t="s">
        <v>281</v>
      </c>
      <c r="G5" s="454">
        <v>8.8000000000000007</v>
      </c>
      <c r="H5" s="455">
        <v>3118108374</v>
      </c>
      <c r="I5" s="507" t="s">
        <v>342</v>
      </c>
      <c r="J5" s="502" t="s">
        <v>329</v>
      </c>
      <c r="K5" s="502" t="s">
        <v>333</v>
      </c>
      <c r="L5" s="502" t="s">
        <v>333</v>
      </c>
      <c r="M5" s="502" t="s">
        <v>415</v>
      </c>
      <c r="N5" s="502" t="s">
        <v>445</v>
      </c>
      <c r="O5" s="502" t="s">
        <v>445</v>
      </c>
      <c r="P5" s="502" t="s">
        <v>587</v>
      </c>
    </row>
    <row r="6" spans="1:16" x14ac:dyDescent="0.3">
      <c r="A6" s="493">
        <v>2</v>
      </c>
      <c r="B6" s="504" t="s">
        <v>282</v>
      </c>
      <c r="C6" s="505">
        <v>41666</v>
      </c>
      <c r="D6" s="506" t="s">
        <v>283</v>
      </c>
      <c r="E6" s="506" t="s">
        <v>284</v>
      </c>
      <c r="F6" s="505" t="s">
        <v>281</v>
      </c>
      <c r="G6" s="508">
        <v>4.4000000000000004</v>
      </c>
      <c r="H6" s="509">
        <v>3630614994</v>
      </c>
      <c r="I6" s="510" t="s">
        <v>341</v>
      </c>
      <c r="J6" s="502" t="s">
        <v>329</v>
      </c>
      <c r="K6" s="502" t="s">
        <v>334</v>
      </c>
      <c r="L6" s="502" t="s">
        <v>334</v>
      </c>
      <c r="M6" s="502" t="s">
        <v>334</v>
      </c>
      <c r="N6" s="502" t="s">
        <v>446</v>
      </c>
      <c r="O6" s="502" t="s">
        <v>446</v>
      </c>
      <c r="P6" s="502" t="s">
        <v>446</v>
      </c>
    </row>
    <row r="7" spans="1:16" x14ac:dyDescent="0.3">
      <c r="A7" s="493">
        <v>3</v>
      </c>
      <c r="B7" s="511" t="s">
        <v>285</v>
      </c>
      <c r="C7" s="505">
        <v>41680</v>
      </c>
      <c r="D7" s="506" t="s">
        <v>286</v>
      </c>
      <c r="E7" s="506" t="s">
        <v>287</v>
      </c>
      <c r="F7" s="505" t="s">
        <v>281</v>
      </c>
      <c r="G7" s="454">
        <v>3.2</v>
      </c>
      <c r="H7" s="455">
        <v>3404425254</v>
      </c>
      <c r="I7" s="507" t="s">
        <v>343</v>
      </c>
      <c r="J7" s="502" t="s">
        <v>329</v>
      </c>
      <c r="K7" s="502" t="s">
        <v>335</v>
      </c>
      <c r="L7" s="502" t="s">
        <v>335</v>
      </c>
      <c r="M7" s="502" t="s">
        <v>416</v>
      </c>
      <c r="N7" s="502" t="s">
        <v>416</v>
      </c>
      <c r="O7" s="502" t="s">
        <v>416</v>
      </c>
      <c r="P7" s="502" t="s">
        <v>416</v>
      </c>
    </row>
    <row r="8" spans="1:16" x14ac:dyDescent="0.3">
      <c r="A8" s="493">
        <v>4</v>
      </c>
      <c r="B8" s="499" t="s">
        <v>288</v>
      </c>
      <c r="C8" s="499">
        <v>41691</v>
      </c>
      <c r="D8" s="512" t="s">
        <v>289</v>
      </c>
      <c r="E8" s="512" t="s">
        <v>290</v>
      </c>
      <c r="F8" s="499" t="s">
        <v>281</v>
      </c>
      <c r="G8" s="454">
        <v>4.4000000000000004</v>
      </c>
      <c r="H8" s="455">
        <v>3623796770</v>
      </c>
      <c r="I8" s="507" t="s">
        <v>342</v>
      </c>
      <c r="J8" s="502" t="s">
        <v>329</v>
      </c>
      <c r="K8" s="502" t="s">
        <v>336</v>
      </c>
      <c r="L8" s="502" t="s">
        <v>336</v>
      </c>
      <c r="M8" s="502" t="s">
        <v>417</v>
      </c>
      <c r="N8" s="502" t="s">
        <v>417</v>
      </c>
      <c r="O8" s="502" t="s">
        <v>417</v>
      </c>
      <c r="P8" s="502" t="s">
        <v>417</v>
      </c>
    </row>
    <row r="9" spans="1:16" x14ac:dyDescent="0.3">
      <c r="A9" s="493">
        <v>6</v>
      </c>
      <c r="B9" s="496" t="s">
        <v>291</v>
      </c>
      <c r="C9" s="513">
        <v>41718</v>
      </c>
      <c r="D9" s="496" t="s">
        <v>292</v>
      </c>
      <c r="E9" s="496" t="s">
        <v>293</v>
      </c>
      <c r="F9" s="499" t="s">
        <v>281</v>
      </c>
      <c r="G9" s="454">
        <v>6.6</v>
      </c>
      <c r="H9" s="455">
        <v>2416471062</v>
      </c>
      <c r="I9" s="507" t="s">
        <v>344</v>
      </c>
      <c r="J9" s="514" t="s">
        <v>330</v>
      </c>
      <c r="K9" s="502" t="s">
        <v>337</v>
      </c>
      <c r="L9" s="502" t="s">
        <v>337</v>
      </c>
      <c r="M9" s="502" t="s">
        <v>418</v>
      </c>
      <c r="N9" s="502" t="s">
        <v>418</v>
      </c>
      <c r="O9" s="502" t="s">
        <v>418</v>
      </c>
      <c r="P9" s="502" t="s">
        <v>418</v>
      </c>
    </row>
    <row r="10" spans="1:16" x14ac:dyDescent="0.3">
      <c r="A10" s="493">
        <v>7</v>
      </c>
      <c r="B10" s="496" t="s">
        <v>294</v>
      </c>
      <c r="C10" s="513">
        <v>41724</v>
      </c>
      <c r="D10" s="496" t="s">
        <v>295</v>
      </c>
      <c r="E10" s="496" t="s">
        <v>296</v>
      </c>
      <c r="F10" s="499" t="s">
        <v>281</v>
      </c>
      <c r="G10" s="454">
        <v>11</v>
      </c>
      <c r="H10" s="455">
        <v>2834941138</v>
      </c>
      <c r="I10" s="507" t="s">
        <v>340</v>
      </c>
      <c r="J10" s="502" t="s">
        <v>331</v>
      </c>
      <c r="K10" s="515" t="s">
        <v>338</v>
      </c>
      <c r="L10" s="515" t="s">
        <v>338</v>
      </c>
      <c r="M10" s="515" t="s">
        <v>419</v>
      </c>
      <c r="N10" s="515" t="s">
        <v>419</v>
      </c>
      <c r="O10" s="515" t="s">
        <v>419</v>
      </c>
      <c r="P10" s="515" t="s">
        <v>419</v>
      </c>
    </row>
    <row r="11" spans="1:16" x14ac:dyDescent="0.3">
      <c r="A11" s="493">
        <v>8</v>
      </c>
      <c r="B11" s="496" t="s">
        <v>403</v>
      </c>
      <c r="C11" s="513">
        <v>41757</v>
      </c>
      <c r="D11" s="496" t="s">
        <v>404</v>
      </c>
      <c r="E11" s="496" t="s">
        <v>405</v>
      </c>
      <c r="F11" s="499" t="s">
        <v>281</v>
      </c>
      <c r="G11" s="454">
        <v>4.4000000000000004</v>
      </c>
      <c r="H11" s="455">
        <v>2420023098</v>
      </c>
      <c r="I11" s="507" t="s">
        <v>406</v>
      </c>
      <c r="J11" s="502"/>
      <c r="K11" s="515"/>
      <c r="L11" s="515"/>
      <c r="M11" s="515" t="s">
        <v>420</v>
      </c>
      <c r="N11" s="515" t="s">
        <v>420</v>
      </c>
      <c r="O11" s="515" t="s">
        <v>420</v>
      </c>
      <c r="P11" s="515" t="s">
        <v>420</v>
      </c>
    </row>
    <row r="12" spans="1:16" x14ac:dyDescent="0.3">
      <c r="A12" s="493">
        <v>9</v>
      </c>
      <c r="B12" s="496" t="s">
        <v>408</v>
      </c>
      <c r="C12" s="513">
        <v>41829</v>
      </c>
      <c r="D12" s="496" t="s">
        <v>409</v>
      </c>
      <c r="E12" s="496" t="s">
        <v>410</v>
      </c>
      <c r="F12" s="499" t="s">
        <v>281</v>
      </c>
      <c r="G12" s="454">
        <v>4.4000000000000004</v>
      </c>
      <c r="H12" s="455">
        <v>3403903654</v>
      </c>
      <c r="I12" s="507" t="s">
        <v>411</v>
      </c>
      <c r="J12" s="502"/>
      <c r="K12" s="515"/>
      <c r="L12" s="515"/>
      <c r="M12" s="515" t="s">
        <v>421</v>
      </c>
      <c r="N12" s="515" t="s">
        <v>447</v>
      </c>
      <c r="O12" s="515" t="s">
        <v>447</v>
      </c>
      <c r="P12" s="515" t="s">
        <v>447</v>
      </c>
    </row>
    <row r="13" spans="1:16" x14ac:dyDescent="0.3">
      <c r="A13" s="493">
        <v>10</v>
      </c>
      <c r="B13" s="496" t="s">
        <v>430</v>
      </c>
      <c r="C13" s="497">
        <v>41888</v>
      </c>
      <c r="D13" s="498" t="s">
        <v>431</v>
      </c>
      <c r="E13" s="498" t="s">
        <v>432</v>
      </c>
      <c r="F13" s="499" t="s">
        <v>281</v>
      </c>
      <c r="G13" s="500">
        <v>6.6</v>
      </c>
      <c r="H13" s="501">
        <v>2835815442</v>
      </c>
      <c r="I13" s="502" t="s">
        <v>548</v>
      </c>
      <c r="J13" s="448"/>
      <c r="K13" s="448"/>
      <c r="L13" s="448"/>
      <c r="M13" s="448"/>
      <c r="N13" s="502" t="s">
        <v>448</v>
      </c>
      <c r="O13" s="502" t="s">
        <v>448</v>
      </c>
      <c r="P13" s="502" t="s">
        <v>448</v>
      </c>
    </row>
    <row r="14" spans="1:16" x14ac:dyDescent="0.3">
      <c r="A14" s="493">
        <v>11</v>
      </c>
      <c r="B14" s="496" t="s">
        <v>528</v>
      </c>
      <c r="C14" s="497">
        <v>41921</v>
      </c>
      <c r="D14" s="498" t="s">
        <v>531</v>
      </c>
      <c r="E14" s="498" t="s">
        <v>532</v>
      </c>
      <c r="F14" s="499" t="s">
        <v>281</v>
      </c>
      <c r="G14" s="500">
        <v>12.8</v>
      </c>
      <c r="H14" s="501">
        <v>3623817442</v>
      </c>
      <c r="I14" s="502" t="s">
        <v>549</v>
      </c>
      <c r="J14" s="448"/>
      <c r="K14" s="448"/>
      <c r="L14" s="448"/>
      <c r="M14" s="448"/>
      <c r="N14" s="448"/>
      <c r="O14" s="502" t="s">
        <v>549</v>
      </c>
      <c r="P14" s="502" t="s">
        <v>549</v>
      </c>
    </row>
    <row r="15" spans="1:16" x14ac:dyDescent="0.3">
      <c r="A15" s="493">
        <v>12</v>
      </c>
      <c r="B15" s="496" t="s">
        <v>529</v>
      </c>
      <c r="C15" s="497">
        <v>41935</v>
      </c>
      <c r="D15" s="498" t="s">
        <v>533</v>
      </c>
      <c r="E15" s="498" t="s">
        <v>534</v>
      </c>
      <c r="F15" s="499" t="s">
        <v>281</v>
      </c>
      <c r="G15" s="500">
        <v>6.6</v>
      </c>
      <c r="H15" s="501">
        <v>865153414</v>
      </c>
      <c r="I15" s="502" t="s">
        <v>550</v>
      </c>
      <c r="J15" s="448"/>
      <c r="K15" s="448"/>
      <c r="L15" s="448"/>
      <c r="M15" s="448"/>
      <c r="N15" s="448"/>
      <c r="O15" s="502" t="s">
        <v>550</v>
      </c>
      <c r="P15" s="502" t="s">
        <v>550</v>
      </c>
    </row>
    <row r="16" spans="1:16" x14ac:dyDescent="0.3">
      <c r="A16" s="493">
        <v>13</v>
      </c>
      <c r="B16" s="496" t="s">
        <v>530</v>
      </c>
      <c r="C16" s="497">
        <v>41936</v>
      </c>
      <c r="D16" s="498" t="s">
        <v>535</v>
      </c>
      <c r="E16" s="498" t="s">
        <v>536</v>
      </c>
      <c r="F16" s="499" t="s">
        <v>281</v>
      </c>
      <c r="G16" s="500">
        <v>4.4000000000000004</v>
      </c>
      <c r="H16" s="501">
        <v>2071974348</v>
      </c>
      <c r="I16" s="502" t="s">
        <v>551</v>
      </c>
      <c r="J16" s="448"/>
      <c r="K16" s="448"/>
      <c r="L16" s="448"/>
      <c r="M16" s="448"/>
      <c r="N16" s="448"/>
      <c r="O16" s="502" t="s">
        <v>551</v>
      </c>
      <c r="P16" s="502" t="s">
        <v>551</v>
      </c>
    </row>
    <row r="17" spans="1:16" x14ac:dyDescent="0.3">
      <c r="A17" s="493">
        <v>14</v>
      </c>
      <c r="B17" s="496" t="s">
        <v>537</v>
      </c>
      <c r="C17" s="497">
        <v>41968</v>
      </c>
      <c r="D17" s="498" t="s">
        <v>289</v>
      </c>
      <c r="E17" s="498" t="s">
        <v>541</v>
      </c>
      <c r="F17" s="499" t="s">
        <v>281</v>
      </c>
      <c r="G17" s="500">
        <v>4.4000000000000004</v>
      </c>
      <c r="H17" s="501">
        <v>3126195670</v>
      </c>
      <c r="I17" s="502" t="s">
        <v>552</v>
      </c>
      <c r="J17" s="448"/>
      <c r="K17" s="448"/>
      <c r="L17" s="448"/>
      <c r="M17" s="448"/>
      <c r="N17" s="448"/>
      <c r="O17" s="502" t="s">
        <v>552</v>
      </c>
      <c r="P17" s="502" t="s">
        <v>552</v>
      </c>
    </row>
    <row r="18" spans="1:16" x14ac:dyDescent="0.3">
      <c r="A18" s="493">
        <v>15</v>
      </c>
      <c r="B18" s="496" t="s">
        <v>538</v>
      </c>
      <c r="C18" s="497">
        <v>41968</v>
      </c>
      <c r="D18" s="498" t="s">
        <v>542</v>
      </c>
      <c r="E18" s="498" t="s">
        <v>543</v>
      </c>
      <c r="F18" s="499" t="s">
        <v>281</v>
      </c>
      <c r="G18" s="500">
        <v>6.6</v>
      </c>
      <c r="H18" s="501">
        <v>3565004038</v>
      </c>
      <c r="I18" s="502" t="s">
        <v>553</v>
      </c>
      <c r="J18" s="448"/>
      <c r="K18" s="448"/>
      <c r="L18" s="448"/>
      <c r="M18" s="448"/>
      <c r="N18" s="448"/>
      <c r="O18" s="502" t="s">
        <v>553</v>
      </c>
      <c r="P18" s="502" t="s">
        <v>553</v>
      </c>
    </row>
    <row r="19" spans="1:16" x14ac:dyDescent="0.3">
      <c r="A19" s="494">
        <v>16</v>
      </c>
      <c r="B19" s="495" t="s">
        <v>539</v>
      </c>
      <c r="C19" s="497">
        <v>41968</v>
      </c>
      <c r="D19" s="516" t="s">
        <v>544</v>
      </c>
      <c r="E19" s="516" t="s">
        <v>545</v>
      </c>
      <c r="F19" s="499" t="s">
        <v>281</v>
      </c>
      <c r="G19" s="448">
        <v>4.4000000000000004</v>
      </c>
      <c r="H19" s="448">
        <v>764114050</v>
      </c>
      <c r="I19" s="502" t="s">
        <v>554</v>
      </c>
      <c r="J19" s="448"/>
      <c r="K19" s="448"/>
      <c r="L19" s="448"/>
      <c r="M19" s="448"/>
      <c r="N19" s="448"/>
      <c r="O19" s="502" t="s">
        <v>554</v>
      </c>
      <c r="P19" s="502" t="s">
        <v>554</v>
      </c>
    </row>
    <row r="20" spans="1:16" x14ac:dyDescent="0.3">
      <c r="A20" s="494">
        <v>17</v>
      </c>
      <c r="B20" s="495" t="s">
        <v>540</v>
      </c>
      <c r="C20" s="497">
        <v>41969</v>
      </c>
      <c r="D20" s="516" t="s">
        <v>546</v>
      </c>
      <c r="E20" s="516" t="s">
        <v>547</v>
      </c>
      <c r="F20" s="499" t="s">
        <v>281</v>
      </c>
      <c r="G20" s="448">
        <v>8.8000000000000007</v>
      </c>
      <c r="H20" s="448">
        <v>764275442</v>
      </c>
      <c r="I20" s="502" t="s">
        <v>555</v>
      </c>
      <c r="J20" s="448"/>
      <c r="K20" s="448"/>
      <c r="L20" s="448"/>
      <c r="M20" s="448"/>
      <c r="N20" s="448"/>
      <c r="O20" s="502" t="s">
        <v>555</v>
      </c>
      <c r="P20" s="502" t="s">
        <v>555</v>
      </c>
    </row>
  </sheetData>
  <mergeCells count="10">
    <mergeCell ref="G3:G4"/>
    <mergeCell ref="H3:H4"/>
    <mergeCell ref="I3:I4"/>
    <mergeCell ref="J3:P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AG14"/>
  <sheetViews>
    <sheetView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Z13" sqref="Z13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6" width="12.33203125" customWidth="1"/>
    <col min="27" max="27" width="11.5546875" bestFit="1" customWidth="1"/>
    <col min="28" max="28" width="12.109375" customWidth="1"/>
    <col min="29" max="29" width="12.21875" bestFit="1" customWidth="1"/>
    <col min="30" max="32" width="12.21875" customWidth="1"/>
    <col min="33" max="33" width="14.109375" customWidth="1"/>
  </cols>
  <sheetData>
    <row r="1" spans="1:33" x14ac:dyDescent="0.3">
      <c r="A1" t="s">
        <v>392</v>
      </c>
    </row>
    <row r="2" spans="1:33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  <c r="U2" s="562" t="s">
        <v>359</v>
      </c>
      <c r="V2" s="562"/>
      <c r="W2" s="562"/>
      <c r="X2" s="562" t="s">
        <v>360</v>
      </c>
      <c r="Y2" s="562"/>
      <c r="Z2" s="562"/>
      <c r="AA2" s="562" t="s">
        <v>361</v>
      </c>
      <c r="AB2" s="562"/>
      <c r="AC2" s="562"/>
      <c r="AD2" s="562" t="s">
        <v>362</v>
      </c>
      <c r="AE2" s="562"/>
      <c r="AF2" s="562"/>
    </row>
    <row r="3" spans="1:33" ht="40.200000000000003" customHeight="1" x14ac:dyDescent="0.3">
      <c r="A3" s="344" t="s">
        <v>46</v>
      </c>
      <c r="B3" s="365" t="s">
        <v>208</v>
      </c>
      <c r="C3" s="365" t="s">
        <v>482</v>
      </c>
      <c r="D3" s="365" t="s">
        <v>503</v>
      </c>
      <c r="E3" s="365" t="s">
        <v>206</v>
      </c>
      <c r="F3" s="365" t="s">
        <v>482</v>
      </c>
      <c r="G3" s="365" t="s">
        <v>503</v>
      </c>
      <c r="H3" s="365" t="s">
        <v>206</v>
      </c>
      <c r="I3" s="365" t="s">
        <v>482</v>
      </c>
      <c r="J3" s="365" t="s">
        <v>503</v>
      </c>
      <c r="K3" s="365" t="s">
        <v>206</v>
      </c>
      <c r="L3" s="365" t="s">
        <v>482</v>
      </c>
      <c r="M3" s="365" t="s">
        <v>503</v>
      </c>
      <c r="N3" s="369" t="s">
        <v>206</v>
      </c>
      <c r="O3" s="365" t="s">
        <v>482</v>
      </c>
      <c r="P3" s="365" t="s">
        <v>503</v>
      </c>
      <c r="Q3" s="369" t="s">
        <v>206</v>
      </c>
      <c r="R3" s="365" t="s">
        <v>482</v>
      </c>
      <c r="S3" s="365" t="s">
        <v>503</v>
      </c>
      <c r="T3" s="369" t="s">
        <v>206</v>
      </c>
      <c r="U3" s="365" t="s">
        <v>482</v>
      </c>
      <c r="V3" s="365" t="s">
        <v>503</v>
      </c>
      <c r="W3" s="369" t="s">
        <v>206</v>
      </c>
      <c r="X3" s="365" t="s">
        <v>482</v>
      </c>
      <c r="Y3" s="365" t="s">
        <v>503</v>
      </c>
      <c r="Z3" s="369" t="s">
        <v>206</v>
      </c>
      <c r="AA3" s="365" t="s">
        <v>482</v>
      </c>
      <c r="AB3" s="365" t="s">
        <v>503</v>
      </c>
      <c r="AC3" s="369" t="s">
        <v>206</v>
      </c>
      <c r="AD3" s="365" t="s">
        <v>504</v>
      </c>
      <c r="AE3" s="365" t="s">
        <v>503</v>
      </c>
      <c r="AF3" s="369" t="s">
        <v>206</v>
      </c>
      <c r="AG3" s="365" t="s">
        <v>351</v>
      </c>
    </row>
    <row r="4" spans="1:33" x14ac:dyDescent="0.3">
      <c r="A4" s="263" t="s">
        <v>54</v>
      </c>
      <c r="B4" s="91">
        <v>2.2000000000000002</v>
      </c>
      <c r="C4" s="91">
        <v>757741.6</v>
      </c>
      <c r="D4" s="91">
        <v>757741.6</v>
      </c>
      <c r="E4" s="91">
        <f>+D4-C4</f>
        <v>0</v>
      </c>
      <c r="F4" s="91">
        <v>698530.8</v>
      </c>
      <c r="G4" s="91">
        <v>698530.8</v>
      </c>
      <c r="H4" s="91">
        <f>+G4-F4</f>
        <v>0</v>
      </c>
      <c r="I4" s="91">
        <v>769874.6</v>
      </c>
      <c r="J4" s="91">
        <v>769874.6</v>
      </c>
      <c r="K4" s="91">
        <f>+J4-I4</f>
        <v>0</v>
      </c>
      <c r="L4" s="91">
        <v>777779.19999999995</v>
      </c>
      <c r="M4" s="91">
        <v>777779.19999999995</v>
      </c>
      <c r="N4" s="265">
        <f>+M4-L4</f>
        <v>0</v>
      </c>
      <c r="O4" s="91">
        <v>774846.6</v>
      </c>
      <c r="P4" s="91">
        <v>774846.6</v>
      </c>
      <c r="Q4" s="265">
        <f>+P4-O4</f>
        <v>0</v>
      </c>
      <c r="R4" s="91">
        <v>721809</v>
      </c>
      <c r="S4" s="91">
        <v>721809</v>
      </c>
      <c r="T4" s="265">
        <f>+S4-R4</f>
        <v>0</v>
      </c>
      <c r="U4" s="91">
        <v>736419.2</v>
      </c>
      <c r="V4" s="91">
        <v>736419.2</v>
      </c>
      <c r="W4" s="265">
        <f>+V4-U4</f>
        <v>0</v>
      </c>
      <c r="X4" s="91">
        <v>685489.2</v>
      </c>
      <c r="Y4" s="91">
        <v>685489.2</v>
      </c>
      <c r="Z4" s="265">
        <f>+Y4-X4</f>
        <v>0</v>
      </c>
      <c r="AA4" s="91">
        <v>777794.6</v>
      </c>
      <c r="AB4" s="91">
        <v>777836.4</v>
      </c>
      <c r="AC4" s="265">
        <f>+AB4-AA4</f>
        <v>41.800000000046566</v>
      </c>
      <c r="AD4" s="474">
        <v>801288.4</v>
      </c>
      <c r="AE4" s="474">
        <v>801559</v>
      </c>
      <c r="AF4" s="265">
        <f>+AE4-AD4</f>
        <v>270.59999999997672</v>
      </c>
      <c r="AG4" s="262">
        <f>+E4+H4+K4+N4+Q4+T4+W4+Z4+AC4+AF4</f>
        <v>312.40000000002328</v>
      </c>
    </row>
    <row r="5" spans="1:33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82964.2</v>
      </c>
      <c r="K5" s="91">
        <f t="shared" ref="K5:K9" si="2">+J5-I5</f>
        <v>0</v>
      </c>
      <c r="L5" s="91">
        <v>82359.199999999997</v>
      </c>
      <c r="M5" s="91">
        <v>82359.199999999997</v>
      </c>
      <c r="N5" s="257">
        <f t="shared" ref="N5:N9" si="3">+M5-L5</f>
        <v>0</v>
      </c>
      <c r="O5" s="91">
        <v>79332</v>
      </c>
      <c r="P5" s="91">
        <v>79332</v>
      </c>
      <c r="Q5" s="257">
        <f t="shared" ref="Q5:Q9" si="4">+P5-O5</f>
        <v>0</v>
      </c>
      <c r="R5" s="91">
        <v>78398.100000000006</v>
      </c>
      <c r="S5" s="91">
        <v>78398.100000000006</v>
      </c>
      <c r="T5" s="257">
        <f t="shared" ref="T5:T9" si="5">+S5-R5</f>
        <v>0</v>
      </c>
      <c r="U5" s="91">
        <v>75402.8</v>
      </c>
      <c r="V5" s="91">
        <v>75402.8</v>
      </c>
      <c r="W5" s="257">
        <f t="shared" ref="W5:W9" si="6">+V5-U5</f>
        <v>0</v>
      </c>
      <c r="X5" s="60">
        <v>72257.899999999994</v>
      </c>
      <c r="Y5" s="60">
        <v>72257.899999999994</v>
      </c>
      <c r="Z5" s="257">
        <f t="shared" ref="Z5:Z9" si="7">+Y5-X5</f>
        <v>0</v>
      </c>
      <c r="AA5" s="60">
        <v>81845.5</v>
      </c>
      <c r="AB5" s="60">
        <v>81849.899999999994</v>
      </c>
      <c r="AC5" s="257">
        <f t="shared" ref="AC5:AC9" si="8">+AB5-AA5</f>
        <v>4.3999999999941792</v>
      </c>
      <c r="AD5" s="130">
        <v>84236.9</v>
      </c>
      <c r="AE5" s="130">
        <v>84265.5</v>
      </c>
      <c r="AF5" s="257">
        <f t="shared" ref="AF5:AF9" si="9">+AE5-AD5</f>
        <v>28.600000000005821</v>
      </c>
      <c r="AG5" s="262">
        <f t="shared" ref="AG5:AG10" si="10">+E5+H5+K5+N5+Q5+T5+W5+Z5+AC5+AF5</f>
        <v>33</v>
      </c>
    </row>
    <row r="6" spans="1:33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1460.36</v>
      </c>
      <c r="K6" s="91">
        <f t="shared" si="2"/>
        <v>0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1437.48</v>
      </c>
      <c r="Q6" s="257">
        <f t="shared" si="4"/>
        <v>0</v>
      </c>
      <c r="R6" s="91">
        <v>1250.04</v>
      </c>
      <c r="S6" s="91">
        <v>1250.04</v>
      </c>
      <c r="T6" s="257">
        <f t="shared" si="5"/>
        <v>0</v>
      </c>
      <c r="U6" s="91">
        <v>1297.1199999999999</v>
      </c>
      <c r="V6" s="91">
        <v>1297.1199999999999</v>
      </c>
      <c r="W6" s="257">
        <f t="shared" si="6"/>
        <v>0</v>
      </c>
      <c r="X6" s="62">
        <v>1233.76</v>
      </c>
      <c r="Y6" s="62">
        <v>1233.76</v>
      </c>
      <c r="Z6" s="257">
        <f t="shared" si="7"/>
        <v>0</v>
      </c>
      <c r="AA6" s="62">
        <v>1438.8</v>
      </c>
      <c r="AB6" s="62">
        <v>1438.8</v>
      </c>
      <c r="AC6" s="257">
        <f t="shared" si="8"/>
        <v>0</v>
      </c>
      <c r="AD6" s="130">
        <v>1370.6</v>
      </c>
      <c r="AE6" s="130">
        <v>1370.6</v>
      </c>
      <c r="AF6" s="257">
        <f t="shared" si="9"/>
        <v>0</v>
      </c>
      <c r="AG6" s="262">
        <f t="shared" si="10"/>
        <v>0</v>
      </c>
    </row>
    <row r="7" spans="1:33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107465.60000000001</v>
      </c>
      <c r="G7" s="62">
        <v>107465.60000000001</v>
      </c>
      <c r="H7" s="91">
        <f t="shared" si="1"/>
        <v>0</v>
      </c>
      <c r="I7" s="62">
        <v>116988.8</v>
      </c>
      <c r="J7" s="62">
        <v>116988.8</v>
      </c>
      <c r="K7" s="91">
        <f t="shared" si="2"/>
        <v>0</v>
      </c>
      <c r="L7" s="91">
        <v>124934.39999999999</v>
      </c>
      <c r="M7" s="91">
        <v>124934.39999999999</v>
      </c>
      <c r="N7" s="257">
        <f t="shared" si="3"/>
        <v>0</v>
      </c>
      <c r="O7" s="91">
        <v>126780.8</v>
      </c>
      <c r="P7" s="91">
        <v>126780.8</v>
      </c>
      <c r="Q7" s="257">
        <f t="shared" si="4"/>
        <v>0</v>
      </c>
      <c r="R7" s="91">
        <v>123222.39999999999</v>
      </c>
      <c r="S7" s="91">
        <v>123222.39999999999</v>
      </c>
      <c r="T7" s="257">
        <f t="shared" si="5"/>
        <v>0</v>
      </c>
      <c r="U7" s="91">
        <v>128307.2</v>
      </c>
      <c r="V7" s="91">
        <v>128307.2</v>
      </c>
      <c r="W7" s="257">
        <f t="shared" si="6"/>
        <v>0</v>
      </c>
      <c r="X7" s="62">
        <v>119065.60000000001</v>
      </c>
      <c r="Y7" s="62">
        <v>119065.60000000001</v>
      </c>
      <c r="Z7" s="257">
        <f t="shared" si="7"/>
        <v>0</v>
      </c>
      <c r="AA7" s="62">
        <v>134486.39999999999</v>
      </c>
      <c r="AB7" s="62">
        <v>134492.79999999999</v>
      </c>
      <c r="AC7" s="257">
        <f t="shared" si="8"/>
        <v>6.3999999999941792</v>
      </c>
      <c r="AD7" s="130">
        <v>140505.60000000001</v>
      </c>
      <c r="AE7" s="130">
        <v>140585.60000000001</v>
      </c>
      <c r="AF7" s="257">
        <f t="shared" si="9"/>
        <v>80</v>
      </c>
      <c r="AG7" s="262">
        <f t="shared" si="10"/>
        <v>86.399999999994179</v>
      </c>
    </row>
    <row r="8" spans="1:33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14363.2</v>
      </c>
      <c r="K8" s="91">
        <f t="shared" si="2"/>
        <v>0</v>
      </c>
      <c r="L8" s="91">
        <v>16284.8</v>
      </c>
      <c r="M8" s="91">
        <v>16284.8</v>
      </c>
      <c r="N8" s="257">
        <f t="shared" si="3"/>
        <v>0</v>
      </c>
      <c r="O8" s="91">
        <v>16817.599999999999</v>
      </c>
      <c r="P8" s="91">
        <v>16817.599999999999</v>
      </c>
      <c r="Q8" s="257">
        <f t="shared" si="4"/>
        <v>0</v>
      </c>
      <c r="R8" s="91">
        <v>16654.400000000001</v>
      </c>
      <c r="S8" s="91">
        <v>16654.400000000001</v>
      </c>
      <c r="T8" s="257">
        <f t="shared" si="5"/>
        <v>0</v>
      </c>
      <c r="U8" s="91">
        <v>17555.2</v>
      </c>
      <c r="V8" s="91">
        <v>17555.2</v>
      </c>
      <c r="W8" s="257">
        <f t="shared" si="6"/>
        <v>0</v>
      </c>
      <c r="X8" s="62">
        <v>16044.8</v>
      </c>
      <c r="Y8" s="62">
        <v>16044.8</v>
      </c>
      <c r="Z8" s="257">
        <f t="shared" si="7"/>
        <v>0</v>
      </c>
      <c r="AA8" s="62">
        <v>17857.599999999999</v>
      </c>
      <c r="AB8" s="62">
        <v>17862.400000000001</v>
      </c>
      <c r="AC8" s="257">
        <f t="shared" si="8"/>
        <v>4.8000000000029104</v>
      </c>
      <c r="AD8" s="130">
        <v>18265.599999999999</v>
      </c>
      <c r="AE8" s="130">
        <v>18265.599999999999</v>
      </c>
      <c r="AF8" s="257">
        <f t="shared" si="9"/>
        <v>0</v>
      </c>
      <c r="AG8" s="262">
        <f t="shared" si="10"/>
        <v>4.8000000000029104</v>
      </c>
    </row>
    <row r="9" spans="1:33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290.56</v>
      </c>
      <c r="S9" s="91">
        <v>290.56</v>
      </c>
      <c r="T9" s="259">
        <f t="shared" si="5"/>
        <v>0</v>
      </c>
      <c r="U9" s="91">
        <v>276.48</v>
      </c>
      <c r="V9" s="91">
        <v>276.48</v>
      </c>
      <c r="W9" s="259">
        <f t="shared" si="6"/>
        <v>0</v>
      </c>
      <c r="X9" s="63">
        <v>268.16000000000003</v>
      </c>
      <c r="Y9" s="63">
        <v>268.16000000000003</v>
      </c>
      <c r="Z9" s="259">
        <f t="shared" si="7"/>
        <v>0</v>
      </c>
      <c r="AA9" s="63">
        <v>286.08</v>
      </c>
      <c r="AB9" s="63">
        <v>286.08</v>
      </c>
      <c r="AC9" s="259">
        <f t="shared" si="8"/>
        <v>0</v>
      </c>
      <c r="AD9" s="132">
        <v>254.72</v>
      </c>
      <c r="AE9" s="132">
        <v>255.36</v>
      </c>
      <c r="AF9" s="259">
        <f t="shared" si="9"/>
        <v>0.64000000000001478</v>
      </c>
      <c r="AG9" s="262">
        <f t="shared" si="10"/>
        <v>0.64000000000001478</v>
      </c>
    </row>
    <row r="10" spans="1:33" x14ac:dyDescent="0.3">
      <c r="A10" s="260" t="s">
        <v>151</v>
      </c>
      <c r="B10" s="261"/>
      <c r="C10" s="364">
        <f t="shared" ref="C10" si="11">+SUM(C4:C9)</f>
        <v>964344.19999999984</v>
      </c>
      <c r="D10" s="364">
        <f t="shared" ref="D10:N10" si="12">+SUM(D4:D9)</f>
        <v>964344.19999999984</v>
      </c>
      <c r="E10" s="364">
        <f t="shared" si="12"/>
        <v>0</v>
      </c>
      <c r="F10" s="364">
        <f t="shared" ref="F10" si="13">+SUM(F4:F9)</f>
        <v>891889.42000000016</v>
      </c>
      <c r="G10" s="364">
        <f t="shared" si="12"/>
        <v>891889.42000000016</v>
      </c>
      <c r="H10" s="364">
        <f t="shared" si="12"/>
        <v>0</v>
      </c>
      <c r="I10" s="364">
        <f t="shared" ref="I10" si="14">+SUM(I4:I9)</f>
        <v>985948.75999999989</v>
      </c>
      <c r="J10" s="364">
        <f t="shared" si="12"/>
        <v>985948.75999999989</v>
      </c>
      <c r="K10" s="364">
        <f t="shared" si="12"/>
        <v>0</v>
      </c>
      <c r="L10" s="364">
        <f t="shared" ref="L10" si="15">+SUM(L4:L9)</f>
        <v>1003188.96</v>
      </c>
      <c r="M10" s="364">
        <f t="shared" si="12"/>
        <v>1003188.96</v>
      </c>
      <c r="N10" s="364">
        <f t="shared" si="12"/>
        <v>0</v>
      </c>
      <c r="O10" s="364">
        <f t="shared" ref="O10:AC10" si="16">+SUM(O4:O9)</f>
        <v>999544.72</v>
      </c>
      <c r="P10" s="364">
        <f t="shared" si="16"/>
        <v>999544.72</v>
      </c>
      <c r="Q10" s="364">
        <f t="shared" si="16"/>
        <v>0</v>
      </c>
      <c r="R10" s="364">
        <f t="shared" si="16"/>
        <v>941624.50000000012</v>
      </c>
      <c r="S10" s="364">
        <f t="shared" si="16"/>
        <v>941624.50000000012</v>
      </c>
      <c r="T10" s="364">
        <f t="shared" si="16"/>
        <v>0</v>
      </c>
      <c r="U10" s="364">
        <f t="shared" si="16"/>
        <v>959257.99999999988</v>
      </c>
      <c r="V10" s="364">
        <f t="shared" si="16"/>
        <v>959257.99999999988</v>
      </c>
      <c r="W10" s="364">
        <f t="shared" si="16"/>
        <v>0</v>
      </c>
      <c r="X10" s="364">
        <f t="shared" si="16"/>
        <v>894359.42</v>
      </c>
      <c r="Y10" s="364">
        <f t="shared" si="16"/>
        <v>894359.42</v>
      </c>
      <c r="Z10" s="364">
        <f t="shared" si="16"/>
        <v>0</v>
      </c>
      <c r="AA10" s="364">
        <f t="shared" si="16"/>
        <v>1013708.98</v>
      </c>
      <c r="AB10" s="364">
        <f t="shared" si="16"/>
        <v>1013766.3800000001</v>
      </c>
      <c r="AC10" s="364">
        <f t="shared" si="16"/>
        <v>57.400000000037835</v>
      </c>
      <c r="AD10" s="364">
        <f t="shared" ref="AD10:AF10" si="17">+SUM(AD4:AD9)</f>
        <v>1045921.82</v>
      </c>
      <c r="AE10" s="364">
        <f t="shared" si="17"/>
        <v>1046301.6599999999</v>
      </c>
      <c r="AF10" s="364">
        <f t="shared" si="17"/>
        <v>379.83999999998252</v>
      </c>
      <c r="AG10" s="262">
        <f t="shared" si="10"/>
        <v>437.24000000002036</v>
      </c>
    </row>
    <row r="11" spans="1:33" x14ac:dyDescent="0.3">
      <c r="C11" s="102"/>
      <c r="F11" s="102"/>
      <c r="I11" s="102"/>
      <c r="AF11" s="102"/>
    </row>
    <row r="14" spans="1:33" x14ac:dyDescent="0.3">
      <c r="Q14" s="102"/>
      <c r="T14" s="102"/>
      <c r="U14" s="102"/>
      <c r="V14" s="102"/>
      <c r="W14" s="102"/>
      <c r="X14" s="102"/>
      <c r="Y14" s="102"/>
      <c r="Z14" s="102"/>
    </row>
  </sheetData>
  <mergeCells count="10">
    <mergeCell ref="U2:W2"/>
    <mergeCell ref="X2:Z2"/>
    <mergeCell ref="AA2:AC2"/>
    <mergeCell ref="AD2:AF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Z74"/>
  <sheetViews>
    <sheetView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43" sqref="G43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8.3320312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3" style="1" customWidth="1"/>
    <col min="16" max="16" width="13" style="1" customWidth="1" outlineLevel="1"/>
    <col min="17" max="17" width="12.33203125" style="1" bestFit="1" customWidth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1093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6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6" s="141" customFormat="1" ht="16.8" customHeight="1" x14ac:dyDescent="0.3">
      <c r="A2" s="40" t="s">
        <v>505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"/>
      <c r="R2" s="1"/>
      <c r="S2" s="1"/>
      <c r="T2" s="1"/>
      <c r="U2" s="1"/>
      <c r="V2" s="1"/>
      <c r="W2" s="2"/>
      <c r="X2" s="1"/>
      <c r="Z2" s="1"/>
    </row>
    <row r="3" spans="1:26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3"/>
      <c r="S3" s="1"/>
      <c r="T3" s="3"/>
      <c r="U3" s="1"/>
      <c r="V3" s="1"/>
      <c r="W3" s="2"/>
      <c r="X3" s="1"/>
      <c r="Z3" s="1"/>
    </row>
    <row r="4" spans="1:26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74" t="s">
        <v>387</v>
      </c>
      <c r="O4" s="586" t="s">
        <v>178</v>
      </c>
      <c r="P4" s="598"/>
      <c r="Q4" s="590" t="s">
        <v>43</v>
      </c>
      <c r="R4" s="590" t="s">
        <v>44</v>
      </c>
      <c r="S4" s="590" t="s">
        <v>41</v>
      </c>
      <c r="T4" s="590" t="s">
        <v>149</v>
      </c>
      <c r="U4" s="1"/>
      <c r="V4" s="61"/>
      <c r="W4" s="584" t="s">
        <v>449</v>
      </c>
      <c r="X4" s="1"/>
      <c r="Z4" s="1"/>
    </row>
    <row r="5" spans="1:26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506</v>
      </c>
      <c r="M5" s="575"/>
      <c r="N5" s="575"/>
      <c r="O5" s="471" t="s">
        <v>203</v>
      </c>
      <c r="P5" s="473" t="s">
        <v>507</v>
      </c>
      <c r="Q5" s="591"/>
      <c r="R5" s="592"/>
      <c r="S5" s="592"/>
      <c r="T5" s="592"/>
      <c r="U5" s="1"/>
      <c r="V5" s="87"/>
      <c r="W5" s="585"/>
      <c r="X5" s="1"/>
      <c r="Z5" s="1"/>
    </row>
    <row r="6" spans="1:26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T6" si="0">+E7+E19+E45</f>
        <v>254636.88000000003</v>
      </c>
      <c r="F6" s="82">
        <f t="shared" si="0"/>
        <v>4317752.6602739748</v>
      </c>
      <c r="G6" s="82">
        <f t="shared" si="0"/>
        <v>633633.68999999994</v>
      </c>
      <c r="H6" s="82">
        <f t="shared" si="0"/>
        <v>90083.202785388115</v>
      </c>
      <c r="I6" s="82">
        <f t="shared" si="0"/>
        <v>599492.94999999995</v>
      </c>
      <c r="J6" s="187">
        <f t="shared" si="0"/>
        <v>833725.2</v>
      </c>
      <c r="K6" s="187">
        <f t="shared" si="0"/>
        <v>956203.35</v>
      </c>
      <c r="L6" s="187">
        <f t="shared" si="0"/>
        <v>437.24000000002036</v>
      </c>
      <c r="M6" s="187">
        <f t="shared" si="0"/>
        <v>64024.160000000011</v>
      </c>
      <c r="N6" s="192">
        <f>+N7+N19+N45</f>
        <v>135556.79333333331</v>
      </c>
      <c r="O6" s="437">
        <f t="shared" si="0"/>
        <v>392166.71431571955</v>
      </c>
      <c r="P6" s="435">
        <f t="shared" si="0"/>
        <v>28.500000000000004</v>
      </c>
      <c r="Q6" s="42">
        <f t="shared" ref="Q6:Q11" si="1">+SUM(E6:P6)</f>
        <v>8277741.3407084169</v>
      </c>
      <c r="R6" s="42">
        <f t="shared" si="0"/>
        <v>7594258.1107416656</v>
      </c>
      <c r="S6" s="42">
        <f t="shared" si="0"/>
        <v>683483.2299667506</v>
      </c>
      <c r="T6" s="42">
        <f t="shared" si="0"/>
        <v>2362184.830473979</v>
      </c>
      <c r="U6" s="71"/>
      <c r="V6" s="87"/>
      <c r="W6" s="135">
        <f>+W8+W19+W45</f>
        <v>4609051.3868873082</v>
      </c>
      <c r="X6" s="1"/>
      <c r="Z6" s="1"/>
    </row>
    <row r="7" spans="1:26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T7" si="2">+E8+E12</f>
        <v>91062.78</v>
      </c>
      <c r="F7" s="82">
        <f t="shared" si="2"/>
        <v>1698168.3400000003</v>
      </c>
      <c r="G7" s="82">
        <f t="shared" si="2"/>
        <v>238541.55999999994</v>
      </c>
      <c r="H7" s="82">
        <f t="shared" si="2"/>
        <v>33990.94</v>
      </c>
      <c r="I7" s="82">
        <f t="shared" si="2"/>
        <v>599492.94999999995</v>
      </c>
      <c r="J7" s="187">
        <f t="shared" si="2"/>
        <v>833725.2</v>
      </c>
      <c r="K7" s="187">
        <f t="shared" si="2"/>
        <v>956203.35</v>
      </c>
      <c r="L7" s="187">
        <f t="shared" si="2"/>
        <v>437.24000000002036</v>
      </c>
      <c r="M7" s="187">
        <f t="shared" si="2"/>
        <v>24280.84</v>
      </c>
      <c r="N7" s="192">
        <f>+N8+N12</f>
        <v>104440</v>
      </c>
      <c r="O7" s="437">
        <f t="shared" si="2"/>
        <v>143028.41999999998</v>
      </c>
      <c r="P7" s="435">
        <f t="shared" si="2"/>
        <v>28.500000000000004</v>
      </c>
      <c r="Q7" s="42">
        <f t="shared" si="1"/>
        <v>4723400.12</v>
      </c>
      <c r="R7" s="42">
        <f t="shared" si="2"/>
        <v>4333394.6055045873</v>
      </c>
      <c r="S7" s="42">
        <f t="shared" si="2"/>
        <v>390005.51449541305</v>
      </c>
      <c r="T7" s="44">
        <f t="shared" si="2"/>
        <v>2269017.5863636364</v>
      </c>
      <c r="U7" s="1"/>
      <c r="V7" s="61"/>
      <c r="W7" s="13"/>
      <c r="X7" s="1"/>
      <c r="Z7" s="1"/>
    </row>
    <row r="8" spans="1:26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599492.94999999995</v>
      </c>
      <c r="J8" s="126">
        <f t="shared" si="3"/>
        <v>833725.2</v>
      </c>
      <c r="K8" s="79">
        <f t="shared" si="3"/>
        <v>0</v>
      </c>
      <c r="L8" s="79">
        <f t="shared" si="3"/>
        <v>0</v>
      </c>
      <c r="M8" s="79">
        <f t="shared" ref="M8:T8" si="4">+SUM(M9:M11)</f>
        <v>0</v>
      </c>
      <c r="N8" s="79">
        <f t="shared" si="4"/>
        <v>0</v>
      </c>
      <c r="O8" s="438">
        <f t="shared" si="4"/>
        <v>0</v>
      </c>
      <c r="P8" s="436">
        <f t="shared" si="4"/>
        <v>0</v>
      </c>
      <c r="Q8" s="43">
        <f t="shared" si="1"/>
        <v>1433218.15</v>
      </c>
      <c r="R8" s="43">
        <f t="shared" si="4"/>
        <v>1314879.0366972475</v>
      </c>
      <c r="S8" s="43">
        <f t="shared" si="4"/>
        <v>118339.11330275238</v>
      </c>
      <c r="T8" s="45">
        <f t="shared" si="4"/>
        <v>522073</v>
      </c>
      <c r="U8" s="71"/>
      <c r="V8" s="134"/>
      <c r="W8" s="105">
        <f>+SUM(W9:W18)</f>
        <v>1016481.4699999999</v>
      </c>
      <c r="Y8" s="138"/>
    </row>
    <row r="9" spans="1:26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416447.5</v>
      </c>
      <c r="J9" s="127">
        <f>610778+25357.5</f>
        <v>636135.5</v>
      </c>
      <c r="K9" s="36"/>
      <c r="L9" s="36"/>
      <c r="M9" s="36"/>
      <c r="N9" s="127"/>
      <c r="O9" s="17"/>
      <c r="P9" s="355"/>
      <c r="Q9" s="24">
        <f t="shared" si="1"/>
        <v>1052583</v>
      </c>
      <c r="R9" s="5">
        <f t="shared" ref="R9:R11" si="5">+Q9/1.09</f>
        <v>965672.47706422012</v>
      </c>
      <c r="S9" s="5">
        <f t="shared" ref="S9:S11" si="6">+Q9-R9</f>
        <v>86910.522935779882</v>
      </c>
      <c r="T9" s="21">
        <f>Q9/D9</f>
        <v>300738</v>
      </c>
      <c r="U9" s="71"/>
      <c r="V9" s="61"/>
      <c r="W9" s="13"/>
      <c r="X9" s="2"/>
      <c r="Z9" s="1"/>
    </row>
    <row r="10" spans="1:26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181371.75</v>
      </c>
      <c r="J10" s="127">
        <f>184843.75+9952.25</f>
        <v>194796</v>
      </c>
      <c r="K10" s="143"/>
      <c r="L10" s="143"/>
      <c r="M10" s="143"/>
      <c r="N10" s="127"/>
      <c r="O10" s="196"/>
      <c r="P10" s="350"/>
      <c r="Q10" s="24">
        <f t="shared" si="1"/>
        <v>376167.75</v>
      </c>
      <c r="R10" s="5">
        <f t="shared" si="5"/>
        <v>345108.02752293576</v>
      </c>
      <c r="S10" s="5">
        <f t="shared" si="6"/>
        <v>31059.722477064235</v>
      </c>
      <c r="T10" s="21">
        <f>Q10/D10</f>
        <v>214953</v>
      </c>
      <c r="U10" s="71"/>
      <c r="V10" s="61">
        <v>1.75</v>
      </c>
      <c r="W10" s="13">
        <f>+T10*V10</f>
        <v>376167.75</v>
      </c>
      <c r="X10" s="1"/>
      <c r="Z10" s="1"/>
    </row>
    <row r="11" spans="1:26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1673.7</v>
      </c>
      <c r="J11" s="144">
        <f>2716.7+77</f>
        <v>2793.7</v>
      </c>
      <c r="K11" s="144"/>
      <c r="L11" s="144"/>
      <c r="M11" s="144"/>
      <c r="N11" s="144"/>
      <c r="O11" s="18"/>
      <c r="P11" s="350"/>
      <c r="Q11" s="24">
        <f t="shared" si="1"/>
        <v>4467.3999999999996</v>
      </c>
      <c r="R11" s="243">
        <f t="shared" si="5"/>
        <v>4098.5321100917427</v>
      </c>
      <c r="S11" s="243">
        <f t="shared" si="6"/>
        <v>368.86788990825698</v>
      </c>
      <c r="T11" s="244">
        <f>Q11/D11</f>
        <v>6382</v>
      </c>
      <c r="U11" s="71"/>
      <c r="V11" s="107">
        <v>2.8</v>
      </c>
      <c r="W11" s="13">
        <f>+T11*V11</f>
        <v>17869.599999999999</v>
      </c>
      <c r="X11" s="2"/>
      <c r="Y11" s="138"/>
      <c r="Z11" s="2"/>
    </row>
    <row r="12" spans="1:26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29">
        <f t="shared" ref="E12:T12" si="8">+SUM(E13:E18)</f>
        <v>91062.78</v>
      </c>
      <c r="F12" s="84">
        <f t="shared" si="8"/>
        <v>1698168.3400000003</v>
      </c>
      <c r="G12" s="84">
        <f t="shared" si="8"/>
        <v>238541.55999999994</v>
      </c>
      <c r="H12" s="84">
        <f t="shared" si="8"/>
        <v>33990.94</v>
      </c>
      <c r="I12" s="84">
        <f t="shared" si="8"/>
        <v>0</v>
      </c>
      <c r="J12" s="74">
        <f t="shared" si="8"/>
        <v>0</v>
      </c>
      <c r="K12" s="101">
        <f t="shared" si="8"/>
        <v>956203.35</v>
      </c>
      <c r="L12" s="101">
        <f t="shared" si="8"/>
        <v>437.24000000002036</v>
      </c>
      <c r="M12" s="101">
        <f t="shared" si="8"/>
        <v>24280.84</v>
      </c>
      <c r="N12" s="101">
        <f t="shared" ref="N12" si="9">+SUM(N13:N18)</f>
        <v>104440</v>
      </c>
      <c r="O12" s="476">
        <f t="shared" si="8"/>
        <v>143028.41999999998</v>
      </c>
      <c r="P12" s="74">
        <f t="shared" si="8"/>
        <v>28.500000000000004</v>
      </c>
      <c r="Q12" s="43">
        <f t="shared" ref="Q12" si="10">+SUM(Q13:Q18)</f>
        <v>3290181.97</v>
      </c>
      <c r="R12" s="43">
        <f t="shared" si="8"/>
        <v>3018515.5688073393</v>
      </c>
      <c r="S12" s="43">
        <f t="shared" si="8"/>
        <v>271666.40119266068</v>
      </c>
      <c r="T12" s="45">
        <f t="shared" si="8"/>
        <v>1746944.5863636364</v>
      </c>
      <c r="U12" s="71"/>
      <c r="V12" s="61"/>
      <c r="W12" s="13"/>
      <c r="X12" s="1"/>
      <c r="Z12" s="1"/>
    </row>
    <row r="13" spans="1:26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73480</v>
      </c>
      <c r="F13" s="13">
        <v>1284351.2000000002</v>
      </c>
      <c r="G13" s="13">
        <v>173342.39999999997</v>
      </c>
      <c r="H13" s="13">
        <v>24569.599999999999</v>
      </c>
      <c r="I13" s="13"/>
      <c r="J13" s="33"/>
      <c r="K13" s="33">
        <v>727773.84</v>
      </c>
      <c r="L13" s="305">
        <v>312.40000000002328</v>
      </c>
      <c r="M13" s="308">
        <v>16189.8</v>
      </c>
      <c r="N13" s="127">
        <v>91225.2</v>
      </c>
      <c r="O13" s="467">
        <f>125809.2+24.2-2.2</f>
        <v>125831.2</v>
      </c>
      <c r="P13" s="486">
        <f>4.4+19.8</f>
        <v>24.200000000000003</v>
      </c>
      <c r="Q13" s="24">
        <f t="shared" ref="Q13:Q18" si="11">+SUM(E13:P13)</f>
        <v>2517099.8400000003</v>
      </c>
      <c r="R13" s="5">
        <f t="shared" ref="R13:R18" si="12">+Q13/1.09</f>
        <v>2309265.9082568809</v>
      </c>
      <c r="S13" s="5">
        <f t="shared" ref="S13:S18" si="13">+Q13-R13</f>
        <v>207833.93174311938</v>
      </c>
      <c r="T13" s="21">
        <f t="shared" ref="T13:T18" si="14">Q13/D13</f>
        <v>1144136.290909091</v>
      </c>
      <c r="U13" s="2"/>
      <c r="V13" s="61"/>
      <c r="W13" s="13"/>
    </row>
    <row r="14" spans="1:26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16208.500000000002</v>
      </c>
      <c r="F14" s="13">
        <v>386061.50000000006</v>
      </c>
      <c r="G14" s="13">
        <v>59901.599999999991</v>
      </c>
      <c r="H14" s="13">
        <v>8977.0999999999985</v>
      </c>
      <c r="I14" s="13"/>
      <c r="J14" s="33"/>
      <c r="K14" s="33">
        <v>79284.7</v>
      </c>
      <c r="L14" s="306">
        <v>33</v>
      </c>
      <c r="M14" s="13">
        <v>7684.6</v>
      </c>
      <c r="N14" s="127">
        <v>2646.6</v>
      </c>
      <c r="O14" s="96">
        <v>8785.7000000000007</v>
      </c>
      <c r="P14" s="486">
        <v>1.1000000000000001</v>
      </c>
      <c r="Q14" s="24">
        <f t="shared" si="11"/>
        <v>569584.39999999991</v>
      </c>
      <c r="R14" s="5">
        <f t="shared" si="12"/>
        <v>522554.49541284388</v>
      </c>
      <c r="S14" s="5">
        <f t="shared" si="13"/>
        <v>47029.904587156023</v>
      </c>
      <c r="T14" s="21">
        <f t="shared" si="14"/>
        <v>517803.99999999988</v>
      </c>
      <c r="U14" s="71"/>
      <c r="V14" s="107">
        <v>1.1000000000000001</v>
      </c>
      <c r="W14" s="13">
        <f t="shared" ref="W14:W15" si="15">+T14*V14</f>
        <v>569584.39999999991</v>
      </c>
    </row>
    <row r="15" spans="1:26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200.2</v>
      </c>
      <c r="F15" s="13">
        <v>3879.48</v>
      </c>
      <c r="G15" s="13">
        <v>663.96</v>
      </c>
      <c r="H15" s="13">
        <v>143.44</v>
      </c>
      <c r="I15" s="13"/>
      <c r="J15" s="33"/>
      <c r="K15" s="33">
        <v>1163.05</v>
      </c>
      <c r="L15" s="306">
        <v>0</v>
      </c>
      <c r="M15" s="13">
        <v>110.44</v>
      </c>
      <c r="N15" s="127">
        <v>583.88</v>
      </c>
      <c r="O15" s="96">
        <v>144.32</v>
      </c>
      <c r="P15" s="164"/>
      <c r="Q15" s="24">
        <f t="shared" si="11"/>
        <v>6888.7699999999986</v>
      </c>
      <c r="R15" s="5">
        <f t="shared" si="12"/>
        <v>6319.9724770642188</v>
      </c>
      <c r="S15" s="5">
        <f t="shared" si="13"/>
        <v>568.79752293577985</v>
      </c>
      <c r="T15" s="21">
        <f t="shared" si="14"/>
        <v>15656.295454545452</v>
      </c>
      <c r="U15" s="71"/>
      <c r="V15" s="61">
        <v>1.76</v>
      </c>
      <c r="W15" s="13">
        <f t="shared" si="15"/>
        <v>27555.079999999994</v>
      </c>
    </row>
    <row r="16" spans="1:26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886.40000000000009</v>
      </c>
      <c r="F16" s="13">
        <v>19580.8</v>
      </c>
      <c r="G16" s="13">
        <v>3696</v>
      </c>
      <c r="H16" s="13">
        <v>176</v>
      </c>
      <c r="I16" s="13"/>
      <c r="J16" s="33"/>
      <c r="K16" s="33">
        <v>131609.60000000001</v>
      </c>
      <c r="L16" s="306">
        <v>86.399999999994179</v>
      </c>
      <c r="M16" s="13">
        <v>169.6</v>
      </c>
      <c r="N16" s="127">
        <v>9395.2000000000007</v>
      </c>
      <c r="O16" s="96">
        <v>7446.4</v>
      </c>
      <c r="P16" s="486">
        <v>3.2</v>
      </c>
      <c r="Q16" s="24">
        <f t="shared" si="11"/>
        <v>173049.60000000003</v>
      </c>
      <c r="R16" s="5">
        <f t="shared" si="12"/>
        <v>158761.10091743121</v>
      </c>
      <c r="S16" s="5">
        <f t="shared" si="13"/>
        <v>14288.499082568829</v>
      </c>
      <c r="T16" s="21">
        <f t="shared" si="14"/>
        <v>54078.000000000007</v>
      </c>
      <c r="U16" s="71"/>
      <c r="V16" s="61"/>
      <c r="W16" s="13"/>
    </row>
    <row r="17" spans="1:26" ht="14.4" x14ac:dyDescent="0.3">
      <c r="A17" s="58" t="s">
        <v>59</v>
      </c>
      <c r="B17" s="53" t="s">
        <v>193</v>
      </c>
      <c r="C17" s="59" t="s">
        <v>94</v>
      </c>
      <c r="D17" s="62">
        <v>1.6</v>
      </c>
      <c r="E17" s="130">
        <v>244.8</v>
      </c>
      <c r="F17" s="13">
        <v>4209.6000000000004</v>
      </c>
      <c r="G17" s="13">
        <v>931.2</v>
      </c>
      <c r="H17" s="13">
        <v>118.4</v>
      </c>
      <c r="I17" s="13"/>
      <c r="J17" s="33"/>
      <c r="K17" s="33">
        <v>16097.6</v>
      </c>
      <c r="L17" s="306">
        <v>4.8000000000029104</v>
      </c>
      <c r="M17" s="13">
        <v>126.4</v>
      </c>
      <c r="N17" s="127">
        <v>424</v>
      </c>
      <c r="O17" s="96">
        <v>820.8</v>
      </c>
      <c r="P17" s="164"/>
      <c r="Q17" s="24">
        <f t="shared" si="11"/>
        <v>22977.600000000002</v>
      </c>
      <c r="R17" s="5">
        <f t="shared" si="12"/>
        <v>21080.366972477066</v>
      </c>
      <c r="S17" s="5">
        <f t="shared" si="13"/>
        <v>1897.233027522936</v>
      </c>
      <c r="T17" s="21">
        <f t="shared" si="14"/>
        <v>14361</v>
      </c>
      <c r="U17" s="71"/>
      <c r="V17" s="107">
        <v>1.6</v>
      </c>
      <c r="W17" s="13">
        <f t="shared" ref="W17:W18" si="16">+T17*V17</f>
        <v>22977.600000000002</v>
      </c>
    </row>
    <row r="18" spans="1:26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1">
        <v>42.88</v>
      </c>
      <c r="F18" s="13">
        <v>85.76</v>
      </c>
      <c r="G18" s="13">
        <v>6.4</v>
      </c>
      <c r="H18" s="14">
        <v>6.4</v>
      </c>
      <c r="I18" s="14"/>
      <c r="J18" s="76"/>
      <c r="K18" s="76">
        <v>274.56</v>
      </c>
      <c r="L18" s="307">
        <v>0.64000000000001478</v>
      </c>
      <c r="M18" s="14">
        <v>0</v>
      </c>
      <c r="N18" s="127">
        <v>165.12</v>
      </c>
      <c r="O18" s="148"/>
      <c r="P18" s="164"/>
      <c r="Q18" s="24">
        <f t="shared" si="11"/>
        <v>581.76</v>
      </c>
      <c r="R18" s="5">
        <f t="shared" si="12"/>
        <v>533.72477064220175</v>
      </c>
      <c r="S18" s="5">
        <f t="shared" si="13"/>
        <v>48.035229357798244</v>
      </c>
      <c r="T18" s="22">
        <f t="shared" si="14"/>
        <v>909</v>
      </c>
      <c r="U18" s="71"/>
      <c r="V18" s="61">
        <v>2.56</v>
      </c>
      <c r="W18" s="13">
        <f t="shared" si="16"/>
        <v>2327.04</v>
      </c>
    </row>
    <row r="19" spans="1:26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157804.98000000004</v>
      </c>
      <c r="F19" s="118">
        <f t="shared" ref="F19:T19" si="17">+SUM(F20:F44)</f>
        <v>2500750.0602739747</v>
      </c>
      <c r="G19" s="118">
        <f t="shared" si="17"/>
        <v>377339.89999999997</v>
      </c>
      <c r="H19" s="118">
        <f t="shared" si="17"/>
        <v>53414.312785388123</v>
      </c>
      <c r="I19" s="118">
        <f t="shared" si="17"/>
        <v>0</v>
      </c>
      <c r="J19" s="118">
        <f t="shared" si="17"/>
        <v>0</v>
      </c>
      <c r="K19" s="118">
        <f t="shared" si="17"/>
        <v>0</v>
      </c>
      <c r="L19" s="118">
        <f t="shared" si="17"/>
        <v>0</v>
      </c>
      <c r="M19" s="118">
        <f t="shared" si="17"/>
        <v>38649.560000000005</v>
      </c>
      <c r="N19" s="475">
        <f t="shared" ref="N19" si="18">+SUM(N20:N44)</f>
        <v>27830.433333333327</v>
      </c>
      <c r="O19" s="477">
        <f t="shared" si="17"/>
        <v>239455.28431571959</v>
      </c>
      <c r="P19" s="118">
        <f t="shared" si="17"/>
        <v>0</v>
      </c>
      <c r="Q19" s="42">
        <f>+SUM(Q20:Q44)</f>
        <v>3395244.5307084164</v>
      </c>
      <c r="R19" s="118">
        <f t="shared" si="17"/>
        <v>3114903.2391820326</v>
      </c>
      <c r="S19" s="118">
        <f t="shared" si="17"/>
        <v>280341.29152638337</v>
      </c>
      <c r="T19" s="253">
        <f t="shared" si="17"/>
        <v>67784.777443675761</v>
      </c>
      <c r="U19" s="71"/>
      <c r="V19" s="61"/>
      <c r="W19" s="105">
        <f>+SUM(W20:W43)</f>
        <v>3351008.8068873081</v>
      </c>
    </row>
    <row r="20" spans="1:26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94256.66</v>
      </c>
      <c r="F20" s="92">
        <v>1394140.0000000023</v>
      </c>
      <c r="G20" s="92">
        <v>201960</v>
      </c>
      <c r="H20" s="92">
        <v>29286.666666666668</v>
      </c>
      <c r="I20" s="23"/>
      <c r="J20" s="34"/>
      <c r="K20" s="34"/>
      <c r="L20" s="34"/>
      <c r="M20" s="34">
        <v>22436.67</v>
      </c>
      <c r="N20" s="127">
        <v>17746.666666666661</v>
      </c>
      <c r="O20" s="28">
        <v>128616.6704901123</v>
      </c>
      <c r="P20" s="356"/>
      <c r="Q20" s="24">
        <f t="shared" ref="Q20:Q44" si="19">+SUM(E20:P20)</f>
        <v>1888443.333823448</v>
      </c>
      <c r="R20" s="99">
        <f t="shared" ref="R20:R44" si="20">+Q20/1.09</f>
        <v>1732516.8200215118</v>
      </c>
      <c r="S20" s="24">
        <f>+Q20-R20</f>
        <v>155926.51380193629</v>
      </c>
      <c r="T20" s="94">
        <f t="shared" ref="T20:T43" si="21">Q20/D20</f>
        <v>18884.433338234481</v>
      </c>
      <c r="U20" s="41"/>
      <c r="V20" s="61"/>
      <c r="W20" s="106"/>
      <c r="X20"/>
      <c r="Y20" s="142"/>
      <c r="Z20"/>
    </row>
    <row r="21" spans="1:26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15496.66</v>
      </c>
      <c r="F21" s="48">
        <v>362984.99999999983</v>
      </c>
      <c r="G21" s="48">
        <v>52366.67</v>
      </c>
      <c r="H21" s="48">
        <v>9740</v>
      </c>
      <c r="I21" s="13"/>
      <c r="J21" s="33"/>
      <c r="K21" s="33"/>
      <c r="L21" s="33"/>
      <c r="M21" s="33">
        <v>7268.33</v>
      </c>
      <c r="N21" s="127">
        <v>381.66666666666669</v>
      </c>
      <c r="O21" s="17">
        <v>6818.3335458374022</v>
      </c>
      <c r="P21" s="357"/>
      <c r="Q21" s="24">
        <f t="shared" si="19"/>
        <v>455056.66021250386</v>
      </c>
      <c r="R21" s="5">
        <f t="shared" si="20"/>
        <v>417483.17450688424</v>
      </c>
      <c r="S21" s="5">
        <f t="shared" ref="S21:S44" si="22">+Q21-R21</f>
        <v>37573.48570561962</v>
      </c>
      <c r="T21" s="21">
        <f t="shared" si="21"/>
        <v>9101.1332042500781</v>
      </c>
      <c r="U21" s="41"/>
      <c r="V21" s="61">
        <v>50</v>
      </c>
      <c r="W21" s="13">
        <f t="shared" ref="W21:W22" si="23">+T21*V21</f>
        <v>455056.66021250392</v>
      </c>
      <c r="Y21" s="142"/>
    </row>
    <row r="22" spans="1:26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29868</v>
      </c>
      <c r="F22" s="95">
        <v>504218.67</v>
      </c>
      <c r="G22" s="95">
        <v>84728</v>
      </c>
      <c r="H22" s="95">
        <v>6398.666666666667</v>
      </c>
      <c r="I22" s="13"/>
      <c r="J22" s="33"/>
      <c r="K22" s="33"/>
      <c r="L22" s="33"/>
      <c r="M22" s="33">
        <v>5079.33</v>
      </c>
      <c r="N22" s="127">
        <v>6154</v>
      </c>
      <c r="O22" s="468">
        <f>55336+13.33</f>
        <v>55349.33</v>
      </c>
      <c r="P22" s="355"/>
      <c r="Q22" s="24">
        <f t="shared" si="19"/>
        <v>691795.99666666647</v>
      </c>
      <c r="R22" s="5">
        <f t="shared" si="20"/>
        <v>634675.22629969392</v>
      </c>
      <c r="S22" s="5">
        <f t="shared" si="22"/>
        <v>57120.770366972545</v>
      </c>
      <c r="T22" s="21">
        <f t="shared" si="21"/>
        <v>34589.799833333323</v>
      </c>
      <c r="U22" s="41"/>
      <c r="V22" s="61">
        <v>80</v>
      </c>
      <c r="W22" s="13">
        <f t="shared" si="23"/>
        <v>2767183.9866666659</v>
      </c>
      <c r="X22" s="112"/>
      <c r="Y22" s="142"/>
    </row>
    <row r="23" spans="1:26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16119</v>
      </c>
      <c r="F23" s="95">
        <v>209970</v>
      </c>
      <c r="G23" s="95">
        <v>33873</v>
      </c>
      <c r="H23" s="95">
        <v>6294</v>
      </c>
      <c r="I23" s="13"/>
      <c r="J23" s="33"/>
      <c r="K23" s="33"/>
      <c r="L23" s="33"/>
      <c r="M23" s="33">
        <v>3417</v>
      </c>
      <c r="N23" s="127">
        <v>3003</v>
      </c>
      <c r="O23" s="468">
        <f>37350+87</f>
        <v>37437</v>
      </c>
      <c r="P23" s="357"/>
      <c r="Q23" s="24">
        <f t="shared" si="19"/>
        <v>310113</v>
      </c>
      <c r="R23" s="5">
        <f t="shared" si="20"/>
        <v>284507.33944954124</v>
      </c>
      <c r="S23" s="5">
        <f t="shared" si="22"/>
        <v>25605.660550458764</v>
      </c>
      <c r="T23" s="21">
        <f t="shared" si="21"/>
        <v>3445.7</v>
      </c>
      <c r="U23" s="41"/>
      <c r="V23" s="61"/>
      <c r="W23" s="13"/>
      <c r="Y23" s="142"/>
    </row>
    <row r="24" spans="1:26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612</v>
      </c>
      <c r="F24" s="95">
        <v>11910</v>
      </c>
      <c r="G24" s="95">
        <v>1875</v>
      </c>
      <c r="H24" s="95">
        <v>805.5</v>
      </c>
      <c r="I24" s="13"/>
      <c r="J24" s="33"/>
      <c r="K24" s="33"/>
      <c r="L24" s="33"/>
      <c r="M24" s="33">
        <v>183</v>
      </c>
      <c r="N24" s="127">
        <v>31.5</v>
      </c>
      <c r="O24" s="13">
        <v>1381.5</v>
      </c>
      <c r="P24" s="357"/>
      <c r="Q24" s="24">
        <f t="shared" si="19"/>
        <v>16798.5</v>
      </c>
      <c r="R24" s="5">
        <f t="shared" si="20"/>
        <v>15411.467889908256</v>
      </c>
      <c r="S24" s="5">
        <f t="shared" si="22"/>
        <v>1387.0321100917445</v>
      </c>
      <c r="T24" s="21">
        <f t="shared" si="21"/>
        <v>373.3</v>
      </c>
      <c r="U24" s="35"/>
      <c r="V24" s="61">
        <v>45</v>
      </c>
      <c r="W24" s="13">
        <f t="shared" ref="W24:W25" si="24">+T24*V24</f>
        <v>16798.5</v>
      </c>
      <c r="Y24" s="142"/>
    </row>
    <row r="25" spans="1:26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1324.8</v>
      </c>
      <c r="F25" s="95">
        <v>13594.8</v>
      </c>
      <c r="G25" s="95">
        <v>2143.8000000000002</v>
      </c>
      <c r="H25" s="95">
        <v>357</v>
      </c>
      <c r="I25" s="13"/>
      <c r="J25" s="33"/>
      <c r="K25" s="33"/>
      <c r="L25" s="33"/>
      <c r="M25" s="33">
        <v>233.4</v>
      </c>
      <c r="N25" s="127">
        <v>292.79999999999995</v>
      </c>
      <c r="O25" s="468">
        <f>5150.4+6</f>
        <v>5156.3999999999996</v>
      </c>
      <c r="P25" s="357"/>
      <c r="Q25" s="24">
        <f t="shared" si="19"/>
        <v>23103</v>
      </c>
      <c r="R25" s="5">
        <f t="shared" si="20"/>
        <v>21195.412844036695</v>
      </c>
      <c r="S25" s="5">
        <f t="shared" si="22"/>
        <v>1907.5871559633051</v>
      </c>
      <c r="T25" s="21">
        <f t="shared" si="21"/>
        <v>1283.5</v>
      </c>
      <c r="U25" s="35"/>
      <c r="V25" s="61">
        <v>72</v>
      </c>
      <c r="W25" s="13">
        <f t="shared" si="24"/>
        <v>92412</v>
      </c>
      <c r="Y25" s="142"/>
    </row>
    <row r="26" spans="1:26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/>
      <c r="F26" s="95">
        <v>776.66666666666652</v>
      </c>
      <c r="G26" s="95">
        <v>0</v>
      </c>
      <c r="H26" s="95">
        <v>46.666666666666657</v>
      </c>
      <c r="I26" s="13"/>
      <c r="J26" s="33"/>
      <c r="K26" s="33"/>
      <c r="L26" s="33"/>
      <c r="M26" s="33"/>
      <c r="N26" s="127">
        <v>83.333333333333329</v>
      </c>
      <c r="O26" s="13">
        <v>1330.0000421142579</v>
      </c>
      <c r="P26" s="357"/>
      <c r="Q26" s="24">
        <f t="shared" si="19"/>
        <v>2236.6667087809246</v>
      </c>
      <c r="R26" s="5">
        <f t="shared" si="20"/>
        <v>2051.9878062210314</v>
      </c>
      <c r="S26" s="5">
        <f t="shared" si="22"/>
        <v>184.67890255989323</v>
      </c>
      <c r="T26" s="21">
        <f t="shared" si="21"/>
        <v>7.4555556959364155</v>
      </c>
      <c r="U26" s="35"/>
      <c r="V26" s="61"/>
      <c r="W26" s="13"/>
      <c r="Y26" s="142"/>
    </row>
    <row r="27" spans="1:26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/>
      <c r="F27" s="95">
        <v>848.33333333333314</v>
      </c>
      <c r="G27" s="95">
        <v>121.67</v>
      </c>
      <c r="H27" s="95">
        <v>145</v>
      </c>
      <c r="I27" s="13"/>
      <c r="J27" s="33"/>
      <c r="K27" s="33"/>
      <c r="L27" s="33"/>
      <c r="M27" s="33">
        <v>1.67</v>
      </c>
      <c r="N27" s="127">
        <v>0</v>
      </c>
      <c r="O27" s="13">
        <v>200.00000976562501</v>
      </c>
      <c r="P27" s="357"/>
      <c r="Q27" s="24">
        <f t="shared" si="19"/>
        <v>1316.6733430989582</v>
      </c>
      <c r="R27" s="5">
        <f t="shared" si="20"/>
        <v>1207.9571955036313</v>
      </c>
      <c r="S27" s="5">
        <f t="shared" si="22"/>
        <v>108.7161475953269</v>
      </c>
      <c r="T27" s="21">
        <f t="shared" si="21"/>
        <v>8.7778222873263871</v>
      </c>
      <c r="U27" s="35"/>
      <c r="V27" s="61">
        <v>150</v>
      </c>
      <c r="W27" s="13">
        <f t="shared" ref="W27:W43" si="25">+T27*V27</f>
        <v>1316.673343098958</v>
      </c>
      <c r="Y27" s="142"/>
    </row>
    <row r="28" spans="1:26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72.67</v>
      </c>
      <c r="F28" s="95">
        <v>1549.33</v>
      </c>
      <c r="G28" s="95">
        <v>240</v>
      </c>
      <c r="H28" s="95">
        <v>106.66666666666669</v>
      </c>
      <c r="I28" s="13"/>
      <c r="J28" s="33"/>
      <c r="K28" s="33"/>
      <c r="L28" s="33"/>
      <c r="M28" s="33">
        <v>28</v>
      </c>
      <c r="N28" s="127">
        <v>102.66666666666666</v>
      </c>
      <c r="O28" s="13">
        <v>1465.33</v>
      </c>
      <c r="P28" s="357"/>
      <c r="Q28" s="24">
        <f t="shared" si="19"/>
        <v>3564.6633333333334</v>
      </c>
      <c r="R28" s="5">
        <f t="shared" si="20"/>
        <v>3270.333333333333</v>
      </c>
      <c r="S28" s="5">
        <f t="shared" si="22"/>
        <v>294.33000000000038</v>
      </c>
      <c r="T28" s="21">
        <f t="shared" si="21"/>
        <v>59.411055555555556</v>
      </c>
      <c r="U28" s="35"/>
      <c r="V28" s="61">
        <v>240</v>
      </c>
      <c r="W28" s="13">
        <f t="shared" si="25"/>
        <v>14258.653333333334</v>
      </c>
      <c r="Y28" s="142"/>
    </row>
    <row r="29" spans="1:26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285</v>
      </c>
      <c r="G29" s="95"/>
      <c r="H29" s="95">
        <v>60</v>
      </c>
      <c r="I29" s="13"/>
      <c r="J29" s="33"/>
      <c r="K29" s="33"/>
      <c r="L29" s="33"/>
      <c r="M29" s="33"/>
      <c r="N29" s="127">
        <v>0</v>
      </c>
      <c r="O29" s="13">
        <v>795</v>
      </c>
      <c r="P29" s="357"/>
      <c r="Q29" s="24">
        <f t="shared" si="19"/>
        <v>1140</v>
      </c>
      <c r="R29" s="5">
        <f t="shared" si="20"/>
        <v>1045.8715596330273</v>
      </c>
      <c r="S29" s="5">
        <f t="shared" si="22"/>
        <v>94.128440366972654</v>
      </c>
      <c r="T29" s="21">
        <f t="shared" si="21"/>
        <v>4.2222222222222223</v>
      </c>
      <c r="U29" s="35"/>
      <c r="V29" s="61"/>
      <c r="W29" s="13"/>
      <c r="Y29" s="142"/>
    </row>
    <row r="30" spans="1:26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9</v>
      </c>
      <c r="G30" s="95"/>
      <c r="H30" s="95"/>
      <c r="I30" s="13"/>
      <c r="J30" s="33"/>
      <c r="K30" s="33"/>
      <c r="L30" s="33"/>
      <c r="M30" s="33"/>
      <c r="N30" s="127">
        <v>0</v>
      </c>
      <c r="O30" s="13">
        <v>0</v>
      </c>
      <c r="P30" s="357"/>
      <c r="Q30" s="24">
        <f t="shared" si="19"/>
        <v>9</v>
      </c>
      <c r="R30" s="5">
        <f t="shared" si="20"/>
        <v>8.2568807339449535</v>
      </c>
      <c r="S30" s="5">
        <f t="shared" si="22"/>
        <v>0.74311926605504652</v>
      </c>
      <c r="T30" s="21">
        <f t="shared" si="21"/>
        <v>6.6666666666666666E-2</v>
      </c>
      <c r="U30" s="35"/>
      <c r="V30" s="61">
        <v>135</v>
      </c>
      <c r="W30" s="13">
        <f t="shared" si="25"/>
        <v>9</v>
      </c>
      <c r="Y30" s="142"/>
    </row>
    <row r="31" spans="1:26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36</v>
      </c>
      <c r="F31" s="95">
        <v>52.8</v>
      </c>
      <c r="G31" s="95">
        <v>12</v>
      </c>
      <c r="H31" s="95">
        <v>12</v>
      </c>
      <c r="I31" s="13"/>
      <c r="J31" s="33"/>
      <c r="K31" s="33"/>
      <c r="L31" s="33"/>
      <c r="M31" s="33"/>
      <c r="N31" s="127">
        <v>16.799999999999997</v>
      </c>
      <c r="O31" s="17">
        <v>161.4</v>
      </c>
      <c r="P31" s="357"/>
      <c r="Q31" s="24">
        <f t="shared" si="19"/>
        <v>291</v>
      </c>
      <c r="R31" s="5">
        <f t="shared" si="20"/>
        <v>266.97247706422019</v>
      </c>
      <c r="S31" s="5">
        <f t="shared" si="22"/>
        <v>24.027522935779814</v>
      </c>
      <c r="T31" s="21">
        <f t="shared" si="21"/>
        <v>5.3888888888888893</v>
      </c>
      <c r="U31" s="35"/>
      <c r="V31" s="61">
        <v>216</v>
      </c>
      <c r="W31" s="13">
        <f t="shared" si="25"/>
        <v>1164</v>
      </c>
      <c r="Y31" s="142"/>
    </row>
    <row r="32" spans="1:26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110</v>
      </c>
      <c r="G32" s="95"/>
      <c r="H32" s="95">
        <v>90</v>
      </c>
      <c r="I32" s="13"/>
      <c r="J32" s="33"/>
      <c r="K32" s="33"/>
      <c r="L32" s="33"/>
      <c r="M32" s="33"/>
      <c r="N32" s="127">
        <v>0</v>
      </c>
      <c r="O32" s="13">
        <v>0</v>
      </c>
      <c r="P32" s="357"/>
      <c r="Q32" s="24">
        <f t="shared" si="19"/>
        <v>200</v>
      </c>
      <c r="R32" s="5">
        <f t="shared" si="20"/>
        <v>183.48623853211006</v>
      </c>
      <c r="S32" s="5">
        <f t="shared" si="22"/>
        <v>16.513761467889935</v>
      </c>
      <c r="T32" s="21">
        <f t="shared" si="21"/>
        <v>0.33333333333333331</v>
      </c>
      <c r="U32" s="35"/>
      <c r="V32" s="61"/>
      <c r="W32" s="13"/>
      <c r="Y32" s="142"/>
    </row>
    <row r="33" spans="1:26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/>
      <c r="F33" s="95"/>
      <c r="G33" s="95"/>
      <c r="H33" s="95">
        <v>30</v>
      </c>
      <c r="I33" s="13"/>
      <c r="J33" s="33"/>
      <c r="K33" s="33"/>
      <c r="L33" s="33"/>
      <c r="M33" s="33"/>
      <c r="N33" s="127">
        <v>0</v>
      </c>
      <c r="O33" s="13">
        <v>25</v>
      </c>
      <c r="P33" s="357"/>
      <c r="Q33" s="24">
        <f t="shared" si="19"/>
        <v>55</v>
      </c>
      <c r="R33" s="5">
        <f t="shared" si="20"/>
        <v>50.458715596330272</v>
      </c>
      <c r="S33" s="5">
        <f t="shared" si="22"/>
        <v>4.541284403669728</v>
      </c>
      <c r="T33" s="21">
        <f t="shared" si="21"/>
        <v>0.18333333333333332</v>
      </c>
      <c r="U33" s="35"/>
      <c r="V33" s="61">
        <v>300</v>
      </c>
      <c r="W33" s="13">
        <f t="shared" si="25"/>
        <v>54.999999999999993</v>
      </c>
      <c r="Y33" s="142"/>
    </row>
    <row r="34" spans="1:26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14.67</v>
      </c>
      <c r="F34" s="95">
        <v>137.33333333333334</v>
      </c>
      <c r="G34" s="95">
        <v>5.33</v>
      </c>
      <c r="H34" s="95">
        <v>8.6666666666666714</v>
      </c>
      <c r="I34" s="13"/>
      <c r="J34" s="33"/>
      <c r="K34" s="33"/>
      <c r="L34" s="33"/>
      <c r="M34" s="33"/>
      <c r="N34" s="127">
        <v>17.999999999999996</v>
      </c>
      <c r="O34" s="13">
        <v>378.67</v>
      </c>
      <c r="P34" s="357"/>
      <c r="Q34" s="24">
        <f t="shared" si="19"/>
        <v>562.67000000000007</v>
      </c>
      <c r="R34" s="5">
        <f t="shared" si="20"/>
        <v>516.21100917431193</v>
      </c>
      <c r="S34" s="5">
        <f t="shared" si="22"/>
        <v>46.458990825688147</v>
      </c>
      <c r="T34" s="21">
        <f t="shared" si="21"/>
        <v>4.6889166666666675</v>
      </c>
      <c r="U34" s="35"/>
      <c r="V34" s="61">
        <v>480</v>
      </c>
      <c r="W34" s="13">
        <f t="shared" si="25"/>
        <v>2250.6800000000003</v>
      </c>
      <c r="Y34" s="142"/>
    </row>
    <row r="35" spans="1:26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/>
      <c r="G35" s="95"/>
      <c r="H35" s="95"/>
      <c r="I35" s="13"/>
      <c r="J35" s="33"/>
      <c r="K35" s="33"/>
      <c r="L35" s="33"/>
      <c r="M35" s="33"/>
      <c r="N35" s="127">
        <v>0</v>
      </c>
      <c r="O35" s="13">
        <v>267</v>
      </c>
      <c r="P35" s="357"/>
      <c r="Q35" s="24">
        <f t="shared" si="19"/>
        <v>267</v>
      </c>
      <c r="R35" s="5">
        <f t="shared" si="20"/>
        <v>244.95412844036696</v>
      </c>
      <c r="S35" s="5">
        <f t="shared" si="22"/>
        <v>22.045871559633042</v>
      </c>
      <c r="T35" s="21">
        <f t="shared" si="21"/>
        <v>0.49444444444444446</v>
      </c>
      <c r="U35" s="35"/>
      <c r="V35" s="61"/>
      <c r="W35" s="13"/>
      <c r="Y35" s="142"/>
    </row>
    <row r="36" spans="1:26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/>
      <c r="G36" s="95"/>
      <c r="H36" s="95"/>
      <c r="I36" s="13"/>
      <c r="J36" s="33"/>
      <c r="K36" s="33"/>
      <c r="L36" s="33"/>
      <c r="M36" s="33"/>
      <c r="N36" s="127">
        <v>0</v>
      </c>
      <c r="O36" s="13"/>
      <c r="P36" s="357"/>
      <c r="Q36" s="24">
        <f t="shared" si="19"/>
        <v>0</v>
      </c>
      <c r="R36" s="5">
        <f t="shared" si="20"/>
        <v>0</v>
      </c>
      <c r="S36" s="5">
        <f t="shared" si="22"/>
        <v>0</v>
      </c>
      <c r="T36" s="21">
        <f t="shared" si="21"/>
        <v>0</v>
      </c>
      <c r="U36" s="35"/>
      <c r="V36" s="61">
        <v>270</v>
      </c>
      <c r="W36" s="13">
        <f t="shared" si="25"/>
        <v>0</v>
      </c>
      <c r="Y36" s="142"/>
    </row>
    <row r="37" spans="1:26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>
        <v>1.2</v>
      </c>
      <c r="F37" s="95">
        <v>16.2</v>
      </c>
      <c r="G37" s="95"/>
      <c r="H37" s="95"/>
      <c r="I37" s="13"/>
      <c r="J37" s="33"/>
      <c r="K37" s="33"/>
      <c r="L37" s="33"/>
      <c r="M37" s="33"/>
      <c r="N37" s="127">
        <v>0</v>
      </c>
      <c r="O37" s="13">
        <v>36.6</v>
      </c>
      <c r="P37" s="357"/>
      <c r="Q37" s="24">
        <f t="shared" si="19"/>
        <v>54</v>
      </c>
      <c r="R37" s="5">
        <f t="shared" si="20"/>
        <v>49.541284403669721</v>
      </c>
      <c r="S37" s="5">
        <f t="shared" si="22"/>
        <v>4.4587155963302791</v>
      </c>
      <c r="T37" s="21">
        <f t="shared" si="21"/>
        <v>0.5</v>
      </c>
      <c r="U37" s="35"/>
      <c r="V37" s="61">
        <v>432</v>
      </c>
      <c r="W37" s="13">
        <f t="shared" si="25"/>
        <v>216</v>
      </c>
      <c r="Y37" s="142"/>
    </row>
    <row r="38" spans="1:26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/>
      <c r="G38" s="95"/>
      <c r="H38" s="95"/>
      <c r="I38" s="13"/>
      <c r="J38" s="33"/>
      <c r="K38" s="33"/>
      <c r="L38" s="33"/>
      <c r="M38" s="33"/>
      <c r="N38" s="127">
        <v>0</v>
      </c>
      <c r="O38" s="13"/>
      <c r="P38" s="357"/>
      <c r="Q38" s="24">
        <f t="shared" si="19"/>
        <v>0</v>
      </c>
      <c r="R38" s="5">
        <f t="shared" si="20"/>
        <v>0</v>
      </c>
      <c r="S38" s="5">
        <f t="shared" si="22"/>
        <v>0</v>
      </c>
      <c r="T38" s="21">
        <f t="shared" si="21"/>
        <v>0</v>
      </c>
      <c r="U38" s="35"/>
      <c r="V38" s="61"/>
      <c r="W38" s="13"/>
      <c r="Y38" s="142"/>
    </row>
    <row r="39" spans="1:26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>
        <v>5</v>
      </c>
      <c r="G39" s="95"/>
      <c r="H39" s="95"/>
      <c r="I39" s="13"/>
      <c r="J39" s="33"/>
      <c r="K39" s="33"/>
      <c r="L39" s="33"/>
      <c r="M39" s="33"/>
      <c r="N39" s="127">
        <v>0</v>
      </c>
      <c r="O39" s="13"/>
      <c r="P39" s="357"/>
      <c r="Q39" s="24">
        <f t="shared" si="19"/>
        <v>5</v>
      </c>
      <c r="R39" s="5">
        <f t="shared" si="20"/>
        <v>4.5871559633027523</v>
      </c>
      <c r="S39" s="5">
        <f t="shared" si="22"/>
        <v>0.41284403669724767</v>
      </c>
      <c r="T39" s="21">
        <f t="shared" si="21"/>
        <v>1.1111111111111112E-2</v>
      </c>
      <c r="U39" s="35"/>
      <c r="V39" s="61">
        <v>450</v>
      </c>
      <c r="W39" s="13">
        <f t="shared" si="25"/>
        <v>5</v>
      </c>
      <c r="Y39" s="142"/>
    </row>
    <row r="40" spans="1:26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250">
        <v>44.666666666666671</v>
      </c>
      <c r="G40" s="250">
        <v>1.33</v>
      </c>
      <c r="H40" s="95"/>
      <c r="I40" s="13"/>
      <c r="J40" s="33"/>
      <c r="K40" s="33"/>
      <c r="L40" s="33"/>
      <c r="M40" s="33"/>
      <c r="N40" s="127">
        <v>0</v>
      </c>
      <c r="O40" s="13">
        <v>24.666666259765623</v>
      </c>
      <c r="P40" s="357"/>
      <c r="Q40" s="24">
        <f t="shared" si="19"/>
        <v>70.66333292643229</v>
      </c>
      <c r="R40" s="5">
        <f t="shared" si="20"/>
        <v>64.828745804066315</v>
      </c>
      <c r="S40" s="5">
        <f t="shared" si="22"/>
        <v>5.8345871223659742</v>
      </c>
      <c r="T40" s="21">
        <f t="shared" si="21"/>
        <v>0.39257407181351273</v>
      </c>
      <c r="U40" s="35"/>
      <c r="V40" s="61">
        <v>720</v>
      </c>
      <c r="W40" s="13">
        <f t="shared" si="25"/>
        <v>282.65333170572916</v>
      </c>
      <c r="Y40" s="142"/>
    </row>
    <row r="41" spans="1:26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/>
      <c r="I41" s="13"/>
      <c r="J41" s="33"/>
      <c r="K41" s="33"/>
      <c r="L41" s="33"/>
      <c r="M41" s="33"/>
      <c r="N41" s="127">
        <v>0</v>
      </c>
      <c r="O41" s="13">
        <v>12</v>
      </c>
      <c r="P41" s="357"/>
      <c r="Q41" s="24">
        <f t="shared" si="19"/>
        <v>12</v>
      </c>
      <c r="R41" s="5">
        <f t="shared" si="20"/>
        <v>11.009174311926605</v>
      </c>
      <c r="S41" s="5">
        <f t="shared" si="22"/>
        <v>0.99082568807339477</v>
      </c>
      <c r="T41" s="21">
        <f t="shared" si="21"/>
        <v>1.4814814814814815E-2</v>
      </c>
      <c r="U41" s="71"/>
      <c r="V41" s="61"/>
      <c r="W41" s="13"/>
      <c r="Y41" s="142"/>
    </row>
    <row r="42" spans="1:26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/>
      <c r="I42" s="13"/>
      <c r="J42" s="33"/>
      <c r="K42" s="33"/>
      <c r="L42" s="33"/>
      <c r="M42" s="33"/>
      <c r="N42" s="127">
        <v>0</v>
      </c>
      <c r="O42" s="13"/>
      <c r="P42" s="357"/>
      <c r="Q42" s="24">
        <f t="shared" si="19"/>
        <v>0</v>
      </c>
      <c r="R42" s="5">
        <f t="shared" si="20"/>
        <v>0</v>
      </c>
      <c r="S42" s="5">
        <f t="shared" si="22"/>
        <v>0</v>
      </c>
      <c r="T42" s="21">
        <f t="shared" si="21"/>
        <v>0</v>
      </c>
      <c r="U42" s="71"/>
      <c r="V42" s="61">
        <v>405</v>
      </c>
      <c r="W42" s="13">
        <f t="shared" si="25"/>
        <v>0</v>
      </c>
      <c r="Y42" s="142"/>
    </row>
    <row r="43" spans="1:26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/>
      <c r="I43" s="25"/>
      <c r="J43" s="239"/>
      <c r="K43" s="239"/>
      <c r="L43" s="239"/>
      <c r="M43" s="239"/>
      <c r="N43" s="221">
        <v>0</v>
      </c>
      <c r="O43" s="25"/>
      <c r="P43" s="358"/>
      <c r="Q43" s="24">
        <f t="shared" si="19"/>
        <v>0</v>
      </c>
      <c r="R43" s="26">
        <f t="shared" si="20"/>
        <v>0</v>
      </c>
      <c r="S43" s="26">
        <f t="shared" si="22"/>
        <v>0</v>
      </c>
      <c r="T43" s="39">
        <f t="shared" si="21"/>
        <v>0</v>
      </c>
      <c r="U43" s="71"/>
      <c r="V43" s="61">
        <v>648</v>
      </c>
      <c r="W43" s="13">
        <f t="shared" si="25"/>
        <v>0</v>
      </c>
      <c r="Y43" s="142"/>
    </row>
    <row r="44" spans="1:26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3.32</v>
      </c>
      <c r="F44" s="124">
        <v>97.260273972602732</v>
      </c>
      <c r="G44" s="124">
        <v>13.1</v>
      </c>
      <c r="H44" s="124">
        <v>33.479452054794706</v>
      </c>
      <c r="I44" s="124"/>
      <c r="J44" s="124"/>
      <c r="K44" s="124"/>
      <c r="L44" s="124"/>
      <c r="M44" s="124">
        <v>2.16</v>
      </c>
      <c r="N44" s="124">
        <v>0</v>
      </c>
      <c r="O44" s="148">
        <v>0.38356163024902346</v>
      </c>
      <c r="P44" s="352"/>
      <c r="Q44" s="24">
        <f t="shared" si="19"/>
        <v>149.70328765764646</v>
      </c>
      <c r="R44" s="124">
        <f t="shared" si="20"/>
        <v>137.34246574096005</v>
      </c>
      <c r="S44" s="6">
        <f t="shared" si="22"/>
        <v>12.360821916686405</v>
      </c>
      <c r="T44" s="22">
        <f>+Q44/D44</f>
        <v>14.970328765764645</v>
      </c>
      <c r="U44" s="71"/>
      <c r="V44" s="61"/>
      <c r="W44" s="13"/>
      <c r="X44" s="2"/>
      <c r="Y44" s="1"/>
    </row>
    <row r="45" spans="1:26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5769.12</v>
      </c>
      <c r="F45" s="82">
        <f>+SUM(F46:F54)</f>
        <v>118834.26000000001</v>
      </c>
      <c r="G45" s="82">
        <f>+SUM(G46:G54)</f>
        <v>17752.23</v>
      </c>
      <c r="H45" s="82">
        <f>+SUM(H46:H54)</f>
        <v>2677.95</v>
      </c>
      <c r="I45" s="82">
        <f t="shared" ref="I45:T45" si="26">+SUM(I46:I54)</f>
        <v>0</v>
      </c>
      <c r="J45" s="82">
        <f t="shared" si="26"/>
        <v>0</v>
      </c>
      <c r="K45" s="100">
        <f t="shared" si="26"/>
        <v>0</v>
      </c>
      <c r="L45" s="100">
        <f t="shared" si="26"/>
        <v>0</v>
      </c>
      <c r="M45" s="100">
        <f t="shared" si="26"/>
        <v>1093.76</v>
      </c>
      <c r="N45" s="100">
        <f t="shared" si="26"/>
        <v>3286.36</v>
      </c>
      <c r="O45" s="437">
        <f t="shared" si="26"/>
        <v>9683.0099999999984</v>
      </c>
      <c r="P45" s="100">
        <f t="shared" si="26"/>
        <v>0</v>
      </c>
      <c r="Q45" s="42">
        <f>+SUM(Q46:Q54)</f>
        <v>159096.69</v>
      </c>
      <c r="R45" s="82">
        <f t="shared" si="26"/>
        <v>145960.26605504588</v>
      </c>
      <c r="S45" s="82">
        <f t="shared" si="26"/>
        <v>13136.42394495414</v>
      </c>
      <c r="T45" s="19">
        <f t="shared" si="26"/>
        <v>25382.466666666671</v>
      </c>
      <c r="U45" s="71"/>
      <c r="V45" s="61"/>
      <c r="W45" s="105">
        <f>+SUM(W46:W69)</f>
        <v>241561.11000000002</v>
      </c>
    </row>
    <row r="46" spans="1:26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1">
        <v>744</v>
      </c>
      <c r="F46" s="92">
        <v>14040</v>
      </c>
      <c r="G46" s="28">
        <v>2004</v>
      </c>
      <c r="H46" s="347">
        <v>252</v>
      </c>
      <c r="I46" s="83"/>
      <c r="J46" s="75"/>
      <c r="K46" s="75"/>
      <c r="L46" s="75"/>
      <c r="M46" s="75">
        <v>72</v>
      </c>
      <c r="N46" s="127">
        <v>504</v>
      </c>
      <c r="O46" s="487">
        <f>1164+180</f>
        <v>1344</v>
      </c>
      <c r="P46" s="356"/>
      <c r="Q46" s="24">
        <f t="shared" ref="Q46:Q54" si="27">+SUM(E46:P46)</f>
        <v>18960</v>
      </c>
      <c r="R46" s="99">
        <f t="shared" ref="R46:R54" si="28">+Q46/1.09</f>
        <v>17394.495412844037</v>
      </c>
      <c r="S46" s="64">
        <f t="shared" ref="S46:S54" si="29">+Q46-R46</f>
        <v>1565.5045871559632</v>
      </c>
      <c r="T46" s="85">
        <f t="shared" ref="T46:T54" si="30">Q46/D46</f>
        <v>1580</v>
      </c>
      <c r="U46" s="71"/>
      <c r="V46" s="61"/>
      <c r="W46" s="13"/>
      <c r="X46"/>
      <c r="Y46" s="142"/>
      <c r="Z46"/>
    </row>
    <row r="47" spans="1:26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2">
        <v>216</v>
      </c>
      <c r="F47" s="48">
        <v>1896</v>
      </c>
      <c r="G47" s="17">
        <v>246</v>
      </c>
      <c r="H47" s="347">
        <v>30</v>
      </c>
      <c r="I47" s="13"/>
      <c r="J47" s="33"/>
      <c r="K47" s="33"/>
      <c r="L47" s="33"/>
      <c r="M47" s="33">
        <v>18</v>
      </c>
      <c r="N47" s="127">
        <v>66</v>
      </c>
      <c r="O47" s="17">
        <v>114</v>
      </c>
      <c r="P47" s="357"/>
      <c r="Q47" s="24">
        <f t="shared" si="27"/>
        <v>2586</v>
      </c>
      <c r="R47" s="5">
        <f t="shared" si="28"/>
        <v>2372.4770642201834</v>
      </c>
      <c r="S47" s="5">
        <f t="shared" si="29"/>
        <v>213.52293577981663</v>
      </c>
      <c r="T47" s="31">
        <f t="shared" si="30"/>
        <v>431</v>
      </c>
      <c r="U47" s="71"/>
      <c r="V47" s="61">
        <v>6</v>
      </c>
      <c r="W47" s="13">
        <f t="shared" ref="W47:W48" si="31">+T47*V47</f>
        <v>2586</v>
      </c>
      <c r="Y47" s="142"/>
    </row>
    <row r="48" spans="1:26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2">
        <v>1473.6</v>
      </c>
      <c r="F48" s="95">
        <v>32227.200000000001</v>
      </c>
      <c r="G48" s="17">
        <v>5808</v>
      </c>
      <c r="H48" s="347">
        <v>187.2</v>
      </c>
      <c r="I48" s="13"/>
      <c r="J48" s="33"/>
      <c r="K48" s="33"/>
      <c r="L48" s="33"/>
      <c r="M48" s="33">
        <v>288</v>
      </c>
      <c r="N48" s="127">
        <v>971.99999999999977</v>
      </c>
      <c r="O48" s="17">
        <v>1857.6</v>
      </c>
      <c r="P48" s="357"/>
      <c r="Q48" s="24">
        <f t="shared" si="27"/>
        <v>42813.599999999999</v>
      </c>
      <c r="R48" s="5">
        <f t="shared" si="28"/>
        <v>39278.532110091735</v>
      </c>
      <c r="S48" s="5">
        <f t="shared" si="29"/>
        <v>3535.0678899082632</v>
      </c>
      <c r="T48" s="31">
        <f t="shared" si="30"/>
        <v>17839</v>
      </c>
      <c r="U48" s="71"/>
      <c r="V48" s="61">
        <v>9.6</v>
      </c>
      <c r="W48" s="13">
        <f t="shared" si="31"/>
        <v>171254.39999999999</v>
      </c>
      <c r="Y48" s="142"/>
    </row>
    <row r="49" spans="1:25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574</v>
      </c>
      <c r="F49" s="13">
        <v>13706</v>
      </c>
      <c r="G49" s="13">
        <v>1533</v>
      </c>
      <c r="H49" s="348">
        <v>630</v>
      </c>
      <c r="I49" s="13"/>
      <c r="J49" s="33"/>
      <c r="K49" s="33"/>
      <c r="L49" s="33"/>
      <c r="M49" s="33">
        <v>84</v>
      </c>
      <c r="N49" s="127">
        <v>399</v>
      </c>
      <c r="O49" s="468">
        <f>1092+588</f>
        <v>1680</v>
      </c>
      <c r="P49" s="357"/>
      <c r="Q49" s="24">
        <f t="shared" si="27"/>
        <v>18606</v>
      </c>
      <c r="R49" s="5">
        <f t="shared" si="28"/>
        <v>17069.724770642202</v>
      </c>
      <c r="S49" s="5">
        <f t="shared" si="29"/>
        <v>1536.2752293577978</v>
      </c>
      <c r="T49" s="31">
        <f t="shared" si="30"/>
        <v>886</v>
      </c>
      <c r="U49" s="71"/>
      <c r="V49" s="61"/>
      <c r="W49" s="13"/>
      <c r="Y49" s="142"/>
    </row>
    <row r="50" spans="1:25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87.5</v>
      </c>
      <c r="F50" s="13">
        <v>1610</v>
      </c>
      <c r="G50" s="13">
        <v>140</v>
      </c>
      <c r="H50" s="348">
        <v>42</v>
      </c>
      <c r="I50" s="13"/>
      <c r="J50" s="33"/>
      <c r="K50" s="33"/>
      <c r="L50" s="33"/>
      <c r="M50" s="33">
        <v>10.5</v>
      </c>
      <c r="N50" s="127">
        <v>31.5</v>
      </c>
      <c r="O50" s="17">
        <v>115.5</v>
      </c>
      <c r="P50" s="357"/>
      <c r="Q50" s="24">
        <f t="shared" si="27"/>
        <v>2037</v>
      </c>
      <c r="R50" s="5">
        <f t="shared" si="28"/>
        <v>1868.8073394495411</v>
      </c>
      <c r="S50" s="5">
        <f t="shared" si="29"/>
        <v>168.19266055045887</v>
      </c>
      <c r="T50" s="21">
        <f t="shared" si="30"/>
        <v>194</v>
      </c>
      <c r="U50" s="71"/>
      <c r="V50" s="61">
        <v>10.5</v>
      </c>
      <c r="W50" s="13">
        <f t="shared" ref="W50:W51" si="32">+T50*V50</f>
        <v>2037</v>
      </c>
      <c r="Y50" s="142"/>
    </row>
    <row r="51" spans="1:25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287</v>
      </c>
      <c r="F51" s="13">
        <v>6538</v>
      </c>
      <c r="G51" s="13">
        <v>820.4</v>
      </c>
      <c r="H51" s="348">
        <v>112</v>
      </c>
      <c r="I51" s="13"/>
      <c r="J51" s="33"/>
      <c r="K51" s="33"/>
      <c r="L51" s="33"/>
      <c r="M51" s="33">
        <v>44.8</v>
      </c>
      <c r="N51" s="127">
        <v>319.20000000000005</v>
      </c>
      <c r="O51" s="17">
        <v>861</v>
      </c>
      <c r="P51" s="357"/>
      <c r="Q51" s="24">
        <f t="shared" si="27"/>
        <v>8982.4</v>
      </c>
      <c r="R51" s="5">
        <f t="shared" si="28"/>
        <v>8240.7339449541269</v>
      </c>
      <c r="S51" s="5">
        <f t="shared" si="29"/>
        <v>741.66605504587278</v>
      </c>
      <c r="T51" s="21">
        <f t="shared" si="30"/>
        <v>2138.6666666666665</v>
      </c>
      <c r="U51" s="71"/>
      <c r="V51" s="61">
        <v>16.8</v>
      </c>
      <c r="W51" s="13">
        <f t="shared" si="32"/>
        <v>35929.599999999999</v>
      </c>
      <c r="Y51" s="142"/>
    </row>
    <row r="52" spans="1:25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1951.6</v>
      </c>
      <c r="F52" s="13">
        <v>40237.4</v>
      </c>
      <c r="G52" s="13">
        <v>5830.2</v>
      </c>
      <c r="H52" s="348">
        <v>1168.5</v>
      </c>
      <c r="I52" s="13"/>
      <c r="J52" s="33"/>
      <c r="K52" s="33"/>
      <c r="L52" s="33"/>
      <c r="M52" s="33">
        <v>479.7</v>
      </c>
      <c r="N52" s="127">
        <v>824.10000000000014</v>
      </c>
      <c r="O52" s="17">
        <v>2939.7</v>
      </c>
      <c r="P52" s="357"/>
      <c r="Q52" s="24">
        <f t="shared" si="27"/>
        <v>53431.19999999999</v>
      </c>
      <c r="R52" s="5">
        <f t="shared" si="28"/>
        <v>49019.44954128439</v>
      </c>
      <c r="S52" s="5">
        <f t="shared" si="29"/>
        <v>4411.7504587156</v>
      </c>
      <c r="T52" s="21">
        <f t="shared" si="30"/>
        <v>1303.1999999999998</v>
      </c>
      <c r="U52" s="71"/>
      <c r="V52" s="61"/>
      <c r="W52" s="13"/>
      <c r="Y52" s="142"/>
    </row>
    <row r="53" spans="1:25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200.9</v>
      </c>
      <c r="F53" s="13">
        <v>4354.2</v>
      </c>
      <c r="G53" s="13">
        <v>723.65</v>
      </c>
      <c r="H53" s="348">
        <v>198.85</v>
      </c>
      <c r="I53" s="13"/>
      <c r="J53" s="33"/>
      <c r="K53" s="33"/>
      <c r="L53" s="33"/>
      <c r="M53" s="33">
        <v>69.7</v>
      </c>
      <c r="N53" s="127">
        <v>20.500000000000004</v>
      </c>
      <c r="O53" s="17">
        <v>88.15</v>
      </c>
      <c r="P53" s="357"/>
      <c r="Q53" s="24">
        <f t="shared" si="27"/>
        <v>5655.9499999999989</v>
      </c>
      <c r="R53" s="5">
        <f t="shared" si="28"/>
        <v>5188.9449541284393</v>
      </c>
      <c r="S53" s="5">
        <f t="shared" si="29"/>
        <v>467.00504587155956</v>
      </c>
      <c r="T53" s="21">
        <f t="shared" si="30"/>
        <v>275.89999999999992</v>
      </c>
      <c r="U53" s="71"/>
      <c r="V53" s="61">
        <v>20.5</v>
      </c>
      <c r="W53" s="13">
        <f t="shared" ref="W53:W54" si="33">+T53*V53</f>
        <v>5655.949999999998</v>
      </c>
      <c r="Y53" s="142"/>
    </row>
    <row r="54" spans="1:25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234.52</v>
      </c>
      <c r="F54" s="14">
        <v>4225.46</v>
      </c>
      <c r="G54" s="14">
        <v>646.98</v>
      </c>
      <c r="H54" s="349">
        <v>57.4</v>
      </c>
      <c r="I54" s="14"/>
      <c r="J54" s="76"/>
      <c r="K54" s="76"/>
      <c r="L54" s="76"/>
      <c r="M54" s="76">
        <v>27.06</v>
      </c>
      <c r="N54" s="124">
        <v>150.06000000000003</v>
      </c>
      <c r="O54" s="18">
        <v>683.06</v>
      </c>
      <c r="P54" s="224"/>
      <c r="Q54" s="359">
        <f t="shared" si="27"/>
        <v>6024.5400000000009</v>
      </c>
      <c r="R54" s="6">
        <f t="shared" si="28"/>
        <v>5527.100917431193</v>
      </c>
      <c r="S54" s="6">
        <f t="shared" si="29"/>
        <v>497.43908256880786</v>
      </c>
      <c r="T54" s="22">
        <f t="shared" si="30"/>
        <v>734.70000000000016</v>
      </c>
      <c r="U54" s="35"/>
      <c r="V54" s="61">
        <v>32.799999999999997</v>
      </c>
      <c r="W54" s="13">
        <f t="shared" si="33"/>
        <v>24098.160000000003</v>
      </c>
      <c r="Y54" s="142"/>
    </row>
    <row r="55" spans="1:25" x14ac:dyDescent="0.25"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6" spans="1:2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</row>
    <row r="58" spans="1:25" x14ac:dyDescent="0.25">
      <c r="O58" s="137"/>
      <c r="P58" s="137"/>
    </row>
    <row r="74" spans="2:2" x14ac:dyDescent="0.25">
      <c r="B74" s="1"/>
    </row>
  </sheetData>
  <mergeCells count="19">
    <mergeCell ref="W4:W5"/>
    <mergeCell ref="N4:N5"/>
    <mergeCell ref="O4:P4"/>
    <mergeCell ref="Q4:Q5"/>
    <mergeCell ref="R4:R5"/>
    <mergeCell ref="S4:S5"/>
    <mergeCell ref="T4:T5"/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Y66"/>
  <sheetViews>
    <sheetView zoomScaleNormal="100" workbookViewId="0">
      <pane xSplit="4" ySplit="4" topLeftCell="M23" activePane="bottomRight" state="frozen"/>
      <selection pane="topRight" activeCell="E1" sqref="E1"/>
      <selection pane="bottomLeft" activeCell="A5" sqref="A5"/>
      <selection pane="bottomRight" activeCell="O30" sqref="O30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47" style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10937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2.109375" style="1" customWidth="1"/>
    <col min="16" max="16" width="11.6640625" style="1" customWidth="1" outlineLevel="1"/>
    <col min="17" max="17" width="12.33203125" style="1" bestFit="1" customWidth="1"/>
    <col min="18" max="19" width="12.33203125" style="1" customWidth="1"/>
    <col min="20" max="20" width="11.33203125" style="1" customWidth="1" outlineLevel="1"/>
    <col min="21" max="21" width="3.109375" style="1" customWidth="1"/>
    <col min="22" max="22" width="5.109375" style="1" customWidth="1"/>
    <col min="23" max="23" width="13.33203125" style="2" customWidth="1"/>
    <col min="24" max="16384" width="8.88671875" style="1"/>
  </cols>
  <sheetData>
    <row r="1" spans="1:23" ht="15.6" customHeight="1" x14ac:dyDescent="0.3">
      <c r="A1" s="40" t="s">
        <v>505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"/>
    </row>
    <row r="2" spans="1:23" ht="18" customHeight="1" x14ac:dyDescent="0.25">
      <c r="A2" s="198" t="s">
        <v>168</v>
      </c>
      <c r="D2" s="3"/>
      <c r="E2" s="4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9"/>
      <c r="R2" s="2"/>
      <c r="S2" s="2"/>
    </row>
    <row r="3" spans="1:23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3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506</v>
      </c>
      <c r="M4" s="575"/>
      <c r="N4" s="575"/>
      <c r="O4" s="587"/>
      <c r="P4" s="600"/>
      <c r="Q4" s="597"/>
      <c r="R4" s="597"/>
      <c r="S4" s="597"/>
      <c r="T4" s="597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118202.1478082192</v>
      </c>
      <c r="F5" s="187">
        <f t="shared" si="0"/>
        <v>2207758.029634703</v>
      </c>
      <c r="G5" s="82">
        <f t="shared" si="0"/>
        <v>332978.09999999998</v>
      </c>
      <c r="H5" s="82">
        <f t="shared" si="0"/>
        <v>65127.98333333333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39440.689999999988</v>
      </c>
      <c r="N5" s="192">
        <f>+N6+N18+N44</f>
        <v>19556.008584474883</v>
      </c>
      <c r="O5" s="145">
        <f>+O6+O18+O44</f>
        <v>252068.8031803894</v>
      </c>
      <c r="P5" s="435">
        <f>+P6+P18+P44</f>
        <v>0</v>
      </c>
      <c r="Q5" s="42">
        <f t="shared" ref="Q5:Q10" si="1">+SUM(E5:P5)</f>
        <v>3035131.7625411199</v>
      </c>
      <c r="R5" s="42">
        <f>+R6+R18+R44</f>
        <v>2784524.5527900183</v>
      </c>
      <c r="S5" s="42">
        <f>+S6+S18+S44</f>
        <v>250607.20975110191</v>
      </c>
      <c r="T5" s="44">
        <f>+T6+T18+T44</f>
        <v>55541.715145821479</v>
      </c>
      <c r="U5" s="71"/>
      <c r="V5" s="87"/>
      <c r="W5" s="135">
        <f>+W7+W18+W44</f>
        <v>2461671.820234376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145">
        <f>+O7+O11</f>
        <v>0</v>
      </c>
      <c r="P6" s="435">
        <f>+P7+P11</f>
        <v>0</v>
      </c>
      <c r="Q6" s="42">
        <f t="shared" si="1"/>
        <v>0</v>
      </c>
      <c r="R6" s="42">
        <f>+R7+R11</f>
        <v>0</v>
      </c>
      <c r="S6" s="42">
        <f>+S7+S11</f>
        <v>0</v>
      </c>
      <c r="T6" s="44">
        <f>+T7+T11</f>
        <v>0</v>
      </c>
      <c r="V6" s="61"/>
      <c r="W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479">
        <f t="shared" si="4"/>
        <v>0</v>
      </c>
      <c r="P7" s="436">
        <f t="shared" si="4"/>
        <v>0</v>
      </c>
      <c r="Q7" s="43">
        <f t="shared" si="1"/>
        <v>0</v>
      </c>
      <c r="R7" s="354">
        <f t="shared" si="4"/>
        <v>0</v>
      </c>
      <c r="S7" s="354">
        <f t="shared" si="4"/>
        <v>0</v>
      </c>
      <c r="T7" s="240">
        <f t="shared" si="4"/>
        <v>0</v>
      </c>
      <c r="U7" s="71"/>
      <c r="V7" s="134"/>
      <c r="W7" s="105">
        <f>+SUM(W8:W17)</f>
        <v>0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88"/>
      <c r="P8" s="164"/>
      <c r="Q8" s="24">
        <f t="shared" si="1"/>
        <v>0</v>
      </c>
      <c r="R8" s="127">
        <f t="shared" ref="R8:R53" si="5">+Q8/1.09</f>
        <v>0</v>
      </c>
      <c r="S8" s="24">
        <f t="shared" ref="S8:S17" si="6">+Q8-R8</f>
        <v>0</v>
      </c>
      <c r="T8" s="94">
        <f>+Q8/D8</f>
        <v>0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88"/>
      <c r="P9" s="164"/>
      <c r="Q9" s="24">
        <f t="shared" si="1"/>
        <v>0</v>
      </c>
      <c r="R9" s="127">
        <f t="shared" si="5"/>
        <v>0</v>
      </c>
      <c r="S9" s="26">
        <f t="shared" si="6"/>
        <v>0</v>
      </c>
      <c r="T9" s="94">
        <f>+Q9/D9</f>
        <v>0</v>
      </c>
      <c r="U9" s="71"/>
      <c r="V9" s="61">
        <v>1.75</v>
      </c>
      <c r="W9" s="13">
        <f>+T9*V9</f>
        <v>0</v>
      </c>
    </row>
    <row r="10" spans="1:23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8"/>
      <c r="P10" s="350"/>
      <c r="Q10" s="24">
        <f t="shared" si="1"/>
        <v>0</v>
      </c>
      <c r="R10" s="26">
        <f t="shared" si="5"/>
        <v>0</v>
      </c>
      <c r="S10" s="26">
        <f t="shared" si="6"/>
        <v>0</v>
      </c>
      <c r="T10" s="39">
        <f>Q10/D10</f>
        <v>0</v>
      </c>
      <c r="U10" s="71"/>
      <c r="V10" s="107">
        <v>2.8</v>
      </c>
      <c r="W10" s="13">
        <f>+T10*V10</f>
        <v>0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" si="9">+SUM(N12:N17)</f>
        <v>0</v>
      </c>
      <c r="O11" s="476">
        <f t="shared" si="8"/>
        <v>0</v>
      </c>
      <c r="P11" s="74">
        <f t="shared" si="8"/>
        <v>0</v>
      </c>
      <c r="Q11" s="43">
        <f t="shared" si="8"/>
        <v>0</v>
      </c>
      <c r="R11" s="72">
        <f t="shared" si="8"/>
        <v>0</v>
      </c>
      <c r="S11" s="43">
        <f t="shared" si="8"/>
        <v>0</v>
      </c>
      <c r="T11" s="45">
        <f t="shared" si="8"/>
        <v>0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88"/>
      <c r="P12" s="164"/>
      <c r="Q12" s="24">
        <f t="shared" ref="Q12:Q17" si="10">+SUM(E12:P12)</f>
        <v>0</v>
      </c>
      <c r="R12" s="127">
        <f t="shared" si="5"/>
        <v>0</v>
      </c>
      <c r="S12" s="5">
        <f t="shared" si="6"/>
        <v>0</v>
      </c>
      <c r="T12" s="94">
        <f t="shared" ref="T12:T17" si="11">+Q12/D12</f>
        <v>0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88"/>
      <c r="P13" s="164"/>
      <c r="Q13" s="24">
        <f t="shared" si="10"/>
        <v>0</v>
      </c>
      <c r="R13" s="127">
        <f t="shared" si="5"/>
        <v>0</v>
      </c>
      <c r="S13" s="5">
        <f t="shared" si="6"/>
        <v>0</v>
      </c>
      <c r="T13" s="94">
        <f t="shared" si="11"/>
        <v>0</v>
      </c>
      <c r="U13" s="71"/>
      <c r="V13" s="107">
        <v>1.1000000000000001</v>
      </c>
      <c r="W13" s="13">
        <f t="shared" ref="W13:W14" si="12">+T13*V13</f>
        <v>0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88"/>
      <c r="P14" s="164"/>
      <c r="Q14" s="24">
        <f t="shared" si="10"/>
        <v>0</v>
      </c>
      <c r="R14" s="127">
        <f t="shared" si="5"/>
        <v>0</v>
      </c>
      <c r="S14" s="5">
        <f t="shared" si="6"/>
        <v>0</v>
      </c>
      <c r="T14" s="94">
        <f t="shared" si="11"/>
        <v>0</v>
      </c>
      <c r="U14" s="71"/>
      <c r="V14" s="61">
        <v>1.76</v>
      </c>
      <c r="W14" s="13">
        <f t="shared" si="12"/>
        <v>0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88"/>
      <c r="P15" s="164"/>
      <c r="Q15" s="24">
        <f t="shared" si="10"/>
        <v>0</v>
      </c>
      <c r="R15" s="127">
        <f t="shared" si="5"/>
        <v>0</v>
      </c>
      <c r="S15" s="5">
        <f t="shared" si="6"/>
        <v>0</v>
      </c>
      <c r="T15" s="94">
        <f t="shared" si="11"/>
        <v>0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88"/>
      <c r="P16" s="164"/>
      <c r="Q16" s="24">
        <f t="shared" si="10"/>
        <v>0</v>
      </c>
      <c r="R16" s="127">
        <f t="shared" si="5"/>
        <v>0</v>
      </c>
      <c r="S16" s="5">
        <f t="shared" si="6"/>
        <v>0</v>
      </c>
      <c r="T16" s="94">
        <f t="shared" si="11"/>
        <v>0</v>
      </c>
      <c r="U16" s="71"/>
      <c r="V16" s="61">
        <v>1.6</v>
      </c>
      <c r="W16" s="13">
        <f t="shared" ref="W16:W17" si="13">+T16*V16</f>
        <v>0</v>
      </c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88"/>
      <c r="P17" s="164"/>
      <c r="Q17" s="24">
        <f t="shared" si="10"/>
        <v>0</v>
      </c>
      <c r="R17" s="127">
        <f t="shared" si="5"/>
        <v>0</v>
      </c>
      <c r="S17" s="5">
        <f t="shared" si="6"/>
        <v>0</v>
      </c>
      <c r="T17" s="94">
        <f t="shared" si="11"/>
        <v>0</v>
      </c>
      <c r="U17" s="71"/>
      <c r="V17" s="61">
        <v>2.56</v>
      </c>
      <c r="W17" s="13">
        <f t="shared" si="13"/>
        <v>0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117720.74780821921</v>
      </c>
      <c r="F18" s="231">
        <f t="shared" ref="F18:P18" si="14">+SUM(F19:F43)</f>
        <v>2197794.1496347031</v>
      </c>
      <c r="G18" s="231">
        <f t="shared" si="14"/>
        <v>331530.81</v>
      </c>
      <c r="H18" s="231">
        <f t="shared" si="14"/>
        <v>64879.513333333329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39304.989999999991</v>
      </c>
      <c r="N18" s="231">
        <f t="shared" si="14"/>
        <v>19469.888584474884</v>
      </c>
      <c r="O18" s="477">
        <f t="shared" si="14"/>
        <v>251413.89318038939</v>
      </c>
      <c r="P18" s="478">
        <f t="shared" si="14"/>
        <v>0</v>
      </c>
      <c r="Q18" s="42">
        <f>+SUM(Q19:Q43)</f>
        <v>3022113.9925411195</v>
      </c>
      <c r="R18" s="42">
        <f t="shared" ref="R18:T18" si="15">+SUM(R19:R43)</f>
        <v>2772581.6445331373</v>
      </c>
      <c r="S18" s="42">
        <f t="shared" si="15"/>
        <v>249532.34800798265</v>
      </c>
      <c r="T18" s="42">
        <f t="shared" si="15"/>
        <v>55007.781812488145</v>
      </c>
      <c r="U18" s="71"/>
      <c r="V18" s="61"/>
      <c r="W18" s="105">
        <f>+SUM(W19:W42)</f>
        <v>2455004.9902343759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72763.333333333358</v>
      </c>
      <c r="F19" s="127">
        <v>1282383.33</v>
      </c>
      <c r="G19" s="127">
        <v>185836.67</v>
      </c>
      <c r="H19" s="127">
        <v>33016.666666666664</v>
      </c>
      <c r="I19" s="127"/>
      <c r="J19" s="127"/>
      <c r="K19" s="127"/>
      <c r="L19" s="127"/>
      <c r="M19" s="127">
        <v>21946.67</v>
      </c>
      <c r="N19" s="127">
        <v>11093.333333333332</v>
      </c>
      <c r="O19" s="188">
        <v>120403.33771545411</v>
      </c>
      <c r="P19" s="164"/>
      <c r="Q19" s="24">
        <f t="shared" ref="Q19:Q43" si="16">+SUM(E19:P19)</f>
        <v>1727443.3410487873</v>
      </c>
      <c r="R19" s="127">
        <f t="shared" si="5"/>
        <v>1584810.4046319148</v>
      </c>
      <c r="S19" s="24">
        <f>+Q19-R19</f>
        <v>142632.93641687254</v>
      </c>
      <c r="T19" s="94">
        <f t="shared" ref="T19:T43" si="17">+Q19/D19</f>
        <v>17274.433410487873</v>
      </c>
      <c r="U19" s="71"/>
      <c r="V19" s="61"/>
      <c r="W19" s="106"/>
      <c r="X19" s="2"/>
    </row>
    <row r="20" spans="1:24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14090.000000000002</v>
      </c>
      <c r="F20" s="127">
        <v>352895.00000000017</v>
      </c>
      <c r="G20" s="127">
        <v>50451.67</v>
      </c>
      <c r="H20" s="127">
        <v>11575.000000000002</v>
      </c>
      <c r="I20" s="127"/>
      <c r="J20" s="127"/>
      <c r="K20" s="127"/>
      <c r="L20" s="127"/>
      <c r="M20" s="127">
        <v>9608.33</v>
      </c>
      <c r="N20" s="127">
        <v>101.66666666666666</v>
      </c>
      <c r="O20" s="188">
        <v>6573.3335595703129</v>
      </c>
      <c r="P20" s="164"/>
      <c r="Q20" s="24">
        <f>+SUM(E20:P20)</f>
        <v>445295.00022623717</v>
      </c>
      <c r="R20" s="127">
        <f t="shared" si="5"/>
        <v>408527.52314333682</v>
      </c>
      <c r="S20" s="5">
        <f t="shared" ref="S20:S43" si="18">+Q20-R20</f>
        <v>36767.477082900354</v>
      </c>
      <c r="T20" s="94">
        <f t="shared" si="17"/>
        <v>8905.9000045247431</v>
      </c>
      <c r="U20" s="71"/>
      <c r="V20" s="61">
        <v>50</v>
      </c>
      <c r="W20" s="13">
        <f t="shared" ref="W20:W21" si="19">+T20*V20</f>
        <v>445295.00022623717</v>
      </c>
      <c r="X20" s="2"/>
    </row>
    <row r="21" spans="1:24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16181.33</v>
      </c>
      <c r="F21" s="127">
        <v>328244.67</v>
      </c>
      <c r="G21" s="127">
        <v>57516</v>
      </c>
      <c r="H21" s="127">
        <v>5918.6666666666661</v>
      </c>
      <c r="I21" s="17"/>
      <c r="J21" s="127"/>
      <c r="K21" s="127"/>
      <c r="L21" s="127"/>
      <c r="M21" s="127">
        <v>3742.67</v>
      </c>
      <c r="N21" s="127">
        <v>3698.666666666667</v>
      </c>
      <c r="O21" s="188">
        <v>34582.67</v>
      </c>
      <c r="P21" s="164"/>
      <c r="Q21" s="24">
        <f>+SUM(E21:P21)</f>
        <v>449884.67333333334</v>
      </c>
      <c r="R21" s="127">
        <f t="shared" si="5"/>
        <v>412738.23241590214</v>
      </c>
      <c r="S21" s="5">
        <f t="shared" si="18"/>
        <v>37146.440917431202</v>
      </c>
      <c r="T21" s="94">
        <f t="shared" si="17"/>
        <v>22494.233666666667</v>
      </c>
      <c r="U21" s="71"/>
      <c r="V21" s="61">
        <v>80</v>
      </c>
      <c r="W21" s="13">
        <f t="shared" si="19"/>
        <v>1799538.6933333334</v>
      </c>
      <c r="X21" s="2"/>
    </row>
    <row r="22" spans="1:24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12093</v>
      </c>
      <c r="F22" s="127">
        <v>180252</v>
      </c>
      <c r="G22" s="127">
        <v>30609</v>
      </c>
      <c r="H22" s="127">
        <v>7731</v>
      </c>
      <c r="I22" s="96"/>
      <c r="J22" s="127"/>
      <c r="K22" s="127"/>
      <c r="L22" s="127"/>
      <c r="M22" s="127">
        <v>3021</v>
      </c>
      <c r="N22" s="127">
        <v>2991</v>
      </c>
      <c r="O22" s="188">
        <v>53355</v>
      </c>
      <c r="P22" s="164"/>
      <c r="Q22" s="24">
        <f t="shared" si="16"/>
        <v>290052</v>
      </c>
      <c r="R22" s="127">
        <f t="shared" si="5"/>
        <v>266102.75229357794</v>
      </c>
      <c r="S22" s="5">
        <f t="shared" si="18"/>
        <v>23949.247706422058</v>
      </c>
      <c r="T22" s="94">
        <f t="shared" si="17"/>
        <v>3222.8</v>
      </c>
      <c r="U22" s="71"/>
      <c r="V22" s="61"/>
      <c r="W22" s="13"/>
      <c r="X22" s="2"/>
    </row>
    <row r="23" spans="1:24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4">
        <v>289.5</v>
      </c>
      <c r="F23" s="127">
        <v>10792.5</v>
      </c>
      <c r="G23" s="127">
        <v>1912.5</v>
      </c>
      <c r="H23" s="127">
        <v>535.5</v>
      </c>
      <c r="I23" s="127"/>
      <c r="J23" s="127"/>
      <c r="K23" s="127"/>
      <c r="L23" s="127"/>
      <c r="M23" s="127">
        <v>156</v>
      </c>
      <c r="N23" s="127">
        <v>0</v>
      </c>
      <c r="O23" s="188">
        <v>2280</v>
      </c>
      <c r="P23" s="164"/>
      <c r="Q23" s="24">
        <f t="shared" si="16"/>
        <v>15966</v>
      </c>
      <c r="R23" s="127">
        <f t="shared" si="5"/>
        <v>14647.706422018347</v>
      </c>
      <c r="S23" s="5">
        <f t="shared" si="18"/>
        <v>1318.2935779816526</v>
      </c>
      <c r="T23" s="94">
        <f t="shared" si="17"/>
        <v>354.8</v>
      </c>
      <c r="U23" s="71"/>
      <c r="V23" s="61">
        <v>45</v>
      </c>
      <c r="W23" s="13">
        <f t="shared" ref="W23:W24" si="20">+T23*V23</f>
        <v>15966</v>
      </c>
      <c r="X23" s="2"/>
    </row>
    <row r="24" spans="1:24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384</v>
      </c>
      <c r="F24" s="127">
        <v>4583.3999999999996</v>
      </c>
      <c r="G24" s="127">
        <v>790.2</v>
      </c>
      <c r="H24" s="127">
        <v>225</v>
      </c>
      <c r="I24" s="127"/>
      <c r="J24" s="127"/>
      <c r="K24" s="127"/>
      <c r="L24" s="127"/>
      <c r="M24" s="127">
        <v>150</v>
      </c>
      <c r="N24" s="127">
        <v>299.39999999999992</v>
      </c>
      <c r="O24" s="188">
        <v>1701</v>
      </c>
      <c r="P24" s="164"/>
      <c r="Q24" s="24">
        <f t="shared" si="16"/>
        <v>8132.9999999999991</v>
      </c>
      <c r="R24" s="127">
        <f t="shared" si="5"/>
        <v>7461.4678899082555</v>
      </c>
      <c r="S24" s="5">
        <f t="shared" si="18"/>
        <v>671.53211009174356</v>
      </c>
      <c r="T24" s="94">
        <f t="shared" si="17"/>
        <v>451.83333333333326</v>
      </c>
      <c r="U24" s="71"/>
      <c r="V24" s="61">
        <v>72</v>
      </c>
      <c r="W24" s="13">
        <f t="shared" si="20"/>
        <v>32531.999999999993</v>
      </c>
      <c r="X24" s="2"/>
    </row>
    <row r="25" spans="1:2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200</v>
      </c>
      <c r="F25" s="127">
        <v>4156.66</v>
      </c>
      <c r="G25" s="127">
        <v>100</v>
      </c>
      <c r="H25" s="127">
        <f>200+196.67</f>
        <v>396.66999999999996</v>
      </c>
      <c r="I25" s="127"/>
      <c r="J25" s="127"/>
      <c r="K25" s="127"/>
      <c r="L25" s="127"/>
      <c r="M25" s="127"/>
      <c r="N25" s="127">
        <v>399.99999999999989</v>
      </c>
      <c r="O25" s="188">
        <v>6210.0000253295902</v>
      </c>
      <c r="P25" s="164"/>
      <c r="Q25" s="24">
        <f t="shared" si="16"/>
        <v>11463.330025329589</v>
      </c>
      <c r="R25" s="127">
        <f t="shared" si="5"/>
        <v>10516.816536999622</v>
      </c>
      <c r="S25" s="5">
        <f t="shared" si="18"/>
        <v>946.513488329967</v>
      </c>
      <c r="T25" s="94">
        <f t="shared" si="17"/>
        <v>38.211100084431962</v>
      </c>
      <c r="U25" s="71"/>
      <c r="V25" s="61"/>
      <c r="W25" s="13"/>
    </row>
    <row r="26" spans="1:2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v>46.666666666666657</v>
      </c>
      <c r="F26" s="127">
        <v>3903.3333333333326</v>
      </c>
      <c r="G26" s="127">
        <v>216.67</v>
      </c>
      <c r="H26" s="127">
        <f>50+103.33+300</f>
        <v>453.33</v>
      </c>
      <c r="I26" s="127"/>
      <c r="J26" s="127"/>
      <c r="K26" s="127"/>
      <c r="L26" s="127"/>
      <c r="M26" s="127">
        <v>150</v>
      </c>
      <c r="N26" s="127">
        <v>0</v>
      </c>
      <c r="O26" s="188">
        <v>866.66667480468755</v>
      </c>
      <c r="P26" s="164"/>
      <c r="Q26" s="24">
        <f t="shared" si="16"/>
        <v>5636.6666748046864</v>
      </c>
      <c r="R26" s="127">
        <f t="shared" si="5"/>
        <v>5171.2538300960423</v>
      </c>
      <c r="S26" s="5">
        <f t="shared" si="18"/>
        <v>465.41284470864412</v>
      </c>
      <c r="T26" s="94">
        <f t="shared" si="17"/>
        <v>37.577777832031245</v>
      </c>
      <c r="U26" s="71"/>
      <c r="V26" s="61">
        <v>150</v>
      </c>
      <c r="W26" s="13">
        <f t="shared" ref="W26:W42" si="21">+T26*V26</f>
        <v>5636.6666748046864</v>
      </c>
    </row>
    <row r="27" spans="1:2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796</v>
      </c>
      <c r="F27" s="127">
        <v>12309.33</v>
      </c>
      <c r="G27" s="127">
        <v>1638.67</v>
      </c>
      <c r="H27" s="127">
        <f>380+289.33+898.67</f>
        <v>1568</v>
      </c>
      <c r="I27" s="127"/>
      <c r="J27" s="127"/>
      <c r="K27" s="127"/>
      <c r="L27" s="127"/>
      <c r="M27" s="127">
        <v>354.67</v>
      </c>
      <c r="N27" s="127">
        <v>498</v>
      </c>
      <c r="O27" s="188">
        <v>10194.67</v>
      </c>
      <c r="P27" s="164"/>
      <c r="Q27" s="24">
        <f t="shared" si="16"/>
        <v>27359.339999999997</v>
      </c>
      <c r="R27" s="127">
        <f t="shared" si="5"/>
        <v>25100.3119266055</v>
      </c>
      <c r="S27" s="5">
        <f t="shared" si="18"/>
        <v>2259.0280733944965</v>
      </c>
      <c r="T27" s="94">
        <f t="shared" si="17"/>
        <v>455.98899999999992</v>
      </c>
      <c r="U27" s="71"/>
      <c r="V27" s="61">
        <v>240</v>
      </c>
      <c r="W27" s="13">
        <f t="shared" si="21"/>
        <v>109437.35999999999</v>
      </c>
    </row>
    <row r="28" spans="1:24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>
        <v>180</v>
      </c>
      <c r="F28" s="127">
        <v>897</v>
      </c>
      <c r="G28" s="127">
        <v>90</v>
      </c>
      <c r="H28" s="127">
        <f>90+66</f>
        <v>156</v>
      </c>
      <c r="I28" s="127"/>
      <c r="J28" s="127"/>
      <c r="K28" s="127"/>
      <c r="L28" s="127"/>
      <c r="M28" s="127"/>
      <c r="N28" s="127">
        <v>90</v>
      </c>
      <c r="O28" s="188">
        <v>8352</v>
      </c>
      <c r="P28" s="164"/>
      <c r="Q28" s="24">
        <f t="shared" si="16"/>
        <v>9765</v>
      </c>
      <c r="R28" s="127">
        <f t="shared" si="5"/>
        <v>8958.7155963302739</v>
      </c>
      <c r="S28" s="5">
        <f t="shared" si="18"/>
        <v>806.28440366972609</v>
      </c>
      <c r="T28" s="94">
        <f t="shared" si="17"/>
        <v>36.166666666666664</v>
      </c>
      <c r="U28" s="71"/>
      <c r="V28" s="61"/>
      <c r="W28" s="13"/>
    </row>
    <row r="29" spans="1:24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>
        <v>45</v>
      </c>
      <c r="F29" s="127">
        <v>45</v>
      </c>
      <c r="G29" s="127"/>
      <c r="H29" s="127">
        <f>46.5+45</f>
        <v>91.5</v>
      </c>
      <c r="I29" s="127"/>
      <c r="J29" s="127"/>
      <c r="K29" s="127"/>
      <c r="L29" s="127"/>
      <c r="M29" s="127"/>
      <c r="N29" s="127">
        <v>0</v>
      </c>
      <c r="O29" s="188">
        <v>45</v>
      </c>
      <c r="P29" s="164"/>
      <c r="Q29" s="24">
        <f t="shared" si="16"/>
        <v>226.5</v>
      </c>
      <c r="R29" s="127">
        <f t="shared" si="5"/>
        <v>207.79816513761466</v>
      </c>
      <c r="S29" s="5">
        <f t="shared" si="18"/>
        <v>18.70183486238534</v>
      </c>
      <c r="T29" s="94">
        <f t="shared" si="17"/>
        <v>1.6777777777777778</v>
      </c>
      <c r="U29" s="71"/>
      <c r="V29" s="61">
        <v>135</v>
      </c>
      <c r="W29" s="13">
        <f t="shared" si="21"/>
        <v>226.5</v>
      </c>
    </row>
    <row r="30" spans="1:24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54</v>
      </c>
      <c r="F30" s="127">
        <v>501.6</v>
      </c>
      <c r="G30" s="127">
        <v>100.8</v>
      </c>
      <c r="H30" s="127">
        <f>36+12+35.4</f>
        <v>83.4</v>
      </c>
      <c r="I30" s="127"/>
      <c r="J30" s="127"/>
      <c r="K30" s="127"/>
      <c r="L30" s="127"/>
      <c r="M30" s="127">
        <v>16.2</v>
      </c>
      <c r="N30" s="127">
        <v>87</v>
      </c>
      <c r="O30" s="491">
        <f>1441.8-18</f>
        <v>1423.8</v>
      </c>
      <c r="P30" s="164"/>
      <c r="Q30" s="24">
        <f t="shared" si="16"/>
        <v>2266.8000000000002</v>
      </c>
      <c r="R30" s="127">
        <f t="shared" si="5"/>
        <v>2079.6330275229357</v>
      </c>
      <c r="S30" s="5">
        <f t="shared" si="18"/>
        <v>187.16697247706452</v>
      </c>
      <c r="T30" s="94">
        <f t="shared" si="17"/>
        <v>41.977777777777781</v>
      </c>
      <c r="U30" s="71"/>
      <c r="V30" s="61">
        <v>216</v>
      </c>
      <c r="W30" s="13">
        <f t="shared" si="21"/>
        <v>9067.2000000000007</v>
      </c>
    </row>
    <row r="31" spans="1:2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100</v>
      </c>
      <c r="F31" s="127">
        <v>300</v>
      </c>
      <c r="G31" s="127">
        <v>100</v>
      </c>
      <c r="H31" s="127">
        <v>100</v>
      </c>
      <c r="I31" s="127"/>
      <c r="J31" s="127"/>
      <c r="K31" s="127"/>
      <c r="L31" s="127"/>
      <c r="M31" s="127"/>
      <c r="N31" s="127">
        <v>0</v>
      </c>
      <c r="O31" s="188">
        <v>200</v>
      </c>
      <c r="P31" s="164"/>
      <c r="Q31" s="24">
        <f t="shared" si="16"/>
        <v>800</v>
      </c>
      <c r="R31" s="127">
        <f t="shared" si="5"/>
        <v>733.94495412844026</v>
      </c>
      <c r="S31" s="5">
        <f t="shared" si="18"/>
        <v>66.055045871559741</v>
      </c>
      <c r="T31" s="94">
        <f t="shared" si="17"/>
        <v>1.3333333333333333</v>
      </c>
      <c r="U31" s="71"/>
      <c r="V31" s="61"/>
      <c r="W31" s="13"/>
    </row>
    <row r="32" spans="1:2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400</v>
      </c>
      <c r="G32" s="127">
        <v>150</v>
      </c>
      <c r="H32" s="127">
        <f>73.33+50+50</f>
        <v>173.32999999999998</v>
      </c>
      <c r="I32" s="127"/>
      <c r="J32" s="127"/>
      <c r="K32" s="127"/>
      <c r="L32" s="127"/>
      <c r="M32" s="127"/>
      <c r="N32" s="127">
        <v>0</v>
      </c>
      <c r="O32" s="188">
        <v>150</v>
      </c>
      <c r="P32" s="164"/>
      <c r="Q32" s="24">
        <f t="shared" si="16"/>
        <v>873.32999999999993</v>
      </c>
      <c r="R32" s="127">
        <f t="shared" si="5"/>
        <v>801.2201834862384</v>
      </c>
      <c r="S32" s="5">
        <f t="shared" si="18"/>
        <v>72.10981651376153</v>
      </c>
      <c r="T32" s="94">
        <f t="shared" si="17"/>
        <v>2.9110999999999998</v>
      </c>
      <c r="U32" s="71"/>
      <c r="V32" s="61">
        <v>300</v>
      </c>
      <c r="W32" s="13">
        <f t="shared" si="21"/>
        <v>873.32999999999993</v>
      </c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160</v>
      </c>
      <c r="F33" s="127">
        <v>1250.67</v>
      </c>
      <c r="G33" s="127">
        <v>140</v>
      </c>
      <c r="H33" s="127">
        <f>40+20+40</f>
        <v>100</v>
      </c>
      <c r="I33" s="127"/>
      <c r="J33" s="127"/>
      <c r="K33" s="127"/>
      <c r="L33" s="127"/>
      <c r="M33" s="127">
        <v>40</v>
      </c>
      <c r="N33" s="127">
        <v>60</v>
      </c>
      <c r="O33" s="188">
        <v>1364.67</v>
      </c>
      <c r="P33" s="164"/>
      <c r="Q33" s="24">
        <f t="shared" si="16"/>
        <v>3115.34</v>
      </c>
      <c r="R33" s="127">
        <f t="shared" si="5"/>
        <v>2858.110091743119</v>
      </c>
      <c r="S33" s="5">
        <f t="shared" si="18"/>
        <v>257.22990825688112</v>
      </c>
      <c r="T33" s="94">
        <f t="shared" si="17"/>
        <v>25.961166666666667</v>
      </c>
      <c r="U33" s="71"/>
      <c r="V33" s="61">
        <v>480</v>
      </c>
      <c r="W33" s="13">
        <f t="shared" si="21"/>
        <v>12461.36</v>
      </c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/>
      <c r="G34" s="127"/>
      <c r="H34" s="127"/>
      <c r="I34" s="127"/>
      <c r="J34" s="127"/>
      <c r="K34" s="127"/>
      <c r="L34" s="127"/>
      <c r="M34" s="127"/>
      <c r="N34" s="127">
        <v>0</v>
      </c>
      <c r="O34" s="188">
        <v>372</v>
      </c>
      <c r="P34" s="164"/>
      <c r="Q34" s="24">
        <f t="shared" si="16"/>
        <v>372</v>
      </c>
      <c r="R34" s="127">
        <f t="shared" si="5"/>
        <v>341.28440366972472</v>
      </c>
      <c r="S34" s="5">
        <f t="shared" si="18"/>
        <v>30.715596330275275</v>
      </c>
      <c r="T34" s="94">
        <f t="shared" si="17"/>
        <v>0.68888888888888888</v>
      </c>
      <c r="U34" s="71"/>
      <c r="V34" s="61"/>
      <c r="W34" s="13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/>
      <c r="G35" s="127">
        <v>20</v>
      </c>
      <c r="H35" s="127"/>
      <c r="I35" s="127"/>
      <c r="J35" s="127"/>
      <c r="K35" s="127"/>
      <c r="L35" s="127"/>
      <c r="M35" s="127"/>
      <c r="N35" s="127">
        <v>0</v>
      </c>
      <c r="O35" s="188"/>
      <c r="P35" s="164"/>
      <c r="Q35" s="24">
        <f t="shared" si="16"/>
        <v>20</v>
      </c>
      <c r="R35" s="127">
        <f t="shared" si="5"/>
        <v>18.348623853211009</v>
      </c>
      <c r="S35" s="5">
        <f t="shared" si="18"/>
        <v>1.6513761467889907</v>
      </c>
      <c r="T35" s="94">
        <f t="shared" si="17"/>
        <v>7.407407407407407E-2</v>
      </c>
      <c r="U35" s="71"/>
      <c r="V35" s="61">
        <v>270</v>
      </c>
      <c r="W35" s="13">
        <f t="shared" si="21"/>
        <v>20</v>
      </c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36</v>
      </c>
      <c r="F36" s="127">
        <v>54</v>
      </c>
      <c r="G36" s="127">
        <v>260</v>
      </c>
      <c r="H36" s="127">
        <v>18</v>
      </c>
      <c r="I36" s="127"/>
      <c r="J36" s="127"/>
      <c r="K36" s="127"/>
      <c r="L36" s="127"/>
      <c r="M36" s="127"/>
      <c r="N36" s="127">
        <v>18</v>
      </c>
      <c r="O36" s="188">
        <v>52.8</v>
      </c>
      <c r="P36" s="164"/>
      <c r="Q36" s="24">
        <f t="shared" si="16"/>
        <v>438.8</v>
      </c>
      <c r="R36" s="127">
        <f t="shared" si="5"/>
        <v>402.56880733944951</v>
      </c>
      <c r="S36" s="5">
        <f t="shared" si="18"/>
        <v>36.231192660550505</v>
      </c>
      <c r="T36" s="94">
        <f t="shared" si="17"/>
        <v>4.0629629629629633</v>
      </c>
      <c r="U36" s="71"/>
      <c r="V36" s="61">
        <v>432</v>
      </c>
      <c r="W36" s="13">
        <f t="shared" si="21"/>
        <v>1755.2000000000003</v>
      </c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/>
      <c r="F37" s="127">
        <v>200</v>
      </c>
      <c r="G37" s="127"/>
      <c r="H37" s="127">
        <v>200</v>
      </c>
      <c r="I37" s="127"/>
      <c r="J37" s="127"/>
      <c r="K37" s="127"/>
      <c r="L37" s="127"/>
      <c r="M37" s="127"/>
      <c r="N37" s="127">
        <v>0</v>
      </c>
      <c r="O37" s="188">
        <v>100</v>
      </c>
      <c r="P37" s="164"/>
      <c r="Q37" s="24">
        <f t="shared" si="16"/>
        <v>500</v>
      </c>
      <c r="R37" s="127">
        <f t="shared" si="5"/>
        <v>458.71559633027522</v>
      </c>
      <c r="S37" s="5">
        <f t="shared" si="18"/>
        <v>41.284403669724782</v>
      </c>
      <c r="T37" s="94">
        <f t="shared" si="17"/>
        <v>0.55555555555555558</v>
      </c>
      <c r="U37" s="71"/>
      <c r="V37" s="61"/>
      <c r="W37" s="13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/>
      <c r="F38" s="127">
        <v>200</v>
      </c>
      <c r="G38" s="127"/>
      <c r="H38" s="127"/>
      <c r="I38" s="127"/>
      <c r="J38" s="127"/>
      <c r="K38" s="127"/>
      <c r="L38" s="127"/>
      <c r="M38" s="127"/>
      <c r="N38" s="127">
        <v>0</v>
      </c>
      <c r="O38" s="188"/>
      <c r="P38" s="164"/>
      <c r="Q38" s="24">
        <f t="shared" si="16"/>
        <v>200</v>
      </c>
      <c r="R38" s="127">
        <f t="shared" si="5"/>
        <v>183.48623853211006</v>
      </c>
      <c r="S38" s="5">
        <f t="shared" si="18"/>
        <v>16.513761467889935</v>
      </c>
      <c r="T38" s="94">
        <f t="shared" si="17"/>
        <v>0.44444444444444442</v>
      </c>
      <c r="U38" s="71"/>
      <c r="V38" s="61">
        <v>450</v>
      </c>
      <c r="W38" s="13">
        <f t="shared" si="21"/>
        <v>200</v>
      </c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140</v>
      </c>
      <c r="F39" s="127">
        <v>2106.67</v>
      </c>
      <c r="G39" s="127"/>
      <c r="H39" s="127">
        <f>40+20+20+40+140</f>
        <v>260</v>
      </c>
      <c r="I39" s="127"/>
      <c r="J39" s="127"/>
      <c r="K39" s="127"/>
      <c r="L39" s="127"/>
      <c r="M39" s="127">
        <v>80</v>
      </c>
      <c r="N39" s="127">
        <v>60</v>
      </c>
      <c r="O39" s="188">
        <v>2220</v>
      </c>
      <c r="P39" s="164"/>
      <c r="Q39" s="24">
        <f t="shared" si="16"/>
        <v>4866.67</v>
      </c>
      <c r="R39" s="127">
        <f t="shared" si="5"/>
        <v>4464.8348623853208</v>
      </c>
      <c r="S39" s="5">
        <f t="shared" si="18"/>
        <v>401.8351376146793</v>
      </c>
      <c r="T39" s="94">
        <f t="shared" si="17"/>
        <v>27.037055555555558</v>
      </c>
      <c r="U39" s="71"/>
      <c r="V39" s="61">
        <v>720</v>
      </c>
      <c r="W39" s="13">
        <f t="shared" si="21"/>
        <v>19466.68</v>
      </c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0</v>
      </c>
      <c r="O40" s="188">
        <v>525</v>
      </c>
      <c r="P40" s="164"/>
      <c r="Q40" s="24">
        <f t="shared" si="16"/>
        <v>525</v>
      </c>
      <c r="R40" s="127">
        <f t="shared" si="5"/>
        <v>481.65137614678895</v>
      </c>
      <c r="S40" s="5">
        <f t="shared" si="18"/>
        <v>43.348623853211052</v>
      </c>
      <c r="T40" s="94">
        <f t="shared" si="17"/>
        <v>0.64814814814814814</v>
      </c>
      <c r="U40" s="71"/>
      <c r="V40" s="61"/>
      <c r="W40" s="13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>
        <v>0</v>
      </c>
      <c r="O41" s="188">
        <v>45</v>
      </c>
      <c r="P41" s="164"/>
      <c r="Q41" s="24">
        <f t="shared" si="16"/>
        <v>45</v>
      </c>
      <c r="R41" s="127">
        <f t="shared" si="5"/>
        <v>41.284403669724767</v>
      </c>
      <c r="S41" s="5">
        <f t="shared" si="18"/>
        <v>3.7155963302752326</v>
      </c>
      <c r="T41" s="94">
        <f t="shared" si="17"/>
        <v>0.1111111111111111</v>
      </c>
      <c r="U41" s="71"/>
      <c r="V41" s="61">
        <v>405</v>
      </c>
      <c r="W41" s="13">
        <f t="shared" si="21"/>
        <v>45</v>
      </c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>
        <v>162</v>
      </c>
      <c r="G42" s="221"/>
      <c r="H42" s="221">
        <v>18</v>
      </c>
      <c r="I42" s="221"/>
      <c r="J42" s="221"/>
      <c r="K42" s="221"/>
      <c r="L42" s="221"/>
      <c r="M42" s="221"/>
      <c r="N42" s="221">
        <v>72</v>
      </c>
      <c r="O42" s="480">
        <v>369</v>
      </c>
      <c r="P42" s="351"/>
      <c r="Q42" s="24">
        <f t="shared" si="16"/>
        <v>621</v>
      </c>
      <c r="R42" s="221">
        <f t="shared" si="5"/>
        <v>569.72477064220175</v>
      </c>
      <c r="S42" s="26">
        <f t="shared" si="18"/>
        <v>51.275229357798253</v>
      </c>
      <c r="T42" s="244">
        <f t="shared" si="17"/>
        <v>3.8333333333333335</v>
      </c>
      <c r="U42" s="71"/>
      <c r="V42" s="61">
        <v>648</v>
      </c>
      <c r="W42" s="13">
        <f t="shared" si="21"/>
        <v>2484</v>
      </c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161.91780821917803</v>
      </c>
      <c r="F43" s="124">
        <v>12156.986301369558</v>
      </c>
      <c r="G43" s="124">
        <v>1598.63</v>
      </c>
      <c r="H43" s="124">
        <f>58.36+1371.78+253.97+163.56+110.96+70.68+64.93+59.18+45.21+60.82</f>
        <v>2259.4499999999998</v>
      </c>
      <c r="I43" s="124"/>
      <c r="J43" s="124"/>
      <c r="K43" s="124"/>
      <c r="L43" s="124"/>
      <c r="M43" s="124">
        <v>39.450000000000003</v>
      </c>
      <c r="N43" s="124">
        <v>0.82191780821917815</v>
      </c>
      <c r="O43" s="148">
        <v>27.94520523071289</v>
      </c>
      <c r="P43" s="352"/>
      <c r="Q43" s="24">
        <f t="shared" si="16"/>
        <v>16245.201232627669</v>
      </c>
      <c r="R43" s="124">
        <f t="shared" si="5"/>
        <v>14903.854341860246</v>
      </c>
      <c r="S43" s="6">
        <f t="shared" si="18"/>
        <v>1341.3468907674232</v>
      </c>
      <c r="T43" s="22">
        <f t="shared" si="17"/>
        <v>1624.5201232627669</v>
      </c>
      <c r="U43" s="71"/>
      <c r="V43" s="61"/>
      <c r="W43" s="13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481.4</v>
      </c>
      <c r="F44" s="82">
        <f>+SUM(F45:F53)</f>
        <v>9963.8799999999992</v>
      </c>
      <c r="G44" s="82">
        <f t="shared" ref="G44:T44" si="22">+SUM(G45:G53)</f>
        <v>1447.2900000000002</v>
      </c>
      <c r="H44" s="82">
        <f t="shared" si="22"/>
        <v>248.47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135.70000000000002</v>
      </c>
      <c r="N44" s="100">
        <f t="shared" si="22"/>
        <v>86.12</v>
      </c>
      <c r="O44" s="481">
        <f t="shared" si="22"/>
        <v>654.91</v>
      </c>
      <c r="P44" s="100">
        <f t="shared" si="22"/>
        <v>0</v>
      </c>
      <c r="Q44" s="42">
        <f t="shared" si="22"/>
        <v>13017.769999999997</v>
      </c>
      <c r="R44" s="82">
        <f t="shared" si="22"/>
        <v>11942.908256880732</v>
      </c>
      <c r="S44" s="77">
        <f t="shared" si="22"/>
        <v>1074.861743119267</v>
      </c>
      <c r="T44" s="44">
        <f t="shared" si="22"/>
        <v>533.93333333333328</v>
      </c>
      <c r="U44" s="71"/>
      <c r="V44" s="61"/>
      <c r="W44" s="105">
        <f>+SUM(W45:W61)</f>
        <v>6666.83</v>
      </c>
    </row>
    <row r="45" spans="1:25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88"/>
      <c r="P45" s="164"/>
      <c r="Q45" s="24">
        <f t="shared" ref="Q45:Q53" si="23">+SUM(E45:P45)</f>
        <v>0</v>
      </c>
      <c r="R45" s="127">
        <f t="shared" si="5"/>
        <v>0</v>
      </c>
      <c r="S45" s="24">
        <f t="shared" ref="S45:S53" si="24">+Q45-R45</f>
        <v>0</v>
      </c>
      <c r="T45" s="94">
        <f t="shared" ref="T45:T53" si="25">+Q45/D45</f>
        <v>0</v>
      </c>
      <c r="U45" s="71"/>
      <c r="V45" s="61"/>
      <c r="W45" s="13"/>
      <c r="X45" s="492"/>
      <c r="Y45" s="11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88"/>
      <c r="P46" s="164"/>
      <c r="Q46" s="24">
        <f t="shared" si="23"/>
        <v>0</v>
      </c>
      <c r="R46" s="127">
        <f t="shared" si="5"/>
        <v>0</v>
      </c>
      <c r="S46" s="5">
        <f t="shared" si="24"/>
        <v>0</v>
      </c>
      <c r="T46" s="94">
        <f t="shared" si="25"/>
        <v>0</v>
      </c>
      <c r="U46" s="71"/>
      <c r="V46" s="61">
        <v>6</v>
      </c>
      <c r="W46" s="13">
        <f t="shared" ref="W46:W47" si="26">+T46*V46</f>
        <v>0</v>
      </c>
      <c r="X46" s="492"/>
      <c r="Y46" s="11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88"/>
      <c r="P47" s="164"/>
      <c r="Q47" s="24">
        <f t="shared" si="23"/>
        <v>0</v>
      </c>
      <c r="R47" s="127">
        <f t="shared" si="5"/>
        <v>0</v>
      </c>
      <c r="S47" s="5">
        <f t="shared" si="24"/>
        <v>0</v>
      </c>
      <c r="T47" s="94">
        <f t="shared" si="25"/>
        <v>0</v>
      </c>
      <c r="U47" s="71"/>
      <c r="V47" s="61">
        <v>9.6</v>
      </c>
      <c r="W47" s="13">
        <f t="shared" si="26"/>
        <v>0</v>
      </c>
      <c r="X47" s="492"/>
      <c r="Y47" s="11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/>
      <c r="F48" s="127">
        <v>504</v>
      </c>
      <c r="G48" s="127">
        <v>49</v>
      </c>
      <c r="H48" s="127">
        <v>35</v>
      </c>
      <c r="I48" s="127"/>
      <c r="J48" s="127"/>
      <c r="K48" s="127"/>
      <c r="L48" s="127"/>
      <c r="M48" s="127">
        <v>14</v>
      </c>
      <c r="N48" s="127">
        <v>14</v>
      </c>
      <c r="O48" s="188"/>
      <c r="P48" s="164"/>
      <c r="Q48" s="24">
        <f t="shared" si="23"/>
        <v>616</v>
      </c>
      <c r="R48" s="127">
        <f t="shared" si="5"/>
        <v>565.13761467889901</v>
      </c>
      <c r="S48" s="5">
        <f t="shared" si="24"/>
        <v>50.862385321100987</v>
      </c>
      <c r="T48" s="94">
        <f t="shared" si="25"/>
        <v>29.333333333333332</v>
      </c>
      <c r="U48" s="71"/>
      <c r="V48" s="61"/>
      <c r="W48" s="13"/>
      <c r="X48" s="492"/>
      <c r="Y48" s="11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/>
      <c r="F49" s="127">
        <v>31.5</v>
      </c>
      <c r="G49" s="127">
        <v>7</v>
      </c>
      <c r="H49" s="127"/>
      <c r="I49" s="127"/>
      <c r="J49" s="127"/>
      <c r="K49" s="127"/>
      <c r="L49" s="127"/>
      <c r="M49" s="127">
        <v>0</v>
      </c>
      <c r="N49" s="127">
        <v>0</v>
      </c>
      <c r="O49" s="188">
        <v>3.5</v>
      </c>
      <c r="P49" s="164"/>
      <c r="Q49" s="24">
        <f t="shared" si="23"/>
        <v>42</v>
      </c>
      <c r="R49" s="127">
        <f t="shared" si="5"/>
        <v>38.532110091743114</v>
      </c>
      <c r="S49" s="5">
        <f t="shared" si="24"/>
        <v>3.4678899082568861</v>
      </c>
      <c r="T49" s="94">
        <f t="shared" si="25"/>
        <v>4</v>
      </c>
      <c r="U49" s="71"/>
      <c r="V49" s="61">
        <v>10.5</v>
      </c>
      <c r="W49" s="13">
        <f t="shared" ref="W49:W50" si="27">+T49*V49</f>
        <v>42</v>
      </c>
      <c r="X49" s="112"/>
      <c r="Y49" s="11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14</v>
      </c>
      <c r="F50" s="127">
        <v>253.4</v>
      </c>
      <c r="G50" s="127">
        <v>18.2</v>
      </c>
      <c r="H50" s="127">
        <v>5.6000000000000005</v>
      </c>
      <c r="I50" s="127"/>
      <c r="J50" s="127"/>
      <c r="K50" s="127"/>
      <c r="L50" s="127"/>
      <c r="M50" s="127">
        <v>2.8</v>
      </c>
      <c r="N50" s="127">
        <v>9.8000000000000007</v>
      </c>
      <c r="O50" s="188">
        <v>19.600000000000001</v>
      </c>
      <c r="P50" s="164"/>
      <c r="Q50" s="24">
        <f t="shared" si="23"/>
        <v>323.40000000000003</v>
      </c>
      <c r="R50" s="127">
        <f t="shared" si="5"/>
        <v>296.69724770642205</v>
      </c>
      <c r="S50" s="5">
        <f t="shared" si="24"/>
        <v>26.702752293577987</v>
      </c>
      <c r="T50" s="94">
        <f t="shared" si="25"/>
        <v>77</v>
      </c>
      <c r="U50" s="71"/>
      <c r="V50" s="61">
        <v>16.8</v>
      </c>
      <c r="W50" s="13">
        <f t="shared" si="27"/>
        <v>1293.6000000000001</v>
      </c>
      <c r="X50" s="112"/>
      <c r="Y50" s="11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397.7</v>
      </c>
      <c r="F51" s="127">
        <v>7560.4</v>
      </c>
      <c r="G51" s="127">
        <v>1053.7</v>
      </c>
      <c r="H51" s="127">
        <v>176.3</v>
      </c>
      <c r="I51" s="127"/>
      <c r="J51" s="127"/>
      <c r="K51" s="127"/>
      <c r="L51" s="127"/>
      <c r="M51" s="127">
        <v>118.9</v>
      </c>
      <c r="N51" s="127">
        <v>53.300000000000011</v>
      </c>
      <c r="O51" s="188">
        <v>496.1</v>
      </c>
      <c r="P51" s="164"/>
      <c r="Q51" s="24">
        <f t="shared" si="23"/>
        <v>9856.3999999999978</v>
      </c>
      <c r="R51" s="127">
        <f t="shared" si="5"/>
        <v>9042.5688073394467</v>
      </c>
      <c r="S51" s="5">
        <f t="shared" si="24"/>
        <v>813.8311926605511</v>
      </c>
      <c r="T51" s="94">
        <f t="shared" si="25"/>
        <v>240.39999999999995</v>
      </c>
      <c r="U51" s="71"/>
      <c r="V51" s="61"/>
      <c r="W51" s="13"/>
      <c r="X51" s="112"/>
      <c r="Y51" s="11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28.7</v>
      </c>
      <c r="F52" s="123">
        <v>856.9</v>
      </c>
      <c r="G52" s="123">
        <v>211.15</v>
      </c>
      <c r="H52" s="123">
        <v>10.25</v>
      </c>
      <c r="I52" s="123"/>
      <c r="J52" s="123"/>
      <c r="K52" s="123"/>
      <c r="L52" s="127"/>
      <c r="M52" s="127"/>
      <c r="N52" s="127">
        <v>0</v>
      </c>
      <c r="O52" s="96">
        <v>22.55</v>
      </c>
      <c r="P52" s="164"/>
      <c r="Q52" s="24">
        <f t="shared" si="23"/>
        <v>1129.55</v>
      </c>
      <c r="R52" s="127">
        <f t="shared" si="5"/>
        <v>1036.2844036697247</v>
      </c>
      <c r="S52" s="5">
        <f t="shared" si="24"/>
        <v>93.26559633027523</v>
      </c>
      <c r="T52" s="94">
        <f t="shared" si="25"/>
        <v>55.099999999999994</v>
      </c>
      <c r="U52" s="71"/>
      <c r="V52" s="61">
        <v>20.5</v>
      </c>
      <c r="W52" s="13">
        <f t="shared" ref="W52:W53" si="28">+T52*V52</f>
        <v>1129.55</v>
      </c>
      <c r="X52" s="112"/>
      <c r="Y52" s="11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41</v>
      </c>
      <c r="F53" s="199">
        <v>757.68</v>
      </c>
      <c r="G53" s="199">
        <v>108.24</v>
      </c>
      <c r="H53" s="199">
        <v>21.32</v>
      </c>
      <c r="I53" s="199"/>
      <c r="J53" s="199"/>
      <c r="K53" s="199"/>
      <c r="L53" s="199"/>
      <c r="M53" s="148"/>
      <c r="N53" s="148">
        <v>9.02</v>
      </c>
      <c r="O53" s="482">
        <v>113.16</v>
      </c>
      <c r="P53" s="353"/>
      <c r="Q53" s="359">
        <f t="shared" si="23"/>
        <v>1050.42</v>
      </c>
      <c r="R53" s="140">
        <f t="shared" si="5"/>
        <v>963.6880733944954</v>
      </c>
      <c r="S53" s="6">
        <f t="shared" si="24"/>
        <v>86.731926605504668</v>
      </c>
      <c r="T53" s="22">
        <f t="shared" si="25"/>
        <v>128.10000000000002</v>
      </c>
      <c r="U53" s="71"/>
      <c r="V53" s="61">
        <v>32.799999999999997</v>
      </c>
      <c r="W53" s="13">
        <f t="shared" si="28"/>
        <v>4201.68</v>
      </c>
      <c r="X53" s="112"/>
      <c r="Y53" s="112"/>
    </row>
    <row r="54" spans="1:25" x14ac:dyDescent="0.25"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</row>
    <row r="66" spans="2:2" x14ac:dyDescent="0.25">
      <c r="B66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Z73"/>
  <sheetViews>
    <sheetView zoomScaleNormal="100" workbookViewId="0">
      <pane xSplit="4" ySplit="4" topLeftCell="N11" activePane="bottomRight" state="frozen"/>
      <selection pane="topRight" activeCell="E1" sqref="E1"/>
      <selection pane="bottomLeft" activeCell="A5" sqref="A5"/>
      <selection pane="bottomRight" activeCell="O48" sqref="O48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3" style="1" customWidth="1"/>
    <col min="16" max="16" width="12.6640625" style="1" customWidth="1" outlineLevel="1"/>
    <col min="17" max="17" width="12.33203125" style="1" bestFit="1" customWidth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3320312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4" ht="21.6" customHeight="1" x14ac:dyDescent="0.3">
      <c r="A1" s="40" t="s">
        <v>505</v>
      </c>
      <c r="F1" s="104"/>
      <c r="K1" s="2"/>
      <c r="L1" s="2"/>
      <c r="M1" s="2"/>
      <c r="N1" s="2"/>
      <c r="O1" s="2"/>
      <c r="P1" s="2"/>
    </row>
    <row r="2" spans="1:24" ht="18" customHeight="1" x14ac:dyDescent="0.25">
      <c r="A2" s="1" t="s">
        <v>169</v>
      </c>
      <c r="D2" s="3"/>
      <c r="E2" s="2"/>
      <c r="F2" s="2"/>
      <c r="G2" s="2"/>
      <c r="H2" s="2"/>
      <c r="I2" s="3"/>
      <c r="J2" s="3"/>
      <c r="M2" s="104"/>
      <c r="O2" s="104"/>
      <c r="R2" s="3"/>
      <c r="T2" s="3"/>
    </row>
    <row r="3" spans="1:24" ht="25.8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4" ht="25.8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506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138972.00493150682</v>
      </c>
      <c r="F5" s="82">
        <f t="shared" si="0"/>
        <v>2101155.9797260254</v>
      </c>
      <c r="G5" s="82">
        <f t="shared" si="0"/>
        <v>298655.47000000003</v>
      </c>
      <c r="H5" s="82">
        <f t="shared" si="0"/>
        <v>52970.73721461188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 t="shared" ref="M5:T5" si="1">+M6+M18+M44</f>
        <v>35711.179999999993</v>
      </c>
      <c r="N5" s="192">
        <f>+N6+N18+N44</f>
        <v>22044.606666666674</v>
      </c>
      <c r="O5" s="187">
        <f t="shared" si="1"/>
        <v>254300.60568428042</v>
      </c>
      <c r="P5" s="77">
        <f t="shared" si="1"/>
        <v>0</v>
      </c>
      <c r="Q5" s="42">
        <f t="shared" ref="Q5:Q10" si="2">+SUM(E5:P5)</f>
        <v>2903810.5842230911</v>
      </c>
      <c r="R5" s="42">
        <f t="shared" si="1"/>
        <v>2664046.4075441197</v>
      </c>
      <c r="S5" s="42">
        <f t="shared" si="1"/>
        <v>239764.17667897092</v>
      </c>
      <c r="T5" s="42">
        <f t="shared" si="1"/>
        <v>52244.756382808264</v>
      </c>
      <c r="U5" s="71"/>
      <c r="V5" s="87"/>
      <c r="W5" s="135">
        <f>+W7+W18+W44</f>
        <v>2357161.2831126908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 t="shared" ref="M6:T6" si="4">+M7+M11</f>
        <v>0</v>
      </c>
      <c r="N6" s="192">
        <f>+N7+N11</f>
        <v>0</v>
      </c>
      <c r="O6" s="187">
        <f t="shared" si="4"/>
        <v>0</v>
      </c>
      <c r="P6" s="77">
        <f t="shared" si="4"/>
        <v>0</v>
      </c>
      <c r="Q6" s="42">
        <f t="shared" si="2"/>
        <v>0</v>
      </c>
      <c r="R6" s="42">
        <f t="shared" si="4"/>
        <v>0</v>
      </c>
      <c r="S6" s="42">
        <f t="shared" si="4"/>
        <v>0</v>
      </c>
      <c r="T6" s="44">
        <f t="shared" si="4"/>
        <v>0</v>
      </c>
      <c r="V6" s="61"/>
      <c r="W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:T7" si="6">+SUM(M8:M10)</f>
        <v>0</v>
      </c>
      <c r="N7" s="79">
        <f t="shared" si="6"/>
        <v>0</v>
      </c>
      <c r="O7" s="219">
        <f t="shared" si="6"/>
        <v>0</v>
      </c>
      <c r="P7" s="109">
        <f t="shared" si="6"/>
        <v>0</v>
      </c>
      <c r="Q7" s="43">
        <f t="shared" si="2"/>
        <v>0</v>
      </c>
      <c r="R7" s="79">
        <f t="shared" si="6"/>
        <v>0</v>
      </c>
      <c r="S7" s="79">
        <f t="shared" si="6"/>
        <v>0</v>
      </c>
      <c r="T7" s="226">
        <f t="shared" si="6"/>
        <v>0</v>
      </c>
      <c r="U7" s="71"/>
      <c r="V7" s="134"/>
      <c r="W7" s="105">
        <f>+SUM(W8:W17)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36"/>
      <c r="N8" s="127"/>
      <c r="O8" s="17"/>
      <c r="P8" s="355"/>
      <c r="Q8" s="24">
        <f t="shared" si="2"/>
        <v>0</v>
      </c>
      <c r="R8" s="5">
        <f t="shared" ref="R8:R10" si="7">+Q8/1.09</f>
        <v>0</v>
      </c>
      <c r="S8" s="5">
        <f t="shared" ref="S8:S10" si="8">+Q8-R8</f>
        <v>0</v>
      </c>
      <c r="T8" s="21">
        <f>Q8/D8</f>
        <v>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9">+D8*0.5</f>
        <v>1.75</v>
      </c>
      <c r="E9" s="128"/>
      <c r="F9" s="196"/>
      <c r="G9" s="196"/>
      <c r="H9" s="25"/>
      <c r="I9" s="196"/>
      <c r="J9" s="143"/>
      <c r="K9" s="143"/>
      <c r="L9" s="143"/>
      <c r="M9" s="143"/>
      <c r="N9" s="127"/>
      <c r="O9" s="196"/>
      <c r="P9" s="350"/>
      <c r="Q9" s="24">
        <f t="shared" si="2"/>
        <v>0</v>
      </c>
      <c r="R9" s="26">
        <f t="shared" si="7"/>
        <v>0</v>
      </c>
      <c r="S9" s="26">
        <f t="shared" si="8"/>
        <v>0</v>
      </c>
      <c r="T9" s="39">
        <f>Q9/D9</f>
        <v>0</v>
      </c>
      <c r="U9" s="71"/>
      <c r="V9" s="61">
        <v>1.75</v>
      </c>
      <c r="W9" s="13">
        <f>+T9*V9</f>
        <v>0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8"/>
      <c r="P10" s="360"/>
      <c r="Q10" s="24">
        <f t="shared" si="2"/>
        <v>0</v>
      </c>
      <c r="R10" s="6">
        <f t="shared" si="7"/>
        <v>0</v>
      </c>
      <c r="S10" s="6">
        <f t="shared" si="8"/>
        <v>0</v>
      </c>
      <c r="T10" s="22">
        <f>Q10/D10</f>
        <v>0</v>
      </c>
      <c r="U10" s="71"/>
      <c r="V10" s="107">
        <v>2.8</v>
      </c>
      <c r="W10" s="13">
        <f>+T10*V10</f>
        <v>0</v>
      </c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0">+SUM(E12:E17)</f>
        <v>0</v>
      </c>
      <c r="F11" s="84">
        <f t="shared" si="10"/>
        <v>0</v>
      </c>
      <c r="G11" s="84">
        <f t="shared" si="10"/>
        <v>0</v>
      </c>
      <c r="H11" s="84">
        <f t="shared" si="10"/>
        <v>0</v>
      </c>
      <c r="I11" s="84">
        <f t="shared" si="10"/>
        <v>0</v>
      </c>
      <c r="J11" s="74">
        <f t="shared" si="10"/>
        <v>0</v>
      </c>
      <c r="K11" s="101">
        <f t="shared" si="10"/>
        <v>0</v>
      </c>
      <c r="L11" s="101"/>
      <c r="M11" s="101">
        <f t="shared" ref="M11:T11" si="11">+SUM(M12:M17)</f>
        <v>0</v>
      </c>
      <c r="N11" s="101">
        <f t="shared" si="11"/>
        <v>0</v>
      </c>
      <c r="O11" s="16">
        <f t="shared" si="11"/>
        <v>0</v>
      </c>
      <c r="P11" s="74">
        <f t="shared" si="11"/>
        <v>0</v>
      </c>
      <c r="Q11" s="43">
        <f t="shared" si="11"/>
        <v>0</v>
      </c>
      <c r="R11" s="43">
        <f t="shared" si="11"/>
        <v>0</v>
      </c>
      <c r="S11" s="43">
        <f t="shared" si="11"/>
        <v>0</v>
      </c>
      <c r="T11" s="45">
        <f t="shared" si="11"/>
        <v>0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33"/>
      <c r="N12" s="127"/>
      <c r="O12" s="13"/>
      <c r="P12" s="357"/>
      <c r="Q12" s="24">
        <f t="shared" ref="Q12:Q17" si="12">+SUM(E12:P12)</f>
        <v>0</v>
      </c>
      <c r="R12" s="5">
        <f t="shared" ref="R12:R17" si="13">+Q12/1.09</f>
        <v>0</v>
      </c>
      <c r="S12" s="5">
        <f t="shared" ref="S12:S17" si="14">+Q12-R12</f>
        <v>0</v>
      </c>
      <c r="T12" s="21">
        <f t="shared" ref="T12:T17" si="15">Q12/D12</f>
        <v>0</v>
      </c>
      <c r="U12" s="2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33"/>
      <c r="N13" s="127"/>
      <c r="O13" s="13"/>
      <c r="P13" s="357"/>
      <c r="Q13" s="24">
        <f t="shared" si="12"/>
        <v>0</v>
      </c>
      <c r="R13" s="5">
        <f t="shared" si="13"/>
        <v>0</v>
      </c>
      <c r="S13" s="5">
        <f t="shared" si="14"/>
        <v>0</v>
      </c>
      <c r="T13" s="21">
        <f t="shared" si="15"/>
        <v>0</v>
      </c>
      <c r="U13" s="71"/>
      <c r="V13" s="107">
        <v>1.1000000000000001</v>
      </c>
      <c r="W13" s="13">
        <f t="shared" ref="W13:W14" si="16">+T13*V13</f>
        <v>0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33"/>
      <c r="N14" s="127"/>
      <c r="O14" s="13"/>
      <c r="P14" s="357"/>
      <c r="Q14" s="24">
        <f t="shared" si="12"/>
        <v>0</v>
      </c>
      <c r="R14" s="5">
        <f t="shared" si="13"/>
        <v>0</v>
      </c>
      <c r="S14" s="5">
        <f t="shared" si="14"/>
        <v>0</v>
      </c>
      <c r="T14" s="21">
        <f t="shared" si="15"/>
        <v>0</v>
      </c>
      <c r="U14" s="71"/>
      <c r="V14" s="61">
        <v>1.76</v>
      </c>
      <c r="W14" s="13">
        <f t="shared" si="16"/>
        <v>0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33"/>
      <c r="N15" s="127"/>
      <c r="O15" s="13"/>
      <c r="P15" s="357"/>
      <c r="Q15" s="24">
        <f t="shared" si="12"/>
        <v>0</v>
      </c>
      <c r="R15" s="5">
        <f t="shared" si="13"/>
        <v>0</v>
      </c>
      <c r="S15" s="5">
        <f t="shared" si="14"/>
        <v>0</v>
      </c>
      <c r="T15" s="21">
        <f t="shared" si="15"/>
        <v>0</v>
      </c>
      <c r="U15" s="71"/>
      <c r="V15" s="61"/>
      <c r="W15" s="13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33"/>
      <c r="N16" s="127"/>
      <c r="O16" s="13"/>
      <c r="P16" s="357"/>
      <c r="Q16" s="24">
        <f t="shared" si="12"/>
        <v>0</v>
      </c>
      <c r="R16" s="5">
        <f t="shared" si="13"/>
        <v>0</v>
      </c>
      <c r="S16" s="5">
        <f t="shared" si="14"/>
        <v>0</v>
      </c>
      <c r="T16" s="21">
        <f t="shared" si="15"/>
        <v>0</v>
      </c>
      <c r="U16" s="71"/>
      <c r="V16" s="107">
        <v>1.6</v>
      </c>
      <c r="W16" s="13">
        <f t="shared" ref="W16:W17" si="17">+T16*V16</f>
        <v>0</v>
      </c>
    </row>
    <row r="17" spans="1:26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76"/>
      <c r="N17" s="127"/>
      <c r="O17" s="14"/>
      <c r="P17" s="358"/>
      <c r="Q17" s="24">
        <f t="shared" si="12"/>
        <v>0</v>
      </c>
      <c r="R17" s="5">
        <f t="shared" si="13"/>
        <v>0</v>
      </c>
      <c r="S17" s="5">
        <f t="shared" si="14"/>
        <v>0</v>
      </c>
      <c r="T17" s="22">
        <f t="shared" si="15"/>
        <v>0</v>
      </c>
      <c r="U17" s="71"/>
      <c r="V17" s="61">
        <v>2.56</v>
      </c>
      <c r="W17" s="13">
        <f t="shared" si="17"/>
        <v>0</v>
      </c>
    </row>
    <row r="18" spans="1:26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138551.02493150681</v>
      </c>
      <c r="F18" s="118">
        <f t="shared" ref="F18:T18" si="18">+SUM(F19:F43)</f>
        <v>2093646.9397260253</v>
      </c>
      <c r="G18" s="118">
        <f t="shared" si="18"/>
        <v>297711.10000000003</v>
      </c>
      <c r="H18" s="118">
        <f t="shared" si="18"/>
        <v>52696.687214611877</v>
      </c>
      <c r="I18" s="118">
        <f t="shared" si="18"/>
        <v>0</v>
      </c>
      <c r="J18" s="118">
        <f t="shared" si="18"/>
        <v>0</v>
      </c>
      <c r="K18" s="118">
        <f t="shared" si="18"/>
        <v>0</v>
      </c>
      <c r="L18" s="118"/>
      <c r="M18" s="118">
        <f t="shared" si="18"/>
        <v>35638.439999999995</v>
      </c>
      <c r="N18" s="231">
        <f t="shared" ref="N18" si="19">+SUM(N19:N43)</f>
        <v>21985.566666666673</v>
      </c>
      <c r="O18" s="231">
        <f t="shared" si="18"/>
        <v>253211.71568428041</v>
      </c>
      <c r="P18" s="118">
        <f t="shared" si="18"/>
        <v>0</v>
      </c>
      <c r="Q18" s="42">
        <f>+SUM(Q19:Q43)</f>
        <v>2893441.4742230908</v>
      </c>
      <c r="R18" s="415">
        <f t="shared" si="18"/>
        <v>2654533.4625899913</v>
      </c>
      <c r="S18" s="118">
        <f t="shared" si="18"/>
        <v>238908.01163309935</v>
      </c>
      <c r="T18" s="117">
        <f t="shared" si="18"/>
        <v>51834.223049474931</v>
      </c>
      <c r="U18" s="71"/>
      <c r="V18" s="61"/>
      <c r="W18" s="105">
        <f>+SUM(W19:W42)</f>
        <v>2351905.1931126909</v>
      </c>
    </row>
    <row r="19" spans="1:26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87643.34</v>
      </c>
      <c r="F19" s="92">
        <v>1236059.9999999977</v>
      </c>
      <c r="G19" s="92">
        <v>170340</v>
      </c>
      <c r="H19" s="92">
        <v>27313.333333333332</v>
      </c>
      <c r="I19" s="28"/>
      <c r="J19" s="367"/>
      <c r="K19" s="367"/>
      <c r="L19" s="367"/>
      <c r="M19" s="367">
        <v>21863.33</v>
      </c>
      <c r="N19" s="127">
        <v>13353.333333333336</v>
      </c>
      <c r="O19" s="28">
        <v>124083.3295098877</v>
      </c>
      <c r="P19" s="356"/>
      <c r="Q19" s="24">
        <f t="shared" ref="Q19:Q43" si="20">+SUM(E19:P19)</f>
        <v>1680656.666176552</v>
      </c>
      <c r="R19" s="99">
        <f t="shared" ref="R19:R43" si="21">+Q19/1.09</f>
        <v>1541886.8497032586</v>
      </c>
      <c r="S19" s="153">
        <f>+Q19-R19</f>
        <v>138769.81647329335</v>
      </c>
      <c r="T19" s="94">
        <f t="shared" ref="T19:T42" si="22">Q19/D19</f>
        <v>16806.566661765519</v>
      </c>
      <c r="U19" s="41"/>
      <c r="V19" s="61"/>
      <c r="W19" s="106"/>
      <c r="X19"/>
      <c r="Y19" s="142"/>
      <c r="Z19"/>
    </row>
    <row r="20" spans="1:26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14503.34</v>
      </c>
      <c r="F20" s="48">
        <v>334215.00000000017</v>
      </c>
      <c r="G20" s="48">
        <v>48333.33</v>
      </c>
      <c r="H20" s="48">
        <v>10460</v>
      </c>
      <c r="I20" s="17"/>
      <c r="J20" s="36"/>
      <c r="K20" s="36"/>
      <c r="L20" s="36"/>
      <c r="M20" s="36">
        <v>7831.67</v>
      </c>
      <c r="N20" s="127">
        <v>168.33333333333334</v>
      </c>
      <c r="O20" s="17">
        <v>6731.6664541625978</v>
      </c>
      <c r="P20" s="357"/>
      <c r="Q20" s="24">
        <f t="shared" si="20"/>
        <v>422243.33978749614</v>
      </c>
      <c r="R20" s="5">
        <f t="shared" si="21"/>
        <v>387379.21081421664</v>
      </c>
      <c r="S20" s="152">
        <f t="shared" ref="S20:S43" si="23">+Q20-R20</f>
        <v>34864.128973279498</v>
      </c>
      <c r="T20" s="21">
        <f t="shared" si="22"/>
        <v>8444.8667957499219</v>
      </c>
      <c r="U20" s="41"/>
      <c r="V20" s="61">
        <v>50</v>
      </c>
      <c r="W20" s="13">
        <f t="shared" ref="W20:W21" si="24">+T20*V20</f>
        <v>422243.33978749608</v>
      </c>
      <c r="Y20" s="142"/>
    </row>
    <row r="21" spans="1:26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20932</v>
      </c>
      <c r="F21" s="96">
        <v>316261.33</v>
      </c>
      <c r="G21" s="96">
        <v>50012</v>
      </c>
      <c r="H21" s="96">
        <v>4921.333333333333</v>
      </c>
      <c r="I21" s="17"/>
      <c r="J21" s="36"/>
      <c r="K21" s="36"/>
      <c r="L21" s="36"/>
      <c r="M21" s="36">
        <v>3120.67</v>
      </c>
      <c r="N21" s="127">
        <v>4566.0000000000018</v>
      </c>
      <c r="O21" s="468">
        <f>37224+6.67</f>
        <v>37230.67</v>
      </c>
      <c r="P21" s="355"/>
      <c r="Q21" s="24">
        <f t="shared" si="20"/>
        <v>437044.0033333333</v>
      </c>
      <c r="R21" s="5">
        <f t="shared" si="21"/>
        <v>400957.80122324155</v>
      </c>
      <c r="S21" s="5">
        <f t="shared" si="23"/>
        <v>36086.202110091748</v>
      </c>
      <c r="T21" s="21">
        <f t="shared" si="22"/>
        <v>21852.200166666666</v>
      </c>
      <c r="U21" s="41"/>
      <c r="V21" s="61">
        <v>80</v>
      </c>
      <c r="W21" s="13">
        <f t="shared" si="24"/>
        <v>1748176.0133333332</v>
      </c>
      <c r="Y21" s="142"/>
    </row>
    <row r="22" spans="1:26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13221</v>
      </c>
      <c r="F22" s="48">
        <v>166590</v>
      </c>
      <c r="G22" s="96">
        <v>24537</v>
      </c>
      <c r="H22" s="96">
        <v>5496</v>
      </c>
      <c r="I22" s="17"/>
      <c r="J22" s="36"/>
      <c r="K22" s="36"/>
      <c r="L22" s="36"/>
      <c r="M22" s="36">
        <v>2343</v>
      </c>
      <c r="N22" s="127">
        <v>2757</v>
      </c>
      <c r="O22" s="468">
        <f>52290+3</f>
        <v>52293</v>
      </c>
      <c r="P22" s="357"/>
      <c r="Q22" s="24">
        <f t="shared" si="20"/>
        <v>267237</v>
      </c>
      <c r="R22" s="5">
        <f t="shared" si="21"/>
        <v>245171.5596330275</v>
      </c>
      <c r="S22" s="5">
        <f t="shared" si="23"/>
        <v>22065.4403669725</v>
      </c>
      <c r="T22" s="21">
        <f t="shared" si="22"/>
        <v>2969.3</v>
      </c>
      <c r="U22" s="41"/>
      <c r="V22" s="61"/>
      <c r="W22" s="13"/>
      <c r="Y22" s="142"/>
    </row>
    <row r="23" spans="1:26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468</v>
      </c>
      <c r="F23" s="96">
        <v>9690</v>
      </c>
      <c r="G23" s="96">
        <v>1320</v>
      </c>
      <c r="H23" s="96">
        <v>409.5</v>
      </c>
      <c r="I23" s="17"/>
      <c r="J23" s="36"/>
      <c r="K23" s="36"/>
      <c r="L23" s="36"/>
      <c r="M23" s="36">
        <v>87</v>
      </c>
      <c r="N23" s="127">
        <v>58.5</v>
      </c>
      <c r="O23" s="17">
        <v>2083.5</v>
      </c>
      <c r="P23" s="357"/>
      <c r="Q23" s="24">
        <f t="shared" si="20"/>
        <v>14116.5</v>
      </c>
      <c r="R23" s="5">
        <f t="shared" si="21"/>
        <v>12950.91743119266</v>
      </c>
      <c r="S23" s="5">
        <f t="shared" si="23"/>
        <v>1165.5825688073401</v>
      </c>
      <c r="T23" s="21">
        <f t="shared" si="22"/>
        <v>313.7</v>
      </c>
      <c r="U23" s="35"/>
      <c r="V23" s="61">
        <v>45</v>
      </c>
      <c r="W23" s="13">
        <f t="shared" ref="W23:W24" si="25">+T23*V23</f>
        <v>14116.5</v>
      </c>
      <c r="Y23" s="142"/>
    </row>
    <row r="24" spans="1:26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673.2</v>
      </c>
      <c r="F24" s="96">
        <v>5719.2</v>
      </c>
      <c r="G24" s="96">
        <v>808.2</v>
      </c>
      <c r="H24" s="96">
        <v>201.00000000000003</v>
      </c>
      <c r="I24" s="17"/>
      <c r="J24" s="36"/>
      <c r="K24" s="36"/>
      <c r="L24" s="36"/>
      <c r="M24" s="36">
        <v>54.6</v>
      </c>
      <c r="N24" s="127">
        <v>229.2</v>
      </c>
      <c r="O24" s="468">
        <f>2463.6+12</f>
        <v>2475.6</v>
      </c>
      <c r="P24" s="357"/>
      <c r="Q24" s="24">
        <f t="shared" si="20"/>
        <v>10161</v>
      </c>
      <c r="R24" s="5">
        <f t="shared" si="21"/>
        <v>9322.0183486238529</v>
      </c>
      <c r="S24" s="5">
        <f t="shared" si="23"/>
        <v>838.98165137614706</v>
      </c>
      <c r="T24" s="21">
        <f t="shared" si="22"/>
        <v>564.5</v>
      </c>
      <c r="U24" s="35"/>
      <c r="V24" s="61">
        <v>72</v>
      </c>
      <c r="W24" s="13">
        <f t="shared" si="25"/>
        <v>40644</v>
      </c>
      <c r="Y24" s="142"/>
    </row>
    <row r="25" spans="1:26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/>
      <c r="F25" s="96">
        <v>4623.3333333333339</v>
      </c>
      <c r="G25" s="96">
        <v>0</v>
      </c>
      <c r="H25" s="96">
        <v>253.33333333333334</v>
      </c>
      <c r="I25" s="17"/>
      <c r="J25" s="36"/>
      <c r="K25" s="36"/>
      <c r="L25" s="36"/>
      <c r="M25" s="36"/>
      <c r="N25" s="127">
        <v>216.66666666666686</v>
      </c>
      <c r="O25" s="17">
        <v>5569.9999578857423</v>
      </c>
      <c r="P25" s="357"/>
      <c r="Q25" s="24">
        <f t="shared" si="20"/>
        <v>10663.333291219076</v>
      </c>
      <c r="R25" s="5">
        <f t="shared" si="21"/>
        <v>9782.8745791000692</v>
      </c>
      <c r="S25" s="5">
        <f t="shared" si="23"/>
        <v>880.45871211900703</v>
      </c>
      <c r="T25" s="21">
        <f t="shared" si="22"/>
        <v>35.544444304063589</v>
      </c>
      <c r="U25" s="35"/>
      <c r="V25" s="61"/>
      <c r="W25" s="13"/>
      <c r="Y25" s="142"/>
    </row>
    <row r="26" spans="1:26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/>
      <c r="F26" s="96">
        <v>3951.666666666667</v>
      </c>
      <c r="G26" s="96">
        <v>628.33000000000004</v>
      </c>
      <c r="H26" s="96">
        <v>1205</v>
      </c>
      <c r="I26" s="17"/>
      <c r="J26" s="36"/>
      <c r="K26" s="36"/>
      <c r="L26" s="36"/>
      <c r="M26" s="36">
        <v>148.33000000000001</v>
      </c>
      <c r="N26" s="127">
        <v>0</v>
      </c>
      <c r="O26" s="17">
        <v>999.99999023437499</v>
      </c>
      <c r="P26" s="357"/>
      <c r="Q26" s="24">
        <f t="shared" si="20"/>
        <v>6933.326656901042</v>
      </c>
      <c r="R26" s="5">
        <f t="shared" si="21"/>
        <v>6360.8501439459096</v>
      </c>
      <c r="S26" s="5">
        <f t="shared" si="23"/>
        <v>572.47651295513242</v>
      </c>
      <c r="T26" s="21">
        <f t="shared" si="22"/>
        <v>46.222177712673613</v>
      </c>
      <c r="U26" s="35"/>
      <c r="V26" s="61">
        <v>150</v>
      </c>
      <c r="W26" s="13">
        <f t="shared" ref="W26:W42" si="26">+T26*V26</f>
        <v>6933.326656901042</v>
      </c>
      <c r="Y26" s="142"/>
    </row>
    <row r="27" spans="1:26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587.33000000000004</v>
      </c>
      <c r="F27" s="96">
        <v>9070.67</v>
      </c>
      <c r="G27" s="96">
        <v>1080</v>
      </c>
      <c r="H27" s="96">
        <v>433.33333333333331</v>
      </c>
      <c r="I27" s="17"/>
      <c r="J27" s="36"/>
      <c r="K27" s="36"/>
      <c r="L27" s="36"/>
      <c r="M27" s="36">
        <v>152</v>
      </c>
      <c r="N27" s="127">
        <v>497.33333333333292</v>
      </c>
      <c r="O27" s="17">
        <v>8254.67</v>
      </c>
      <c r="P27" s="357"/>
      <c r="Q27" s="24">
        <f t="shared" si="20"/>
        <v>20075.336666666666</v>
      </c>
      <c r="R27" s="5">
        <f t="shared" si="21"/>
        <v>18417.740061162076</v>
      </c>
      <c r="S27" s="5">
        <f t="shared" si="23"/>
        <v>1657.5966055045901</v>
      </c>
      <c r="T27" s="21">
        <f t="shared" si="22"/>
        <v>334.58894444444445</v>
      </c>
      <c r="U27" s="35"/>
      <c r="V27" s="61">
        <v>240</v>
      </c>
      <c r="W27" s="13">
        <f t="shared" si="26"/>
        <v>80301.346666666665</v>
      </c>
      <c r="Y27" s="142"/>
    </row>
    <row r="28" spans="1:26" ht="14.4" x14ac:dyDescent="0.3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6">
        <v>1335</v>
      </c>
      <c r="G28" s="96"/>
      <c r="H28" s="96">
        <v>210</v>
      </c>
      <c r="I28" s="17"/>
      <c r="J28" s="36"/>
      <c r="K28" s="36"/>
      <c r="L28" s="36"/>
      <c r="M28" s="36"/>
      <c r="N28" s="127">
        <v>0</v>
      </c>
      <c r="O28" s="17">
        <v>3255</v>
      </c>
      <c r="P28" s="357"/>
      <c r="Q28" s="24">
        <f t="shared" si="20"/>
        <v>4800</v>
      </c>
      <c r="R28" s="5">
        <f t="shared" si="21"/>
        <v>4403.6697247706416</v>
      </c>
      <c r="S28" s="5">
        <f t="shared" si="23"/>
        <v>396.33027522935845</v>
      </c>
      <c r="T28" s="21">
        <f t="shared" si="22"/>
        <v>17.777777777777779</v>
      </c>
      <c r="U28" s="35"/>
      <c r="V28" s="61"/>
      <c r="W28" s="13"/>
      <c r="Y28" s="142"/>
    </row>
    <row r="29" spans="1:26" ht="14.4" x14ac:dyDescent="0.3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6">
        <v>126</v>
      </c>
      <c r="G29" s="96"/>
      <c r="H29" s="96"/>
      <c r="I29" s="17"/>
      <c r="J29" s="36"/>
      <c r="K29" s="36"/>
      <c r="L29" s="36"/>
      <c r="M29" s="36"/>
      <c r="N29" s="127">
        <v>0</v>
      </c>
      <c r="O29" s="17"/>
      <c r="P29" s="357"/>
      <c r="Q29" s="24">
        <f t="shared" si="20"/>
        <v>126</v>
      </c>
      <c r="R29" s="5">
        <f t="shared" si="21"/>
        <v>115.59633027522935</v>
      </c>
      <c r="S29" s="5">
        <f t="shared" si="23"/>
        <v>10.403669724770651</v>
      </c>
      <c r="T29" s="21">
        <f t="shared" si="22"/>
        <v>0.93333333333333335</v>
      </c>
      <c r="U29" s="35"/>
      <c r="V29" s="61">
        <v>135</v>
      </c>
      <c r="W29" s="13">
        <f t="shared" si="26"/>
        <v>126</v>
      </c>
      <c r="Y29" s="142"/>
    </row>
    <row r="30" spans="1:26" ht="14.4" x14ac:dyDescent="0.3">
      <c r="A30" s="46" t="s">
        <v>78</v>
      </c>
      <c r="B30" s="53" t="s">
        <v>126</v>
      </c>
      <c r="C30" s="59" t="s">
        <v>182</v>
      </c>
      <c r="D30" s="60">
        <v>54</v>
      </c>
      <c r="E30" s="120">
        <v>126</v>
      </c>
      <c r="F30" s="96">
        <v>217.2</v>
      </c>
      <c r="G30" s="96">
        <v>42</v>
      </c>
      <c r="H30" s="96">
        <v>96</v>
      </c>
      <c r="I30" s="17"/>
      <c r="J30" s="36"/>
      <c r="K30" s="36"/>
      <c r="L30" s="36"/>
      <c r="M30" s="36"/>
      <c r="N30" s="127">
        <v>37.200000000000045</v>
      </c>
      <c r="O30" s="17">
        <v>1026.5999999999999</v>
      </c>
      <c r="P30" s="357"/>
      <c r="Q30" s="24">
        <f t="shared" si="20"/>
        <v>1545</v>
      </c>
      <c r="R30" s="5">
        <f t="shared" si="21"/>
        <v>1417.4311926605503</v>
      </c>
      <c r="S30" s="5">
        <f t="shared" si="23"/>
        <v>127.56880733944968</v>
      </c>
      <c r="T30" s="21">
        <f t="shared" si="22"/>
        <v>28.611111111111111</v>
      </c>
      <c r="U30" s="35"/>
      <c r="V30" s="61">
        <v>216</v>
      </c>
      <c r="W30" s="13">
        <f t="shared" si="26"/>
        <v>6180</v>
      </c>
      <c r="Y30" s="142"/>
    </row>
    <row r="31" spans="1:26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6">
        <v>1090</v>
      </c>
      <c r="G31" s="96"/>
      <c r="H31" s="96">
        <v>510</v>
      </c>
      <c r="I31" s="17"/>
      <c r="J31" s="36"/>
      <c r="K31" s="36"/>
      <c r="L31" s="36"/>
      <c r="M31" s="36"/>
      <c r="N31" s="127">
        <v>0</v>
      </c>
      <c r="O31" s="17">
        <v>0</v>
      </c>
      <c r="P31" s="357"/>
      <c r="Q31" s="24">
        <f t="shared" si="20"/>
        <v>1600</v>
      </c>
      <c r="R31" s="5">
        <f t="shared" si="21"/>
        <v>1467.8899082568805</v>
      </c>
      <c r="S31" s="5">
        <f t="shared" si="23"/>
        <v>132.11009174311948</v>
      </c>
      <c r="T31" s="21">
        <f t="shared" si="22"/>
        <v>2.6666666666666665</v>
      </c>
      <c r="U31" s="35"/>
      <c r="V31" s="61"/>
      <c r="W31" s="13"/>
      <c r="Y31" s="142"/>
    </row>
    <row r="32" spans="1:26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/>
      <c r="F32" s="96"/>
      <c r="G32" s="96"/>
      <c r="H32" s="96">
        <v>270</v>
      </c>
      <c r="I32" s="17"/>
      <c r="J32" s="36"/>
      <c r="K32" s="36"/>
      <c r="L32" s="36"/>
      <c r="M32" s="36"/>
      <c r="N32" s="127">
        <v>0</v>
      </c>
      <c r="O32" s="17">
        <v>275</v>
      </c>
      <c r="P32" s="357"/>
      <c r="Q32" s="24">
        <f t="shared" si="20"/>
        <v>545</v>
      </c>
      <c r="R32" s="5">
        <f t="shared" si="21"/>
        <v>499.99999999999994</v>
      </c>
      <c r="S32" s="5">
        <f t="shared" si="23"/>
        <v>45.000000000000057</v>
      </c>
      <c r="T32" s="21">
        <f t="shared" si="22"/>
        <v>1.8166666666666667</v>
      </c>
      <c r="U32" s="35"/>
      <c r="V32" s="61">
        <v>300</v>
      </c>
      <c r="W32" s="13">
        <f t="shared" si="26"/>
        <v>545</v>
      </c>
      <c r="Y32" s="142"/>
    </row>
    <row r="33" spans="1:26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105.33</v>
      </c>
      <c r="F33" s="96">
        <v>1302.6666666666667</v>
      </c>
      <c r="G33" s="96">
        <v>114.67</v>
      </c>
      <c r="H33" s="96">
        <v>111.33333333333333</v>
      </c>
      <c r="I33" s="17"/>
      <c r="J33" s="36"/>
      <c r="K33" s="36"/>
      <c r="L33" s="36"/>
      <c r="M33" s="36"/>
      <c r="N33" s="127">
        <v>102.00000000000017</v>
      </c>
      <c r="O33" s="17">
        <v>4421.33</v>
      </c>
      <c r="P33" s="357"/>
      <c r="Q33" s="24">
        <f t="shared" si="20"/>
        <v>6157.33</v>
      </c>
      <c r="R33" s="5">
        <f t="shared" si="21"/>
        <v>5648.9266055045864</v>
      </c>
      <c r="S33" s="5">
        <f t="shared" si="23"/>
        <v>508.40339449541352</v>
      </c>
      <c r="T33" s="21">
        <f t="shared" si="22"/>
        <v>51.311083333333336</v>
      </c>
      <c r="U33" s="35"/>
      <c r="V33" s="61">
        <v>480</v>
      </c>
      <c r="W33" s="13">
        <f t="shared" si="26"/>
        <v>24629.32</v>
      </c>
      <c r="Y33" s="142"/>
    </row>
    <row r="34" spans="1:26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6"/>
      <c r="G34" s="96"/>
      <c r="H34" s="96"/>
      <c r="I34" s="17"/>
      <c r="J34" s="36"/>
      <c r="K34" s="36"/>
      <c r="L34" s="36"/>
      <c r="M34" s="36"/>
      <c r="N34" s="127">
        <v>0</v>
      </c>
      <c r="O34" s="17">
        <v>2973</v>
      </c>
      <c r="P34" s="357"/>
      <c r="Q34" s="24">
        <f t="shared" si="20"/>
        <v>2973</v>
      </c>
      <c r="R34" s="5">
        <f t="shared" si="21"/>
        <v>2727.5229357798162</v>
      </c>
      <c r="S34" s="5">
        <f t="shared" si="23"/>
        <v>245.47706422018382</v>
      </c>
      <c r="T34" s="21">
        <f t="shared" si="22"/>
        <v>5.5055555555555555</v>
      </c>
      <c r="U34" s="35"/>
      <c r="V34" s="61"/>
      <c r="W34" s="13"/>
      <c r="Y34" s="142"/>
    </row>
    <row r="35" spans="1:26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6"/>
      <c r="G35" s="96"/>
      <c r="H35" s="96"/>
      <c r="I35" s="17"/>
      <c r="J35" s="36"/>
      <c r="K35" s="36"/>
      <c r="L35" s="36"/>
      <c r="M35" s="36"/>
      <c r="N35" s="127">
        <v>0</v>
      </c>
      <c r="O35" s="17"/>
      <c r="P35" s="357"/>
      <c r="Q35" s="24">
        <f t="shared" si="20"/>
        <v>0</v>
      </c>
      <c r="R35" s="5">
        <f t="shared" si="21"/>
        <v>0</v>
      </c>
      <c r="S35" s="5">
        <f t="shared" si="23"/>
        <v>0</v>
      </c>
      <c r="T35" s="21">
        <f t="shared" si="22"/>
        <v>0</v>
      </c>
      <c r="U35" s="35"/>
      <c r="V35" s="61">
        <v>270</v>
      </c>
      <c r="W35" s="13">
        <f t="shared" si="26"/>
        <v>0</v>
      </c>
      <c r="Y35" s="142"/>
    </row>
    <row r="36" spans="1:26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>
        <v>214.8</v>
      </c>
      <c r="F36" s="96">
        <v>91.8</v>
      </c>
      <c r="G36" s="96"/>
      <c r="H36" s="96"/>
      <c r="I36" s="17"/>
      <c r="J36" s="36"/>
      <c r="K36" s="36"/>
      <c r="L36" s="36"/>
      <c r="M36" s="36"/>
      <c r="N36" s="127">
        <v>0</v>
      </c>
      <c r="O36" s="17">
        <v>395.4</v>
      </c>
      <c r="P36" s="357"/>
      <c r="Q36" s="24">
        <f t="shared" si="20"/>
        <v>702</v>
      </c>
      <c r="R36" s="5">
        <f t="shared" si="21"/>
        <v>644.03669724770634</v>
      </c>
      <c r="S36" s="5">
        <f t="shared" si="23"/>
        <v>57.963302752293657</v>
      </c>
      <c r="T36" s="21">
        <f t="shared" si="22"/>
        <v>6.5</v>
      </c>
      <c r="U36" s="35"/>
      <c r="V36" s="61">
        <v>432</v>
      </c>
      <c r="W36" s="13">
        <f t="shared" si="26"/>
        <v>2808</v>
      </c>
      <c r="Y36" s="142"/>
    </row>
    <row r="37" spans="1:26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6"/>
      <c r="G37" s="96"/>
      <c r="H37" s="96"/>
      <c r="I37" s="17"/>
      <c r="J37" s="36"/>
      <c r="K37" s="36"/>
      <c r="L37" s="36"/>
      <c r="M37" s="36"/>
      <c r="N37" s="127">
        <v>0</v>
      </c>
      <c r="O37" s="17"/>
      <c r="P37" s="357"/>
      <c r="Q37" s="24">
        <f t="shared" si="20"/>
        <v>0</v>
      </c>
      <c r="R37" s="5">
        <f t="shared" si="21"/>
        <v>0</v>
      </c>
      <c r="S37" s="5">
        <f t="shared" si="23"/>
        <v>0</v>
      </c>
      <c r="T37" s="21">
        <f t="shared" si="22"/>
        <v>0</v>
      </c>
      <c r="U37" s="35"/>
      <c r="V37" s="61"/>
      <c r="W37" s="13"/>
      <c r="Y37" s="142"/>
    </row>
    <row r="38" spans="1:26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6">
        <v>445</v>
      </c>
      <c r="G38" s="96"/>
      <c r="H38" s="96"/>
      <c r="I38" s="17"/>
      <c r="J38" s="36"/>
      <c r="K38" s="36"/>
      <c r="L38" s="36"/>
      <c r="M38" s="36"/>
      <c r="N38" s="127">
        <v>0</v>
      </c>
      <c r="O38" s="17"/>
      <c r="P38" s="357"/>
      <c r="Q38" s="24">
        <f t="shared" si="20"/>
        <v>445</v>
      </c>
      <c r="R38" s="5">
        <f t="shared" si="21"/>
        <v>408.25688073394491</v>
      </c>
      <c r="S38" s="5">
        <f t="shared" si="23"/>
        <v>36.743119266055089</v>
      </c>
      <c r="T38" s="21">
        <f t="shared" si="22"/>
        <v>0.98888888888888893</v>
      </c>
      <c r="U38" s="35"/>
      <c r="V38" s="61">
        <v>450</v>
      </c>
      <c r="W38" s="13">
        <f t="shared" si="26"/>
        <v>445</v>
      </c>
      <c r="Y38" s="142"/>
    </row>
    <row r="39" spans="1:26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6">
        <v>675.33333333333326</v>
      </c>
      <c r="G39" s="96">
        <v>178.67</v>
      </c>
      <c r="H39" s="96"/>
      <c r="I39" s="17"/>
      <c r="J39" s="36"/>
      <c r="K39" s="36"/>
      <c r="L39" s="36"/>
      <c r="M39" s="36"/>
      <c r="N39" s="127">
        <v>0</v>
      </c>
      <c r="O39" s="17">
        <v>335.33333374023437</v>
      </c>
      <c r="P39" s="357"/>
      <c r="Q39" s="24">
        <f t="shared" si="20"/>
        <v>1189.3366670735677</v>
      </c>
      <c r="R39" s="5">
        <f t="shared" si="21"/>
        <v>1091.1345569482271</v>
      </c>
      <c r="S39" s="5">
        <f t="shared" si="23"/>
        <v>98.202110125340596</v>
      </c>
      <c r="T39" s="21">
        <f t="shared" si="22"/>
        <v>6.6074259281864869</v>
      </c>
      <c r="U39" s="35"/>
      <c r="V39" s="61">
        <v>720</v>
      </c>
      <c r="W39" s="13">
        <f t="shared" si="26"/>
        <v>4757.3466682942708</v>
      </c>
      <c r="Y39" s="142"/>
    </row>
    <row r="40" spans="1:26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6"/>
      <c r="G40" s="96"/>
      <c r="H40" s="96"/>
      <c r="I40" s="17"/>
      <c r="J40" s="36"/>
      <c r="K40" s="36"/>
      <c r="L40" s="36"/>
      <c r="M40" s="36"/>
      <c r="N40" s="127">
        <v>0</v>
      </c>
      <c r="O40" s="17">
        <v>798</v>
      </c>
      <c r="P40" s="357"/>
      <c r="Q40" s="24">
        <f t="shared" si="20"/>
        <v>798</v>
      </c>
      <c r="R40" s="5">
        <f t="shared" si="21"/>
        <v>732.11009174311926</v>
      </c>
      <c r="S40" s="5">
        <f t="shared" si="23"/>
        <v>65.889908256880744</v>
      </c>
      <c r="T40" s="21">
        <f t="shared" si="22"/>
        <v>0.98518518518518516</v>
      </c>
      <c r="U40" s="71"/>
      <c r="V40" s="61"/>
      <c r="W40" s="13"/>
      <c r="Y40" s="142"/>
    </row>
    <row r="41" spans="1:26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6"/>
      <c r="G41" s="96"/>
      <c r="H41" s="96"/>
      <c r="I41" s="17"/>
      <c r="J41" s="36"/>
      <c r="K41" s="36"/>
      <c r="L41" s="36"/>
      <c r="M41" s="36"/>
      <c r="N41" s="127">
        <v>0</v>
      </c>
      <c r="O41" s="17"/>
      <c r="P41" s="357"/>
      <c r="Q41" s="24">
        <f t="shared" si="20"/>
        <v>0</v>
      </c>
      <c r="R41" s="5">
        <f t="shared" si="21"/>
        <v>0</v>
      </c>
      <c r="S41" s="5">
        <f t="shared" si="23"/>
        <v>0</v>
      </c>
      <c r="T41" s="21">
        <f t="shared" si="22"/>
        <v>0</v>
      </c>
      <c r="U41" s="71"/>
      <c r="V41" s="61">
        <v>405</v>
      </c>
      <c r="W41" s="13">
        <f t="shared" si="26"/>
        <v>0</v>
      </c>
      <c r="Y41" s="142"/>
    </row>
    <row r="42" spans="1:26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433"/>
      <c r="G42" s="433"/>
      <c r="H42" s="433"/>
      <c r="I42" s="196"/>
      <c r="J42" s="143"/>
      <c r="K42" s="143"/>
      <c r="L42" s="143"/>
      <c r="M42" s="143"/>
      <c r="N42" s="221">
        <v>0</v>
      </c>
      <c r="O42" s="196"/>
      <c r="P42" s="358"/>
      <c r="Q42" s="24">
        <f t="shared" si="20"/>
        <v>0</v>
      </c>
      <c r="R42" s="26">
        <f t="shared" si="21"/>
        <v>0</v>
      </c>
      <c r="S42" s="26">
        <f t="shared" si="23"/>
        <v>0</v>
      </c>
      <c r="T42" s="39">
        <f t="shared" si="22"/>
        <v>0</v>
      </c>
      <c r="U42" s="71"/>
      <c r="V42" s="61">
        <v>648</v>
      </c>
      <c r="W42" s="13">
        <f t="shared" si="26"/>
        <v>0</v>
      </c>
      <c r="Y42" s="14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76.68493150684931</v>
      </c>
      <c r="F43" s="124">
        <v>2182.7397260273974</v>
      </c>
      <c r="G43" s="124">
        <v>316.89999999999998</v>
      </c>
      <c r="H43" s="124">
        <v>806.52054794520529</v>
      </c>
      <c r="I43" s="124"/>
      <c r="J43" s="124"/>
      <c r="K43" s="124"/>
      <c r="L43" s="124"/>
      <c r="M43" s="124">
        <v>37.840000000000003</v>
      </c>
      <c r="N43" s="124">
        <v>0</v>
      </c>
      <c r="O43" s="148">
        <v>9.616438369750977</v>
      </c>
      <c r="P43" s="352"/>
      <c r="Q43" s="24">
        <f t="shared" si="20"/>
        <v>3430.3016438492032</v>
      </c>
      <c r="R43" s="124">
        <f t="shared" si="21"/>
        <v>3147.0657283020209</v>
      </c>
      <c r="S43" s="6">
        <f t="shared" si="23"/>
        <v>283.23591554718223</v>
      </c>
      <c r="T43" s="22">
        <f>+Q43/D43</f>
        <v>343.03016438492034</v>
      </c>
      <c r="U43" s="71"/>
      <c r="V43" s="61"/>
      <c r="W43" s="13"/>
      <c r="X43" s="2"/>
      <c r="Y43" s="1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420.97999999999996</v>
      </c>
      <c r="F44" s="82">
        <f>+SUM(F45:F53)</f>
        <v>7509.04</v>
      </c>
      <c r="G44" s="82">
        <f>+SUM(G45:G53)</f>
        <v>944.36999999999989</v>
      </c>
      <c r="H44" s="82">
        <f>+SUM(H45:H53)</f>
        <v>274.04999999999995</v>
      </c>
      <c r="I44" s="82">
        <f t="shared" ref="I44:T44" si="27">+SUM(I45:I53)</f>
        <v>0</v>
      </c>
      <c r="J44" s="82">
        <f t="shared" si="27"/>
        <v>0</v>
      </c>
      <c r="K44" s="187">
        <f t="shared" si="27"/>
        <v>0</v>
      </c>
      <c r="L44" s="187"/>
      <c r="M44" s="187">
        <f t="shared" si="27"/>
        <v>72.739999999999995</v>
      </c>
      <c r="N44" s="187">
        <f t="shared" si="27"/>
        <v>59.040000000000006</v>
      </c>
      <c r="O44" s="187">
        <f t="shared" si="27"/>
        <v>1088.8899999999999</v>
      </c>
      <c r="P44" s="100">
        <f t="shared" si="27"/>
        <v>0</v>
      </c>
      <c r="Q44" s="42">
        <f>+SUM(Q45:Q53)</f>
        <v>10369.11</v>
      </c>
      <c r="R44" s="82">
        <f t="shared" si="27"/>
        <v>9512.9449541284412</v>
      </c>
      <c r="S44" s="82">
        <f t="shared" si="27"/>
        <v>856.1650458715601</v>
      </c>
      <c r="T44" s="19">
        <f t="shared" si="27"/>
        <v>410.53333333333336</v>
      </c>
      <c r="U44" s="71"/>
      <c r="V44" s="61"/>
      <c r="W44" s="105">
        <f>+SUM(W45:W68)</f>
        <v>5256.09</v>
      </c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75"/>
      <c r="N45" s="127"/>
      <c r="O45" s="308"/>
      <c r="P45" s="356"/>
      <c r="Q45" s="24">
        <f t="shared" ref="Q45:Q53" si="28">+SUM(E45:P45)</f>
        <v>0</v>
      </c>
      <c r="R45" s="99">
        <f t="shared" ref="R45:R53" si="29">+Q45/1.09</f>
        <v>0</v>
      </c>
      <c r="S45" s="64">
        <f t="shared" ref="S45:S53" si="30">+Q45-R45</f>
        <v>0</v>
      </c>
      <c r="T45" s="85">
        <f t="shared" ref="T45:T53" si="31">Q45/D45</f>
        <v>0</v>
      </c>
      <c r="U45" s="71"/>
      <c r="V45" s="61"/>
      <c r="W45" s="13"/>
      <c r="X45"/>
      <c r="Y45" s="142"/>
      <c r="Z45"/>
    </row>
    <row r="46" spans="1:26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33"/>
      <c r="N46" s="127"/>
      <c r="O46" s="13"/>
      <c r="P46" s="357"/>
      <c r="Q46" s="24">
        <f t="shared" si="28"/>
        <v>0</v>
      </c>
      <c r="R46" s="5">
        <f t="shared" si="29"/>
        <v>0</v>
      </c>
      <c r="S46" s="5">
        <f t="shared" si="30"/>
        <v>0</v>
      </c>
      <c r="T46" s="31">
        <f t="shared" si="31"/>
        <v>0</v>
      </c>
      <c r="U46" s="71"/>
      <c r="V46" s="61">
        <v>6</v>
      </c>
      <c r="W46" s="13">
        <f t="shared" ref="W46:W47" si="32">+T46*V46</f>
        <v>0</v>
      </c>
      <c r="Y46" s="142"/>
    </row>
    <row r="47" spans="1:26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33"/>
      <c r="N47" s="127"/>
      <c r="O47" s="13"/>
      <c r="P47" s="357"/>
      <c r="Q47" s="24">
        <f t="shared" si="28"/>
        <v>0</v>
      </c>
      <c r="R47" s="5">
        <f t="shared" si="29"/>
        <v>0</v>
      </c>
      <c r="S47" s="5">
        <f t="shared" si="30"/>
        <v>0</v>
      </c>
      <c r="T47" s="31">
        <f t="shared" si="31"/>
        <v>0</v>
      </c>
      <c r="U47" s="71"/>
      <c r="V47" s="61">
        <v>9.6</v>
      </c>
      <c r="W47" s="13">
        <f t="shared" si="32"/>
        <v>0</v>
      </c>
      <c r="Y47" s="142"/>
    </row>
    <row r="48" spans="1:26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14</v>
      </c>
      <c r="F48" s="13">
        <v>259</v>
      </c>
      <c r="G48" s="13">
        <v>42</v>
      </c>
      <c r="H48" s="13"/>
      <c r="I48" s="13"/>
      <c r="J48" s="33"/>
      <c r="K48" s="33"/>
      <c r="L48" s="33"/>
      <c r="M48" s="33"/>
      <c r="N48" s="127"/>
      <c r="O48" s="13"/>
      <c r="P48" s="357"/>
      <c r="Q48" s="24">
        <f t="shared" si="28"/>
        <v>315</v>
      </c>
      <c r="R48" s="5">
        <f t="shared" si="29"/>
        <v>288.99082568807336</v>
      </c>
      <c r="S48" s="5">
        <f t="shared" si="30"/>
        <v>26.009174311926643</v>
      </c>
      <c r="T48" s="31">
        <f t="shared" si="31"/>
        <v>15</v>
      </c>
      <c r="U48" s="71"/>
      <c r="V48" s="61"/>
      <c r="W48" s="13"/>
      <c r="Y48" s="142"/>
    </row>
    <row r="49" spans="1:25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>
        <v>7</v>
      </c>
      <c r="F49" s="13">
        <v>28</v>
      </c>
      <c r="G49" s="13">
        <v>7</v>
      </c>
      <c r="H49" s="13"/>
      <c r="I49" s="13"/>
      <c r="J49" s="33"/>
      <c r="K49" s="33"/>
      <c r="L49" s="33"/>
      <c r="M49" s="33"/>
      <c r="N49" s="127"/>
      <c r="O49" s="13">
        <v>10.5</v>
      </c>
      <c r="P49" s="357"/>
      <c r="Q49" s="24">
        <f t="shared" si="28"/>
        <v>52.5</v>
      </c>
      <c r="R49" s="5">
        <f t="shared" si="29"/>
        <v>48.165137614678898</v>
      </c>
      <c r="S49" s="5">
        <f t="shared" si="30"/>
        <v>4.3348623853211024</v>
      </c>
      <c r="T49" s="21">
        <f t="shared" si="31"/>
        <v>5</v>
      </c>
      <c r="U49" s="71"/>
      <c r="V49" s="61">
        <v>10.5</v>
      </c>
      <c r="W49" s="13">
        <f t="shared" ref="W49:W50" si="33">+T49*V49</f>
        <v>52.5</v>
      </c>
      <c r="Y49" s="142"/>
    </row>
    <row r="50" spans="1:25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15.4</v>
      </c>
      <c r="F50" s="13">
        <v>127.4</v>
      </c>
      <c r="G50" s="13">
        <v>2.8</v>
      </c>
      <c r="H50" s="13">
        <v>1.4000000000000001</v>
      </c>
      <c r="I50" s="13"/>
      <c r="J50" s="33"/>
      <c r="K50" s="33"/>
      <c r="L50" s="33"/>
      <c r="M50" s="33">
        <v>1.4</v>
      </c>
      <c r="N50" s="127"/>
      <c r="O50" s="13">
        <v>21</v>
      </c>
      <c r="P50" s="357"/>
      <c r="Q50" s="24">
        <f t="shared" si="28"/>
        <v>169.40000000000003</v>
      </c>
      <c r="R50" s="5">
        <f t="shared" si="29"/>
        <v>155.41284403669727</v>
      </c>
      <c r="S50" s="5">
        <f t="shared" si="30"/>
        <v>13.987155963302769</v>
      </c>
      <c r="T50" s="21">
        <f t="shared" si="31"/>
        <v>40.333333333333343</v>
      </c>
      <c r="U50" s="71"/>
      <c r="V50" s="61">
        <v>16.8</v>
      </c>
      <c r="W50" s="13">
        <f t="shared" si="33"/>
        <v>677.60000000000014</v>
      </c>
      <c r="Y50" s="142"/>
    </row>
    <row r="51" spans="1:25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344.4</v>
      </c>
      <c r="F51" s="13">
        <v>5764.6</v>
      </c>
      <c r="G51" s="13">
        <v>688.8</v>
      </c>
      <c r="H51" s="13">
        <v>266.5</v>
      </c>
      <c r="I51" s="13"/>
      <c r="J51" s="33"/>
      <c r="K51" s="33"/>
      <c r="L51" s="33"/>
      <c r="M51" s="33">
        <v>53.3</v>
      </c>
      <c r="N51" s="127">
        <v>36.900000000000006</v>
      </c>
      <c r="O51" s="13">
        <v>914.3</v>
      </c>
      <c r="P51" s="357"/>
      <c r="Q51" s="24">
        <f t="shared" si="28"/>
        <v>8068.8</v>
      </c>
      <c r="R51" s="5">
        <f t="shared" si="29"/>
        <v>7402.5688073394494</v>
      </c>
      <c r="S51" s="5">
        <f t="shared" si="30"/>
        <v>666.23119266055073</v>
      </c>
      <c r="T51" s="21">
        <f t="shared" si="31"/>
        <v>196.8</v>
      </c>
      <c r="U51" s="71"/>
      <c r="V51" s="61"/>
      <c r="W51" s="13"/>
      <c r="Y51" s="142"/>
    </row>
    <row r="52" spans="1:25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4.0999999999999996</v>
      </c>
      <c r="F52" s="13">
        <v>709.3</v>
      </c>
      <c r="G52" s="13">
        <v>96.35</v>
      </c>
      <c r="H52" s="13">
        <v>6.1499999999999995</v>
      </c>
      <c r="I52" s="13"/>
      <c r="J52" s="33"/>
      <c r="K52" s="33"/>
      <c r="L52" s="33"/>
      <c r="M52" s="33">
        <v>12.3</v>
      </c>
      <c r="N52" s="127">
        <v>0</v>
      </c>
      <c r="O52" s="13">
        <v>14.35</v>
      </c>
      <c r="P52" s="357"/>
      <c r="Q52" s="24">
        <f t="shared" si="28"/>
        <v>842.55</v>
      </c>
      <c r="R52" s="5">
        <f t="shared" si="29"/>
        <v>772.98165137614671</v>
      </c>
      <c r="S52" s="5">
        <f t="shared" si="30"/>
        <v>69.56834862385324</v>
      </c>
      <c r="T52" s="21">
        <f t="shared" si="31"/>
        <v>41.099999999999994</v>
      </c>
      <c r="U52" s="71"/>
      <c r="V52" s="61">
        <v>20.5</v>
      </c>
      <c r="W52" s="13">
        <f t="shared" ref="W52:W53" si="34">+T52*V52</f>
        <v>842.54999999999984</v>
      </c>
      <c r="Y52" s="142"/>
    </row>
    <row r="53" spans="1:25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36.08</v>
      </c>
      <c r="F53" s="14">
        <v>620.74</v>
      </c>
      <c r="G53" s="14">
        <v>107.42</v>
      </c>
      <c r="H53" s="14">
        <v>0</v>
      </c>
      <c r="I53" s="14"/>
      <c r="J53" s="76"/>
      <c r="K53" s="76"/>
      <c r="L53" s="76"/>
      <c r="M53" s="76">
        <v>5.74</v>
      </c>
      <c r="N53" s="148">
        <v>22.14</v>
      </c>
      <c r="O53" s="14">
        <v>128.74</v>
      </c>
      <c r="P53" s="224"/>
      <c r="Q53" s="359">
        <f t="shared" si="28"/>
        <v>920.86</v>
      </c>
      <c r="R53" s="6">
        <f t="shared" si="29"/>
        <v>844.82568807339442</v>
      </c>
      <c r="S53" s="6">
        <f t="shared" si="30"/>
        <v>76.034311926605596</v>
      </c>
      <c r="T53" s="22">
        <f t="shared" si="31"/>
        <v>112.30000000000001</v>
      </c>
      <c r="U53" s="35"/>
      <c r="V53" s="61">
        <v>32.799999999999997</v>
      </c>
      <c r="W53" s="13">
        <f t="shared" si="34"/>
        <v>3683.44</v>
      </c>
      <c r="Y53" s="14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Y73"/>
  <sheetViews>
    <sheetView topLeftCell="M40" zoomScaleNormal="100" workbookViewId="0">
      <selection activeCell="W46" sqref="W46:W53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10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1.88671875" style="1" customWidth="1"/>
    <col min="16" max="16" width="11.88671875" style="1" customWidth="1" outlineLevel="1"/>
    <col min="17" max="17" width="12.33203125" style="1" bestFit="1" customWidth="1"/>
    <col min="18" max="18" width="12.33203125" style="1" customWidth="1"/>
    <col min="19" max="19" width="13.109375" style="1" bestFit="1" customWidth="1"/>
    <col min="20" max="20" width="12.33203125" style="1" bestFit="1" customWidth="1"/>
    <col min="21" max="21" width="7.5546875" style="1" customWidth="1"/>
    <col min="22" max="22" width="6.44140625" style="1" customWidth="1" outlineLevel="1"/>
    <col min="23" max="23" width="13.33203125" style="2" customWidth="1" outlineLevel="1"/>
    <col min="24" max="24" width="11.33203125" style="1" bestFit="1" customWidth="1"/>
    <col min="25" max="25" width="9.5546875" style="1" bestFit="1" customWidth="1"/>
    <col min="26" max="16384" width="8.88671875" style="1"/>
  </cols>
  <sheetData>
    <row r="1" spans="1:25" ht="16.95" customHeight="1" x14ac:dyDescent="0.3">
      <c r="A1" s="40" t="s">
        <v>505</v>
      </c>
      <c r="D1" s="202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25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5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270"/>
      <c r="W3" s="584" t="s">
        <v>449</v>
      </c>
    </row>
    <row r="4" spans="1:25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453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5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T5" si="0">+E6+E18+E44</f>
        <v>372839.02780821919</v>
      </c>
      <c r="F5" s="82">
        <f t="shared" si="0"/>
        <v>6525510.6899086805</v>
      </c>
      <c r="G5" s="82">
        <f t="shared" si="0"/>
        <v>966611.78999999992</v>
      </c>
      <c r="H5" s="82">
        <f t="shared" si="0"/>
        <v>155211.18611872147</v>
      </c>
      <c r="I5" s="187">
        <f t="shared" si="0"/>
        <v>599492.94999999995</v>
      </c>
      <c r="J5" s="187">
        <f t="shared" si="0"/>
        <v>833725.2</v>
      </c>
      <c r="K5" s="192">
        <f t="shared" si="0"/>
        <v>956203.35</v>
      </c>
      <c r="L5" s="192">
        <f t="shared" si="0"/>
        <v>437.24000000002036</v>
      </c>
      <c r="M5" s="187">
        <f t="shared" si="0"/>
        <v>103464.84999999999</v>
      </c>
      <c r="N5" s="187">
        <f t="shared" si="0"/>
        <v>155112.80191780822</v>
      </c>
      <c r="O5" s="187">
        <f t="shared" si="0"/>
        <v>644235.51749610913</v>
      </c>
      <c r="P5" s="187">
        <f t="shared" si="0"/>
        <v>28.500000000000004</v>
      </c>
      <c r="Q5" s="42">
        <f t="shared" ref="Q5:Q10" si="1">+SUM(E5:P5)</f>
        <v>11312873.103249537</v>
      </c>
      <c r="R5" s="42">
        <f t="shared" si="0"/>
        <v>10378782.663531685</v>
      </c>
      <c r="S5" s="42">
        <f t="shared" si="0"/>
        <v>934090.43971785239</v>
      </c>
      <c r="T5" s="44">
        <f t="shared" si="0"/>
        <v>2417726.5456198002</v>
      </c>
      <c r="U5" s="71"/>
      <c r="V5" s="87"/>
      <c r="W5" s="135">
        <f>+W6+W18+W44</f>
        <v>7070723.2071216842</v>
      </c>
      <c r="X5" s="2"/>
      <c r="Y5" s="2"/>
    </row>
    <row r="6" spans="1:25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T6" si="2">+E7+E11</f>
        <v>91062.78</v>
      </c>
      <c r="F6" s="82">
        <f t="shared" si="2"/>
        <v>1698168.3400000003</v>
      </c>
      <c r="G6" s="82">
        <f t="shared" si="2"/>
        <v>238541.55999999994</v>
      </c>
      <c r="H6" s="82">
        <f t="shared" si="2"/>
        <v>33990.94</v>
      </c>
      <c r="I6" s="187">
        <f t="shared" si="2"/>
        <v>599492.94999999995</v>
      </c>
      <c r="J6" s="187">
        <f t="shared" si="2"/>
        <v>833725.2</v>
      </c>
      <c r="K6" s="192">
        <f t="shared" si="2"/>
        <v>956203.35</v>
      </c>
      <c r="L6" s="192">
        <f t="shared" si="2"/>
        <v>437.24000000002036</v>
      </c>
      <c r="M6" s="187">
        <f t="shared" si="2"/>
        <v>24280.84</v>
      </c>
      <c r="N6" s="187">
        <f t="shared" si="2"/>
        <v>104440</v>
      </c>
      <c r="O6" s="187">
        <f t="shared" si="2"/>
        <v>143028.41999999998</v>
      </c>
      <c r="P6" s="187">
        <f t="shared" si="2"/>
        <v>28.500000000000004</v>
      </c>
      <c r="Q6" s="42">
        <f t="shared" si="1"/>
        <v>4723400.12</v>
      </c>
      <c r="R6" s="42">
        <f t="shared" si="2"/>
        <v>4333394.6055045873</v>
      </c>
      <c r="S6" s="42">
        <f t="shared" si="2"/>
        <v>390005.51449541305</v>
      </c>
      <c r="T6" s="44">
        <f t="shared" si="2"/>
        <v>2269017.5863636364</v>
      </c>
      <c r="V6" s="61"/>
      <c r="W6" s="105">
        <f>+SUM(W8:W17)</f>
        <v>1016481.4699999999</v>
      </c>
      <c r="X6" s="2"/>
      <c r="Y6" s="2"/>
    </row>
    <row r="7" spans="1:25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T7" si="3">+SUM(E8:E10)</f>
        <v>0</v>
      </c>
      <c r="F7" s="269">
        <f t="shared" si="3"/>
        <v>0</v>
      </c>
      <c r="G7" s="126">
        <f t="shared" si="3"/>
        <v>0</v>
      </c>
      <c r="H7" s="126">
        <f t="shared" si="3"/>
        <v>0</v>
      </c>
      <c r="I7" s="126">
        <f t="shared" si="3"/>
        <v>599492.94999999995</v>
      </c>
      <c r="J7" s="126">
        <f t="shared" si="3"/>
        <v>833725.2</v>
      </c>
      <c r="K7" s="126">
        <f t="shared" si="3"/>
        <v>0</v>
      </c>
      <c r="L7" s="126">
        <f t="shared" si="3"/>
        <v>0</v>
      </c>
      <c r="M7" s="269">
        <f t="shared" si="3"/>
        <v>0</v>
      </c>
      <c r="N7" s="269">
        <f t="shared" si="3"/>
        <v>0</v>
      </c>
      <c r="O7" s="126">
        <f t="shared" si="3"/>
        <v>0</v>
      </c>
      <c r="P7" s="126">
        <f t="shared" si="3"/>
        <v>0</v>
      </c>
      <c r="Q7" s="43">
        <f>+SUM(E7:P7)</f>
        <v>1433218.15</v>
      </c>
      <c r="R7" s="43">
        <f t="shared" si="3"/>
        <v>1314879.0366972475</v>
      </c>
      <c r="S7" s="43">
        <f t="shared" si="3"/>
        <v>118339.11330275238</v>
      </c>
      <c r="T7" s="45">
        <f t="shared" si="3"/>
        <v>522073</v>
      </c>
      <c r="U7" s="71"/>
      <c r="V7" s="134"/>
      <c r="W7" s="105"/>
      <c r="X7" s="2"/>
      <c r="Y7" s="2"/>
    </row>
    <row r="8" spans="1:25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+R_2014_11_priskirta!E9+'R_2014_11_atkelta(viso)'!E8</f>
        <v>0</v>
      </c>
      <c r="F8" s="127">
        <f>+R_2014_11_priskirta!F9+'R_2014_11_atkelta(viso)'!F8</f>
        <v>0</v>
      </c>
      <c r="G8" s="127">
        <f>+R_2014_11_priskirta!G9+'R_2014_11_atkelta(viso)'!G8</f>
        <v>0</v>
      </c>
      <c r="H8" s="127">
        <f>+R_2014_11_priskirta!H9+'R_2014_11_atkelta(viso)'!H8</f>
        <v>0</v>
      </c>
      <c r="I8" s="127">
        <f>+R_2014_11_priskirta!I9+'R_2014_11_atkelta(viso)'!I8</f>
        <v>416447.5</v>
      </c>
      <c r="J8" s="127">
        <f>+R_2014_11_priskirta!J9+'R_2014_11_atkelta(viso)'!J8</f>
        <v>636135.5</v>
      </c>
      <c r="K8" s="127">
        <f>+R_2014_11_priskirta!K9+'R_2014_11_atkelta(viso)'!K8</f>
        <v>0</v>
      </c>
      <c r="L8" s="127">
        <f>+R_2014_11_priskirta!L9+'R_2014_11_atkelta(viso)'!L8</f>
        <v>0</v>
      </c>
      <c r="M8" s="127">
        <f>+R_2014_11_priskirta!M9+'R_2014_11_atkelta(viso)'!M8</f>
        <v>0</v>
      </c>
      <c r="N8" s="127">
        <f>+R_2014_11_priskirta!N9+'R_2014_11_atkelta(viso)'!N8</f>
        <v>0</v>
      </c>
      <c r="O8" s="127">
        <f>+R_2014_11_priskirta!O9+'R_2014_11_atkelta(viso)'!O8</f>
        <v>0</v>
      </c>
      <c r="P8" s="127">
        <f>+R_2014_11_priskirta!P9+'R_2014_11_atkelta(viso)'!P8</f>
        <v>0</v>
      </c>
      <c r="Q8" s="24">
        <f t="shared" si="1"/>
        <v>1052583</v>
      </c>
      <c r="R8" s="229">
        <f>+Q8/1.09</f>
        <v>965672.47706422012</v>
      </c>
      <c r="S8" s="73">
        <f t="shared" ref="S8:S10" si="4">+Q8-R8</f>
        <v>86910.522935779882</v>
      </c>
      <c r="T8" s="39">
        <f>Q8/D8</f>
        <v>300738</v>
      </c>
      <c r="U8" s="71"/>
      <c r="V8" s="61"/>
      <c r="W8" s="13"/>
      <c r="X8" s="2"/>
      <c r="Y8" s="2"/>
    </row>
    <row r="9" spans="1:25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+R_2014_11_priskirta!E10+'R_2014_11_atkelta(viso)'!E9</f>
        <v>0</v>
      </c>
      <c r="F9" s="127">
        <f>+R_2014_11_priskirta!F10+'R_2014_11_atkelta(viso)'!F9</f>
        <v>0</v>
      </c>
      <c r="G9" s="127">
        <f>+R_2014_11_priskirta!G10+'R_2014_11_atkelta(viso)'!G9</f>
        <v>0</v>
      </c>
      <c r="H9" s="127">
        <f>+R_2014_11_priskirta!H10+'R_2014_11_atkelta(viso)'!H9</f>
        <v>0</v>
      </c>
      <c r="I9" s="127">
        <f>+R_2014_11_priskirta!I10+'R_2014_11_atkelta(viso)'!I9</f>
        <v>181371.75</v>
      </c>
      <c r="J9" s="127">
        <f>+R_2014_11_priskirta!J10+'R_2014_11_atkelta(viso)'!J9</f>
        <v>194796</v>
      </c>
      <c r="K9" s="127">
        <f>+R_2014_11_priskirta!K10+'R_2014_11_atkelta(viso)'!K9</f>
        <v>0</v>
      </c>
      <c r="L9" s="127">
        <f>+R_2014_11_priskirta!L10+'R_2014_11_atkelta(viso)'!L9</f>
        <v>0</v>
      </c>
      <c r="M9" s="127">
        <f>+R_2014_11_priskirta!M10+'R_2014_11_atkelta(viso)'!M9</f>
        <v>0</v>
      </c>
      <c r="N9" s="127">
        <f>+R_2014_11_priskirta!N10+'R_2014_11_atkelta(viso)'!N9</f>
        <v>0</v>
      </c>
      <c r="O9" s="127">
        <f>+R_2014_11_priskirta!O10+'R_2014_11_atkelta(viso)'!O9</f>
        <v>0</v>
      </c>
      <c r="P9" s="127">
        <f>+R_2014_11_priskirta!P10+'R_2014_11_atkelta(viso)'!P9</f>
        <v>0</v>
      </c>
      <c r="Q9" s="24">
        <f t="shared" si="1"/>
        <v>376167.75</v>
      </c>
      <c r="R9" s="229">
        <f t="shared" ref="R9:R53" si="6">+Q9/1.09</f>
        <v>345108.02752293576</v>
      </c>
      <c r="S9" s="207">
        <f t="shared" si="4"/>
        <v>31059.722477064235</v>
      </c>
      <c r="T9" s="39">
        <f>Q9/D9</f>
        <v>214953</v>
      </c>
      <c r="U9" s="71"/>
      <c r="V9" s="61">
        <v>1.75</v>
      </c>
      <c r="W9" s="13">
        <f>+T9*V9</f>
        <v>376167.75</v>
      </c>
      <c r="X9" s="2"/>
      <c r="Y9" s="2"/>
    </row>
    <row r="10" spans="1:25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+R_2014_11_priskirta!E11+'R_2014_11_atkelta(viso)'!E10</f>
        <v>0</v>
      </c>
      <c r="F10" s="127">
        <f>+R_2014_11_priskirta!F11+'R_2014_11_atkelta(viso)'!F10</f>
        <v>0</v>
      </c>
      <c r="G10" s="127">
        <f>+R_2014_11_priskirta!G11+'R_2014_11_atkelta(viso)'!G10</f>
        <v>0</v>
      </c>
      <c r="H10" s="127">
        <f>+R_2014_11_priskirta!H11+'R_2014_11_atkelta(viso)'!H10</f>
        <v>0</v>
      </c>
      <c r="I10" s="127">
        <f>+R_2014_11_priskirta!I11+'R_2014_11_atkelta(viso)'!I10</f>
        <v>1673.7</v>
      </c>
      <c r="J10" s="127">
        <f>+R_2014_11_priskirta!J11+'R_2014_11_atkelta(viso)'!J10</f>
        <v>2793.7</v>
      </c>
      <c r="K10" s="127">
        <f>+R_2014_11_priskirta!K11+'R_2014_11_atkelta(viso)'!K10</f>
        <v>0</v>
      </c>
      <c r="L10" s="127">
        <f>+R_2014_11_priskirta!L11+'R_2014_11_atkelta(viso)'!L10</f>
        <v>0</v>
      </c>
      <c r="M10" s="127">
        <f>+R_2014_11_priskirta!M11+'R_2014_11_atkelta(viso)'!M10</f>
        <v>0</v>
      </c>
      <c r="N10" s="127">
        <f>+R_2014_11_priskirta!N11+'R_2014_11_atkelta(viso)'!N10</f>
        <v>0</v>
      </c>
      <c r="O10" s="127">
        <f>+R_2014_11_priskirta!O11+'R_2014_11_atkelta(viso)'!O10</f>
        <v>0</v>
      </c>
      <c r="P10" s="127">
        <f>+R_2014_11_priskirta!P11+'R_2014_11_atkelta(viso)'!P10</f>
        <v>0</v>
      </c>
      <c r="Q10" s="24">
        <f t="shared" si="1"/>
        <v>4467.3999999999996</v>
      </c>
      <c r="R10" s="229">
        <f t="shared" si="6"/>
        <v>4098.5321100917427</v>
      </c>
      <c r="S10" s="207">
        <f t="shared" si="4"/>
        <v>368.86788990825698</v>
      </c>
      <c r="T10" s="39">
        <f>Q10/D10</f>
        <v>6382</v>
      </c>
      <c r="U10" s="71"/>
      <c r="V10" s="107">
        <v>2.8</v>
      </c>
      <c r="W10" s="13">
        <f>+T10*V10</f>
        <v>17869.599999999999</v>
      </c>
      <c r="X10" s="2"/>
      <c r="Y10" s="2"/>
    </row>
    <row r="11" spans="1:25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91062.78</v>
      </c>
      <c r="F11" s="84">
        <f t="shared" si="7"/>
        <v>1698168.3400000003</v>
      </c>
      <c r="G11" s="84">
        <f t="shared" si="7"/>
        <v>238541.55999999994</v>
      </c>
      <c r="H11" s="84">
        <f t="shared" si="7"/>
        <v>33990.94</v>
      </c>
      <c r="I11" s="84">
        <f t="shared" si="7"/>
        <v>0</v>
      </c>
      <c r="J11" s="74">
        <f t="shared" si="7"/>
        <v>0</v>
      </c>
      <c r="K11" s="101">
        <f t="shared" si="7"/>
        <v>956203.35</v>
      </c>
      <c r="L11" s="101">
        <f t="shared" si="7"/>
        <v>437.24000000002036</v>
      </c>
      <c r="M11" s="101">
        <f t="shared" ref="M11:T11" si="8">+SUM(M12:M17)</f>
        <v>24280.84</v>
      </c>
      <c r="N11" s="101">
        <f t="shared" ref="N11" si="9">+SUM(N12:N17)</f>
        <v>104440</v>
      </c>
      <c r="O11" s="101">
        <f t="shared" si="8"/>
        <v>143028.41999999998</v>
      </c>
      <c r="P11" s="101">
        <f t="shared" ref="P11:Q11" si="10">+SUM(P12:P17)</f>
        <v>28.500000000000004</v>
      </c>
      <c r="Q11" s="43">
        <f t="shared" si="10"/>
        <v>3290181.97</v>
      </c>
      <c r="R11" s="43">
        <f t="shared" si="8"/>
        <v>3018515.5688073393</v>
      </c>
      <c r="S11" s="72">
        <f t="shared" si="8"/>
        <v>271666.40119266068</v>
      </c>
      <c r="T11" s="45">
        <f t="shared" si="8"/>
        <v>1746944.5863636364</v>
      </c>
      <c r="U11" s="71"/>
      <c r="V11" s="61"/>
      <c r="W11" s="13"/>
      <c r="X11" s="2"/>
      <c r="Y11" s="2"/>
    </row>
    <row r="12" spans="1:25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+R_2014_11_priskirta!E13+'R_2014_11_atkelta(viso)'!E12</f>
        <v>73480</v>
      </c>
      <c r="F12" s="127">
        <f>+R_2014_11_priskirta!F13+'R_2014_11_atkelta(viso)'!F12</f>
        <v>1284351.2000000002</v>
      </c>
      <c r="G12" s="127">
        <f>+R_2014_11_priskirta!G13+'R_2014_11_atkelta(viso)'!G12</f>
        <v>173342.39999999997</v>
      </c>
      <c r="H12" s="127">
        <f>+R_2014_11_priskirta!H13+'R_2014_11_atkelta(viso)'!H12</f>
        <v>24569.599999999999</v>
      </c>
      <c r="I12" s="127">
        <f>+R_2014_11_priskirta!I13+'R_2014_11_atkelta(viso)'!I12</f>
        <v>0</v>
      </c>
      <c r="J12" s="127">
        <f>+R_2014_11_priskirta!J13+'R_2014_11_atkelta(viso)'!J12</f>
        <v>0</v>
      </c>
      <c r="K12" s="127">
        <f>+R_2014_11_priskirta!K13+'R_2014_11_atkelta(viso)'!K12</f>
        <v>727773.84</v>
      </c>
      <c r="L12" s="127">
        <f>+R_2014_11_priskirta!L13+'R_2014_11_atkelta(viso)'!L12</f>
        <v>312.40000000002328</v>
      </c>
      <c r="M12" s="127">
        <f>+R_2014_11_priskirta!M13+'R_2014_11_atkelta(viso)'!M12</f>
        <v>16189.8</v>
      </c>
      <c r="N12" s="127">
        <f>+R_2014_11_priskirta!N13+'R_2014_11_atkelta(viso)'!N12</f>
        <v>91225.2</v>
      </c>
      <c r="O12" s="127">
        <f>+R_2014_11_priskirta!O13+'R_2014_11_atkelta(viso)'!O12</f>
        <v>125831.2</v>
      </c>
      <c r="P12" s="127">
        <f>+R_2014_11_priskirta!P13+'R_2014_11_atkelta(viso)'!P12</f>
        <v>24.200000000000003</v>
      </c>
      <c r="Q12" s="24">
        <f t="shared" ref="Q12:Q17" si="11">+SUM(E12:P12)</f>
        <v>2517099.8400000003</v>
      </c>
      <c r="R12" s="229">
        <f>+Q12/1.09</f>
        <v>2309265.9082568809</v>
      </c>
      <c r="S12" s="73">
        <f t="shared" ref="S12:S17" si="12">+Q12-R12</f>
        <v>207833.93174311938</v>
      </c>
      <c r="T12" s="39">
        <f>Q12/D12</f>
        <v>1144136.290909091</v>
      </c>
      <c r="U12" s="71"/>
      <c r="V12" s="61"/>
      <c r="W12" s="13"/>
      <c r="X12" s="2"/>
      <c r="Y12" s="2"/>
    </row>
    <row r="13" spans="1:25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+R_2014_11_priskirta!E14+'R_2014_11_atkelta(viso)'!E13</f>
        <v>16208.500000000002</v>
      </c>
      <c r="F13" s="127">
        <f>+R_2014_11_priskirta!F14+'R_2014_11_atkelta(viso)'!F13</f>
        <v>386061.50000000006</v>
      </c>
      <c r="G13" s="127">
        <f>+R_2014_11_priskirta!G14+'R_2014_11_atkelta(viso)'!G13</f>
        <v>59901.599999999991</v>
      </c>
      <c r="H13" s="127">
        <f>+R_2014_11_priskirta!H14+'R_2014_11_atkelta(viso)'!H13</f>
        <v>8977.0999999999985</v>
      </c>
      <c r="I13" s="127">
        <f>+R_2014_11_priskirta!I14+'R_2014_11_atkelta(viso)'!I13</f>
        <v>0</v>
      </c>
      <c r="J13" s="127">
        <f>+R_2014_11_priskirta!J14+'R_2014_11_atkelta(viso)'!J13</f>
        <v>0</v>
      </c>
      <c r="K13" s="127">
        <f>+R_2014_11_priskirta!K14+'R_2014_11_atkelta(viso)'!K13</f>
        <v>79284.7</v>
      </c>
      <c r="L13" s="127">
        <f>+R_2014_11_priskirta!L14+'R_2014_11_atkelta(viso)'!L13</f>
        <v>33</v>
      </c>
      <c r="M13" s="127">
        <f>+R_2014_11_priskirta!M14+'R_2014_11_atkelta(viso)'!M13</f>
        <v>7684.6</v>
      </c>
      <c r="N13" s="127">
        <f>+R_2014_11_priskirta!N14+'R_2014_11_atkelta(viso)'!N13</f>
        <v>2646.6</v>
      </c>
      <c r="O13" s="127">
        <f>+R_2014_11_priskirta!O14+'R_2014_11_atkelta(viso)'!O13</f>
        <v>8785.7000000000007</v>
      </c>
      <c r="P13" s="127">
        <f>+R_2014_11_priskirta!P14+'R_2014_11_atkelta(viso)'!P13</f>
        <v>1.1000000000000001</v>
      </c>
      <c r="Q13" s="24">
        <f t="shared" si="11"/>
        <v>569584.39999999991</v>
      </c>
      <c r="R13" s="229">
        <f t="shared" ref="R13:R17" si="13">+Q13/1.09</f>
        <v>522554.49541284388</v>
      </c>
      <c r="S13" s="73">
        <f t="shared" si="12"/>
        <v>47029.904587156023</v>
      </c>
      <c r="T13" s="39">
        <f t="shared" ref="T13:T17" si="14">Q13/D13</f>
        <v>517803.99999999988</v>
      </c>
      <c r="U13" s="71"/>
      <c r="V13" s="107">
        <v>1.1000000000000001</v>
      </c>
      <c r="W13" s="13">
        <f t="shared" ref="W13:W14" si="15">+T13*V13</f>
        <v>569584.39999999991</v>
      </c>
      <c r="X13" s="2"/>
      <c r="Y13" s="2"/>
    </row>
    <row r="14" spans="1:25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+R_2014_11_priskirta!E15+'R_2014_11_atkelta(viso)'!E14</f>
        <v>200.2</v>
      </c>
      <c r="F14" s="127">
        <f>+R_2014_11_priskirta!F15+'R_2014_11_atkelta(viso)'!F14</f>
        <v>3879.48</v>
      </c>
      <c r="G14" s="127">
        <f>+R_2014_11_priskirta!G15+'R_2014_11_atkelta(viso)'!G14</f>
        <v>663.96</v>
      </c>
      <c r="H14" s="127">
        <f>+R_2014_11_priskirta!H15+'R_2014_11_atkelta(viso)'!H14</f>
        <v>143.44</v>
      </c>
      <c r="I14" s="127">
        <f>+R_2014_11_priskirta!I15+'R_2014_11_atkelta(viso)'!I14</f>
        <v>0</v>
      </c>
      <c r="J14" s="127">
        <f>+R_2014_11_priskirta!J15+'R_2014_11_atkelta(viso)'!J14</f>
        <v>0</v>
      </c>
      <c r="K14" s="127">
        <f>+R_2014_11_priskirta!K15+'R_2014_11_atkelta(viso)'!K14</f>
        <v>1163.05</v>
      </c>
      <c r="L14" s="127">
        <f>+R_2014_11_priskirta!L15+'R_2014_11_atkelta(viso)'!L14</f>
        <v>0</v>
      </c>
      <c r="M14" s="127">
        <f>+R_2014_11_priskirta!M15+'R_2014_11_atkelta(viso)'!M14</f>
        <v>110.44</v>
      </c>
      <c r="N14" s="127">
        <f>+R_2014_11_priskirta!N15+'R_2014_11_atkelta(viso)'!N14</f>
        <v>583.88</v>
      </c>
      <c r="O14" s="127">
        <f>+R_2014_11_priskirta!O15+'R_2014_11_atkelta(viso)'!O14</f>
        <v>144.32</v>
      </c>
      <c r="P14" s="127">
        <f>+R_2014_11_priskirta!P15+'R_2014_11_atkelta(viso)'!P14</f>
        <v>0</v>
      </c>
      <c r="Q14" s="24">
        <f t="shared" si="11"/>
        <v>6888.7699999999986</v>
      </c>
      <c r="R14" s="229">
        <f t="shared" si="13"/>
        <v>6319.9724770642188</v>
      </c>
      <c r="S14" s="73">
        <f t="shared" si="12"/>
        <v>568.79752293577985</v>
      </c>
      <c r="T14" s="39">
        <f t="shared" si="14"/>
        <v>15656.295454545452</v>
      </c>
      <c r="U14" s="71"/>
      <c r="V14" s="61">
        <v>1.76</v>
      </c>
      <c r="W14" s="13">
        <f t="shared" si="15"/>
        <v>27555.079999999994</v>
      </c>
      <c r="X14" s="2"/>
      <c r="Y14" s="2"/>
    </row>
    <row r="15" spans="1:25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+R_2014_11_priskirta!E16+'R_2014_11_atkelta(viso)'!E15</f>
        <v>886.40000000000009</v>
      </c>
      <c r="F15" s="127">
        <f>+R_2014_11_priskirta!F16+'R_2014_11_atkelta(viso)'!F15</f>
        <v>19580.8</v>
      </c>
      <c r="G15" s="127">
        <f>+R_2014_11_priskirta!G16+'R_2014_11_atkelta(viso)'!G15</f>
        <v>3696</v>
      </c>
      <c r="H15" s="127">
        <f>+R_2014_11_priskirta!H16+'R_2014_11_atkelta(viso)'!H15</f>
        <v>176</v>
      </c>
      <c r="I15" s="127">
        <f>+R_2014_11_priskirta!I16+'R_2014_11_atkelta(viso)'!I15</f>
        <v>0</v>
      </c>
      <c r="J15" s="127">
        <f>+R_2014_11_priskirta!J16+'R_2014_11_atkelta(viso)'!J15</f>
        <v>0</v>
      </c>
      <c r="K15" s="127">
        <f>+R_2014_11_priskirta!K16+'R_2014_11_atkelta(viso)'!K15</f>
        <v>131609.60000000001</v>
      </c>
      <c r="L15" s="127">
        <f>+R_2014_11_priskirta!L16+'R_2014_11_atkelta(viso)'!L15</f>
        <v>86.399999999994179</v>
      </c>
      <c r="M15" s="127">
        <f>+R_2014_11_priskirta!M16+'R_2014_11_atkelta(viso)'!M15</f>
        <v>169.6</v>
      </c>
      <c r="N15" s="127">
        <f>+R_2014_11_priskirta!N16+'R_2014_11_atkelta(viso)'!N15</f>
        <v>9395.2000000000007</v>
      </c>
      <c r="O15" s="127">
        <f>+R_2014_11_priskirta!O16+'R_2014_11_atkelta(viso)'!O15</f>
        <v>7446.4</v>
      </c>
      <c r="P15" s="127">
        <f>+R_2014_11_priskirta!P16+'R_2014_11_atkelta(viso)'!P15</f>
        <v>3.2</v>
      </c>
      <c r="Q15" s="24">
        <f t="shared" si="11"/>
        <v>173049.60000000003</v>
      </c>
      <c r="R15" s="229">
        <f t="shared" si="13"/>
        <v>158761.10091743121</v>
      </c>
      <c r="S15" s="73">
        <f t="shared" si="12"/>
        <v>14288.499082568829</v>
      </c>
      <c r="T15" s="39">
        <f t="shared" si="14"/>
        <v>54078.000000000007</v>
      </c>
      <c r="U15" s="71"/>
      <c r="V15" s="61"/>
      <c r="W15" s="13"/>
      <c r="X15" s="2"/>
      <c r="Y15" s="2"/>
    </row>
    <row r="16" spans="1:2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+R_2014_11_priskirta!E17+'R_2014_11_atkelta(viso)'!E16</f>
        <v>244.8</v>
      </c>
      <c r="F16" s="127">
        <f>+R_2014_11_priskirta!F17+'R_2014_11_atkelta(viso)'!F16</f>
        <v>4209.6000000000004</v>
      </c>
      <c r="G16" s="127">
        <f>+R_2014_11_priskirta!G17+'R_2014_11_atkelta(viso)'!G16</f>
        <v>931.2</v>
      </c>
      <c r="H16" s="127">
        <f>+R_2014_11_priskirta!H17+'R_2014_11_atkelta(viso)'!H16</f>
        <v>118.4</v>
      </c>
      <c r="I16" s="127">
        <f>+R_2014_11_priskirta!I17+'R_2014_11_atkelta(viso)'!I16</f>
        <v>0</v>
      </c>
      <c r="J16" s="127">
        <f>+R_2014_11_priskirta!J17+'R_2014_11_atkelta(viso)'!J16</f>
        <v>0</v>
      </c>
      <c r="K16" s="127">
        <f>+R_2014_11_priskirta!K17+'R_2014_11_atkelta(viso)'!K16</f>
        <v>16097.6</v>
      </c>
      <c r="L16" s="127">
        <f>+R_2014_11_priskirta!L17+'R_2014_11_atkelta(viso)'!L16</f>
        <v>4.8000000000029104</v>
      </c>
      <c r="M16" s="127">
        <f>+R_2014_11_priskirta!M17+'R_2014_11_atkelta(viso)'!M16</f>
        <v>126.4</v>
      </c>
      <c r="N16" s="127">
        <f>+R_2014_11_priskirta!N17+'R_2014_11_atkelta(viso)'!N16</f>
        <v>424</v>
      </c>
      <c r="O16" s="127">
        <f>+R_2014_11_priskirta!O17+'R_2014_11_atkelta(viso)'!O16</f>
        <v>820.8</v>
      </c>
      <c r="P16" s="127">
        <f>+R_2014_11_priskirta!P17+'R_2014_11_atkelta(viso)'!P16</f>
        <v>0</v>
      </c>
      <c r="Q16" s="24">
        <f t="shared" si="11"/>
        <v>22977.600000000002</v>
      </c>
      <c r="R16" s="229">
        <f t="shared" si="13"/>
        <v>21080.366972477066</v>
      </c>
      <c r="S16" s="73">
        <f t="shared" si="12"/>
        <v>1897.233027522936</v>
      </c>
      <c r="T16" s="39">
        <f t="shared" si="14"/>
        <v>14361</v>
      </c>
      <c r="U16" s="71"/>
      <c r="V16" s="13">
        <v>1.6</v>
      </c>
      <c r="W16" s="13">
        <f t="shared" ref="W16:W17" si="16">+T16*V16</f>
        <v>22977.600000000002</v>
      </c>
      <c r="X16" s="2"/>
      <c r="Y16" s="2"/>
    </row>
    <row r="17" spans="1:25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+R_2014_11_priskirta!E18+'R_2014_11_atkelta(viso)'!E17</f>
        <v>42.88</v>
      </c>
      <c r="F17" s="127">
        <f>+R_2014_11_priskirta!F18+'R_2014_11_atkelta(viso)'!F17</f>
        <v>85.76</v>
      </c>
      <c r="G17" s="127">
        <f>+R_2014_11_priskirta!G18+'R_2014_11_atkelta(viso)'!G17</f>
        <v>6.4</v>
      </c>
      <c r="H17" s="127">
        <f>+R_2014_11_priskirta!H18+'R_2014_11_atkelta(viso)'!H17</f>
        <v>6.4</v>
      </c>
      <c r="I17" s="127">
        <f>+R_2014_11_priskirta!I18+'R_2014_11_atkelta(viso)'!I17</f>
        <v>0</v>
      </c>
      <c r="J17" s="127">
        <f>+R_2014_11_priskirta!J18+'R_2014_11_atkelta(viso)'!J17</f>
        <v>0</v>
      </c>
      <c r="K17" s="127">
        <f>+R_2014_11_priskirta!K18+'R_2014_11_atkelta(viso)'!K17</f>
        <v>274.56</v>
      </c>
      <c r="L17" s="127">
        <f>+R_2014_11_priskirta!L18+'R_2014_11_atkelta(viso)'!L17</f>
        <v>0.64000000000001478</v>
      </c>
      <c r="M17" s="127">
        <f>+R_2014_11_priskirta!M18+'R_2014_11_atkelta(viso)'!M17</f>
        <v>0</v>
      </c>
      <c r="N17" s="127">
        <f>+R_2014_11_priskirta!N18+'R_2014_11_atkelta(viso)'!N17</f>
        <v>165.12</v>
      </c>
      <c r="O17" s="127">
        <f>+R_2014_11_priskirta!O18+'R_2014_11_atkelta(viso)'!O17</f>
        <v>0</v>
      </c>
      <c r="P17" s="127">
        <f>+R_2014_11_priskirta!P18+'R_2014_11_atkelta(viso)'!P17</f>
        <v>0</v>
      </c>
      <c r="Q17" s="24">
        <f t="shared" si="11"/>
        <v>581.76</v>
      </c>
      <c r="R17" s="229">
        <f t="shared" si="13"/>
        <v>533.72477064220175</v>
      </c>
      <c r="S17" s="73">
        <f t="shared" si="12"/>
        <v>48.035229357798244</v>
      </c>
      <c r="T17" s="39">
        <f t="shared" si="14"/>
        <v>909</v>
      </c>
      <c r="U17" s="71"/>
      <c r="V17" s="61">
        <v>2.56</v>
      </c>
      <c r="W17" s="13">
        <f t="shared" si="16"/>
        <v>2327.04</v>
      </c>
      <c r="X17" s="2"/>
      <c r="Y17" s="2"/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275525.72780821915</v>
      </c>
      <c r="F18" s="118">
        <f t="shared" ref="F18:T18" si="17">+SUM(F19:F43)</f>
        <v>4698544.2099086801</v>
      </c>
      <c r="G18" s="118">
        <f t="shared" si="17"/>
        <v>708870.71</v>
      </c>
      <c r="H18" s="118">
        <f t="shared" si="17"/>
        <v>118293.82611872147</v>
      </c>
      <c r="I18" s="118">
        <f t="shared" si="17"/>
        <v>0</v>
      </c>
      <c r="J18" s="118">
        <f t="shared" si="17"/>
        <v>0</v>
      </c>
      <c r="K18" s="118">
        <f t="shared" si="17"/>
        <v>0</v>
      </c>
      <c r="L18" s="118">
        <f t="shared" ref="L18" si="18">+SUM(L19:L43)</f>
        <v>0</v>
      </c>
      <c r="M18" s="118">
        <f t="shared" si="17"/>
        <v>77954.549999999988</v>
      </c>
      <c r="N18" s="118">
        <f t="shared" ref="N18" si="19">+SUM(N19:N43)</f>
        <v>47300.321917808214</v>
      </c>
      <c r="O18" s="118">
        <f t="shared" si="17"/>
        <v>490869.17749610904</v>
      </c>
      <c r="P18" s="118">
        <f t="shared" ref="P18" si="20">+SUM(P19:P43)</f>
        <v>0</v>
      </c>
      <c r="Q18" s="42">
        <f>+SUM(Q19:Q43)</f>
        <v>6417358.5232495349</v>
      </c>
      <c r="R18" s="118">
        <f t="shared" si="17"/>
        <v>5887484.8837151704</v>
      </c>
      <c r="S18" s="118">
        <f t="shared" si="17"/>
        <v>529873.63953436597</v>
      </c>
      <c r="T18" s="253">
        <f t="shared" si="17"/>
        <v>122792.55925616394</v>
      </c>
      <c r="U18" s="71"/>
      <c r="V18" s="61"/>
      <c r="W18" s="105">
        <f>+SUM(W19:W43)</f>
        <v>5806013.7971216841</v>
      </c>
      <c r="X18" s="2"/>
      <c r="Y18" s="2"/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+R_2014_11_priskirta!E20+'R_2014_11_atkelta(viso)'!E19</f>
        <v>167019.99333333335</v>
      </c>
      <c r="F19" s="127">
        <f>+R_2014_11_priskirta!F20+'R_2014_11_atkelta(viso)'!F19</f>
        <v>2676523.3300000024</v>
      </c>
      <c r="G19" s="127">
        <f>+R_2014_11_priskirta!G20+'R_2014_11_atkelta(viso)'!G19</f>
        <v>387796.67000000004</v>
      </c>
      <c r="H19" s="127">
        <f>+R_2014_11_priskirta!H20+'R_2014_11_atkelta(viso)'!H19</f>
        <v>62303.333333333328</v>
      </c>
      <c r="I19" s="127">
        <f>+R_2014_11_priskirta!I20+'R_2014_11_atkelta(viso)'!I19</f>
        <v>0</v>
      </c>
      <c r="J19" s="127">
        <f>+R_2014_11_priskirta!J20+'R_2014_11_atkelta(viso)'!J19</f>
        <v>0</v>
      </c>
      <c r="K19" s="127">
        <f>+R_2014_11_priskirta!K20+'R_2014_11_atkelta(viso)'!K19</f>
        <v>0</v>
      </c>
      <c r="L19" s="127">
        <f>+R_2014_11_priskirta!L20+'R_2014_11_atkelta(viso)'!L19</f>
        <v>0</v>
      </c>
      <c r="M19" s="127">
        <f>+R_2014_11_priskirta!M20+'R_2014_11_atkelta(viso)'!M19</f>
        <v>44383.34</v>
      </c>
      <c r="N19" s="127">
        <f>+R_2014_11_priskirta!N20+'R_2014_11_atkelta(viso)'!N19</f>
        <v>28839.999999999993</v>
      </c>
      <c r="O19" s="127">
        <f>+R_2014_11_priskirta!O20+'R_2014_11_atkelta(viso)'!O19</f>
        <v>249020.00820556641</v>
      </c>
      <c r="P19" s="127">
        <f>+R_2014_11_priskirta!P20+'R_2014_11_atkelta(viso)'!P19</f>
        <v>0</v>
      </c>
      <c r="Q19" s="24">
        <f t="shared" ref="Q19:Q53" si="21">+SUM(E19:P19)</f>
        <v>3615886.6748722354</v>
      </c>
      <c r="R19" s="229">
        <f t="shared" si="6"/>
        <v>3317327.2246534266</v>
      </c>
      <c r="S19" s="93">
        <f>+Q19-R19</f>
        <v>298559.45021880884</v>
      </c>
      <c r="T19" s="94">
        <f t="shared" ref="T19:T43" si="22">Q19/D19</f>
        <v>36158.866748722357</v>
      </c>
      <c r="U19" s="71"/>
      <c r="V19" s="61"/>
      <c r="W19" s="106"/>
      <c r="X19" s="2"/>
      <c r="Y19" s="2"/>
    </row>
    <row r="20" spans="1:25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f>+R_2014_11_priskirta!E21+'R_2014_11_atkelta(viso)'!E20</f>
        <v>29586.660000000003</v>
      </c>
      <c r="F20" s="127">
        <f>+R_2014_11_priskirta!F21+'R_2014_11_atkelta(viso)'!F20</f>
        <v>715880</v>
      </c>
      <c r="G20" s="127">
        <f>+R_2014_11_priskirta!G21+'R_2014_11_atkelta(viso)'!G20</f>
        <v>102818.34</v>
      </c>
      <c r="H20" s="127">
        <f>+R_2014_11_priskirta!H21+'R_2014_11_atkelta(viso)'!H20</f>
        <v>21315</v>
      </c>
      <c r="I20" s="127">
        <f>+R_2014_11_priskirta!I21+'R_2014_11_atkelta(viso)'!I20</f>
        <v>0</v>
      </c>
      <c r="J20" s="127">
        <f>+R_2014_11_priskirta!J21+'R_2014_11_atkelta(viso)'!J20</f>
        <v>0</v>
      </c>
      <c r="K20" s="127">
        <f>+R_2014_11_priskirta!K21+'R_2014_11_atkelta(viso)'!K20</f>
        <v>0</v>
      </c>
      <c r="L20" s="127">
        <f>+R_2014_11_priskirta!L21+'R_2014_11_atkelta(viso)'!L20</f>
        <v>0</v>
      </c>
      <c r="M20" s="127">
        <f>+R_2014_11_priskirta!M21+'R_2014_11_atkelta(viso)'!M20</f>
        <v>16876.66</v>
      </c>
      <c r="N20" s="127">
        <f>+R_2014_11_priskirta!N21+'R_2014_11_atkelta(viso)'!N20</f>
        <v>483.33333333333337</v>
      </c>
      <c r="O20" s="127">
        <f>+R_2014_11_priskirta!O21+'R_2014_11_atkelta(viso)'!O20</f>
        <v>13391.667105407716</v>
      </c>
      <c r="P20" s="127">
        <f>+R_2014_11_priskirta!P21+'R_2014_11_atkelta(viso)'!P20</f>
        <v>0</v>
      </c>
      <c r="Q20" s="24">
        <f t="shared" si="21"/>
        <v>900351.66043874109</v>
      </c>
      <c r="R20" s="229">
        <f t="shared" si="6"/>
        <v>826010.69765022118</v>
      </c>
      <c r="S20" s="73">
        <f t="shared" ref="S20:S43" si="23">+Q20-R20</f>
        <v>74340.962788519915</v>
      </c>
      <c r="T20" s="21">
        <f t="shared" si="22"/>
        <v>18007.033208774821</v>
      </c>
      <c r="U20" s="71"/>
      <c r="V20" s="61">
        <v>50</v>
      </c>
      <c r="W20" s="13">
        <f t="shared" ref="W20:W21" si="24">+T20*V20</f>
        <v>900351.66043874109</v>
      </c>
      <c r="X20" s="2"/>
      <c r="Y20" s="2"/>
    </row>
    <row r="21" spans="1:25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+R_2014_11_priskirta!E22+'R_2014_11_atkelta(viso)'!E21</f>
        <v>46049.33</v>
      </c>
      <c r="F21" s="127">
        <f>+R_2014_11_priskirta!F22+'R_2014_11_atkelta(viso)'!F21</f>
        <v>832463.34</v>
      </c>
      <c r="G21" s="127">
        <f>+R_2014_11_priskirta!G22+'R_2014_11_atkelta(viso)'!G21</f>
        <v>142244</v>
      </c>
      <c r="H21" s="127">
        <f>+R_2014_11_priskirta!H22+'R_2014_11_atkelta(viso)'!H21</f>
        <v>12317.333333333332</v>
      </c>
      <c r="I21" s="127">
        <f>+R_2014_11_priskirta!I22+'R_2014_11_atkelta(viso)'!I21</f>
        <v>0</v>
      </c>
      <c r="J21" s="127">
        <f>+R_2014_11_priskirta!J22+'R_2014_11_atkelta(viso)'!J21</f>
        <v>0</v>
      </c>
      <c r="K21" s="127">
        <f>+R_2014_11_priskirta!K22+'R_2014_11_atkelta(viso)'!K21</f>
        <v>0</v>
      </c>
      <c r="L21" s="127">
        <f>+R_2014_11_priskirta!L22+'R_2014_11_atkelta(viso)'!L21</f>
        <v>0</v>
      </c>
      <c r="M21" s="127">
        <f>+R_2014_11_priskirta!M22+'R_2014_11_atkelta(viso)'!M21</f>
        <v>8822</v>
      </c>
      <c r="N21" s="127">
        <f>+R_2014_11_priskirta!N22+'R_2014_11_atkelta(viso)'!N21</f>
        <v>9852.6666666666679</v>
      </c>
      <c r="O21" s="127">
        <f>+R_2014_11_priskirta!O22+'R_2014_11_atkelta(viso)'!O21</f>
        <v>89932</v>
      </c>
      <c r="P21" s="127">
        <f>+R_2014_11_priskirta!P22+'R_2014_11_atkelta(viso)'!P21</f>
        <v>0</v>
      </c>
      <c r="Q21" s="24">
        <f t="shared" si="21"/>
        <v>1141680.67</v>
      </c>
      <c r="R21" s="229">
        <f t="shared" si="6"/>
        <v>1047413.4587155962</v>
      </c>
      <c r="S21" s="73">
        <f t="shared" si="23"/>
        <v>94267.211284403689</v>
      </c>
      <c r="T21" s="21">
        <f t="shared" si="22"/>
        <v>57084.033499999998</v>
      </c>
      <c r="U21" s="71"/>
      <c r="V21" s="61">
        <v>80</v>
      </c>
      <c r="W21" s="13">
        <f t="shared" si="24"/>
        <v>4566722.68</v>
      </c>
      <c r="X21" s="2"/>
      <c r="Y21" s="2"/>
    </row>
    <row r="22" spans="1:25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f>+R_2014_11_priskirta!E23+'R_2014_11_atkelta(viso)'!E22</f>
        <v>28212</v>
      </c>
      <c r="F22" s="127">
        <f>+R_2014_11_priskirta!F23+'R_2014_11_atkelta(viso)'!F22</f>
        <v>390222</v>
      </c>
      <c r="G22" s="127">
        <f>+R_2014_11_priskirta!G23+'R_2014_11_atkelta(viso)'!G22</f>
        <v>64482</v>
      </c>
      <c r="H22" s="127">
        <f>+R_2014_11_priskirta!H23+'R_2014_11_atkelta(viso)'!H22</f>
        <v>14025</v>
      </c>
      <c r="I22" s="127">
        <f>+R_2014_11_priskirta!I23+'R_2014_11_atkelta(viso)'!I22</f>
        <v>0</v>
      </c>
      <c r="J22" s="127">
        <f>+R_2014_11_priskirta!J23+'R_2014_11_atkelta(viso)'!J22</f>
        <v>0</v>
      </c>
      <c r="K22" s="127">
        <f>+R_2014_11_priskirta!K23+'R_2014_11_atkelta(viso)'!K22</f>
        <v>0</v>
      </c>
      <c r="L22" s="127">
        <f>+R_2014_11_priskirta!L23+'R_2014_11_atkelta(viso)'!L22</f>
        <v>0</v>
      </c>
      <c r="M22" s="127">
        <f>+R_2014_11_priskirta!M23+'R_2014_11_atkelta(viso)'!M22</f>
        <v>6438</v>
      </c>
      <c r="N22" s="127">
        <f>+R_2014_11_priskirta!N23+'R_2014_11_atkelta(viso)'!N22</f>
        <v>5994</v>
      </c>
      <c r="O22" s="127">
        <f>+R_2014_11_priskirta!O23+'R_2014_11_atkelta(viso)'!O22</f>
        <v>90792</v>
      </c>
      <c r="P22" s="127">
        <f>+R_2014_11_priskirta!P23+'R_2014_11_atkelta(viso)'!P22</f>
        <v>0</v>
      </c>
      <c r="Q22" s="24">
        <f t="shared" si="21"/>
        <v>600165</v>
      </c>
      <c r="R22" s="229">
        <f t="shared" si="6"/>
        <v>550610.09174311918</v>
      </c>
      <c r="S22" s="73">
        <f t="shared" si="23"/>
        <v>49554.908256880823</v>
      </c>
      <c r="T22" s="21">
        <f t="shared" si="22"/>
        <v>6668.5</v>
      </c>
      <c r="U22" s="71"/>
      <c r="V22" s="61"/>
      <c r="W22" s="13"/>
      <c r="X22" s="2"/>
      <c r="Y22" s="2"/>
    </row>
    <row r="23" spans="1:25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f>+R_2014_11_priskirta!E24+'R_2014_11_atkelta(viso)'!E23</f>
        <v>901.5</v>
      </c>
      <c r="F23" s="127">
        <f>+R_2014_11_priskirta!F24+'R_2014_11_atkelta(viso)'!F23</f>
        <v>22702.5</v>
      </c>
      <c r="G23" s="127">
        <f>+R_2014_11_priskirta!G24+'R_2014_11_atkelta(viso)'!G23</f>
        <v>3787.5</v>
      </c>
      <c r="H23" s="127">
        <f>+R_2014_11_priskirta!H24+'R_2014_11_atkelta(viso)'!H23</f>
        <v>1341</v>
      </c>
      <c r="I23" s="127">
        <f>+R_2014_11_priskirta!I24+'R_2014_11_atkelta(viso)'!I23</f>
        <v>0</v>
      </c>
      <c r="J23" s="127">
        <f>+R_2014_11_priskirta!J24+'R_2014_11_atkelta(viso)'!J23</f>
        <v>0</v>
      </c>
      <c r="K23" s="127">
        <f>+R_2014_11_priskirta!K24+'R_2014_11_atkelta(viso)'!K23</f>
        <v>0</v>
      </c>
      <c r="L23" s="127">
        <f>+R_2014_11_priskirta!L24+'R_2014_11_atkelta(viso)'!L23</f>
        <v>0</v>
      </c>
      <c r="M23" s="127">
        <f>+R_2014_11_priskirta!M24+'R_2014_11_atkelta(viso)'!M23</f>
        <v>339</v>
      </c>
      <c r="N23" s="127">
        <f>+R_2014_11_priskirta!N24+'R_2014_11_atkelta(viso)'!N23</f>
        <v>31.5</v>
      </c>
      <c r="O23" s="127">
        <f>+R_2014_11_priskirta!O24+'R_2014_11_atkelta(viso)'!O23</f>
        <v>3661.5</v>
      </c>
      <c r="P23" s="127">
        <f>+R_2014_11_priskirta!P24+'R_2014_11_atkelta(viso)'!P23</f>
        <v>0</v>
      </c>
      <c r="Q23" s="24">
        <f t="shared" si="21"/>
        <v>32764.5</v>
      </c>
      <c r="R23" s="229">
        <f t="shared" si="6"/>
        <v>30059.174311926603</v>
      </c>
      <c r="S23" s="73">
        <f t="shared" si="23"/>
        <v>2705.325688073397</v>
      </c>
      <c r="T23" s="21">
        <f t="shared" si="22"/>
        <v>728.1</v>
      </c>
      <c r="U23" s="71"/>
      <c r="V23" s="61">
        <v>45</v>
      </c>
      <c r="W23" s="13">
        <f t="shared" ref="W23:W24" si="25">+T23*V23</f>
        <v>32764.5</v>
      </c>
      <c r="X23" s="2"/>
      <c r="Y23" s="2"/>
    </row>
    <row r="24" spans="1:25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+R_2014_11_priskirta!E25+'R_2014_11_atkelta(viso)'!E24</f>
        <v>1708.8</v>
      </c>
      <c r="F24" s="127">
        <f>+R_2014_11_priskirta!F25+'R_2014_11_atkelta(viso)'!F24</f>
        <v>18178.199999999997</v>
      </c>
      <c r="G24" s="127">
        <f>+R_2014_11_priskirta!G25+'R_2014_11_atkelta(viso)'!G24</f>
        <v>2934</v>
      </c>
      <c r="H24" s="127">
        <f>+R_2014_11_priskirta!H25+'R_2014_11_atkelta(viso)'!H24</f>
        <v>582</v>
      </c>
      <c r="I24" s="127">
        <f>+R_2014_11_priskirta!I25+'R_2014_11_atkelta(viso)'!I24</f>
        <v>0</v>
      </c>
      <c r="J24" s="127">
        <f>+R_2014_11_priskirta!J25+'R_2014_11_atkelta(viso)'!J24</f>
        <v>0</v>
      </c>
      <c r="K24" s="127">
        <f>+R_2014_11_priskirta!K25+'R_2014_11_atkelta(viso)'!K24</f>
        <v>0</v>
      </c>
      <c r="L24" s="127">
        <f>+R_2014_11_priskirta!L25+'R_2014_11_atkelta(viso)'!L24</f>
        <v>0</v>
      </c>
      <c r="M24" s="127">
        <f>+R_2014_11_priskirta!M25+'R_2014_11_atkelta(viso)'!M24</f>
        <v>383.4</v>
      </c>
      <c r="N24" s="127">
        <f>+R_2014_11_priskirta!N25+'R_2014_11_atkelta(viso)'!N24</f>
        <v>592.19999999999982</v>
      </c>
      <c r="O24" s="127">
        <f>+R_2014_11_priskirta!O25+'R_2014_11_atkelta(viso)'!O24</f>
        <v>6857.4</v>
      </c>
      <c r="P24" s="127">
        <f>+R_2014_11_priskirta!P25+'R_2014_11_atkelta(viso)'!P24</f>
        <v>0</v>
      </c>
      <c r="Q24" s="24">
        <f t="shared" si="21"/>
        <v>31236</v>
      </c>
      <c r="R24" s="229">
        <f t="shared" si="6"/>
        <v>28656.880733944952</v>
      </c>
      <c r="S24" s="73">
        <f t="shared" si="23"/>
        <v>2579.1192660550478</v>
      </c>
      <c r="T24" s="21">
        <f t="shared" si="22"/>
        <v>1735.3333333333333</v>
      </c>
      <c r="U24" s="71"/>
      <c r="V24" s="61">
        <v>72</v>
      </c>
      <c r="W24" s="13">
        <f t="shared" si="25"/>
        <v>124944</v>
      </c>
      <c r="X24" s="2"/>
      <c r="Y24" s="2"/>
    </row>
    <row r="25" spans="1:25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+R_2014_11_priskirta!E26+'R_2014_11_atkelta(viso)'!E25</f>
        <v>200</v>
      </c>
      <c r="F25" s="127">
        <f>+R_2014_11_priskirta!F26+'R_2014_11_atkelta(viso)'!F25</f>
        <v>4933.3266666666659</v>
      </c>
      <c r="G25" s="127">
        <f>+R_2014_11_priskirta!G26+'R_2014_11_atkelta(viso)'!G25</f>
        <v>100</v>
      </c>
      <c r="H25" s="127">
        <f>+R_2014_11_priskirta!H26+'R_2014_11_atkelta(viso)'!H25</f>
        <v>443.33666666666659</v>
      </c>
      <c r="I25" s="127">
        <f>+R_2014_11_priskirta!I26+'R_2014_11_atkelta(viso)'!I25</f>
        <v>0</v>
      </c>
      <c r="J25" s="127">
        <f>+R_2014_11_priskirta!J26+'R_2014_11_atkelta(viso)'!J25</f>
        <v>0</v>
      </c>
      <c r="K25" s="127">
        <f>+R_2014_11_priskirta!K26+'R_2014_11_atkelta(viso)'!K25</f>
        <v>0</v>
      </c>
      <c r="L25" s="127">
        <f>+R_2014_11_priskirta!L26+'R_2014_11_atkelta(viso)'!L25</f>
        <v>0</v>
      </c>
      <c r="M25" s="127">
        <f>+R_2014_11_priskirta!M26+'R_2014_11_atkelta(viso)'!M25</f>
        <v>0</v>
      </c>
      <c r="N25" s="127">
        <f>+R_2014_11_priskirta!N26+'R_2014_11_atkelta(viso)'!N25</f>
        <v>483.3333333333332</v>
      </c>
      <c r="O25" s="127">
        <f>+R_2014_11_priskirta!O26+'R_2014_11_atkelta(viso)'!O25</f>
        <v>7540.0000674438479</v>
      </c>
      <c r="P25" s="127">
        <f>+R_2014_11_priskirta!P26+'R_2014_11_atkelta(viso)'!P25</f>
        <v>0</v>
      </c>
      <c r="Q25" s="24">
        <f t="shared" si="21"/>
        <v>13699.996734110513</v>
      </c>
      <c r="R25" s="229">
        <f t="shared" si="6"/>
        <v>12568.804343220652</v>
      </c>
      <c r="S25" s="73">
        <f t="shared" si="23"/>
        <v>1131.1923908898607</v>
      </c>
      <c r="T25" s="21">
        <f t="shared" si="22"/>
        <v>45.66665578036838</v>
      </c>
      <c r="U25" s="71"/>
      <c r="V25" s="61"/>
      <c r="W25" s="13"/>
      <c r="X25" s="2"/>
      <c r="Y25" s="2"/>
    </row>
    <row r="26" spans="1:25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+R_2014_11_priskirta!E27+'R_2014_11_atkelta(viso)'!E26</f>
        <v>46.666666666666657</v>
      </c>
      <c r="F26" s="127">
        <f>+R_2014_11_priskirta!F27+'R_2014_11_atkelta(viso)'!F26</f>
        <v>4751.6666666666661</v>
      </c>
      <c r="G26" s="127">
        <f>+R_2014_11_priskirta!G27+'R_2014_11_atkelta(viso)'!G26</f>
        <v>338.34</v>
      </c>
      <c r="H26" s="127">
        <f>+R_2014_11_priskirta!H27+'R_2014_11_atkelta(viso)'!H26</f>
        <v>598.32999999999993</v>
      </c>
      <c r="I26" s="127">
        <f>+R_2014_11_priskirta!I27+'R_2014_11_atkelta(viso)'!I26</f>
        <v>0</v>
      </c>
      <c r="J26" s="127">
        <f>+R_2014_11_priskirta!J27+'R_2014_11_atkelta(viso)'!J26</f>
        <v>0</v>
      </c>
      <c r="K26" s="127">
        <f>+R_2014_11_priskirta!K27+'R_2014_11_atkelta(viso)'!K26</f>
        <v>0</v>
      </c>
      <c r="L26" s="127">
        <f>+R_2014_11_priskirta!L27+'R_2014_11_atkelta(viso)'!L26</f>
        <v>0</v>
      </c>
      <c r="M26" s="127">
        <f>+R_2014_11_priskirta!M27+'R_2014_11_atkelta(viso)'!M26</f>
        <v>151.66999999999999</v>
      </c>
      <c r="N26" s="127">
        <f>+R_2014_11_priskirta!N27+'R_2014_11_atkelta(viso)'!N26</f>
        <v>0</v>
      </c>
      <c r="O26" s="127">
        <f>+R_2014_11_priskirta!O27+'R_2014_11_atkelta(viso)'!O26</f>
        <v>1066.6666845703126</v>
      </c>
      <c r="P26" s="127">
        <f>+R_2014_11_priskirta!P27+'R_2014_11_atkelta(viso)'!P26</f>
        <v>0</v>
      </c>
      <c r="Q26" s="24">
        <f t="shared" si="21"/>
        <v>6953.3400179036453</v>
      </c>
      <c r="R26" s="229">
        <f t="shared" si="6"/>
        <v>6379.211025599674</v>
      </c>
      <c r="S26" s="73">
        <f t="shared" si="23"/>
        <v>574.12899230397124</v>
      </c>
      <c r="T26" s="21">
        <f t="shared" si="22"/>
        <v>46.355600119357632</v>
      </c>
      <c r="U26" s="71"/>
      <c r="V26" s="61">
        <v>150</v>
      </c>
      <c r="W26" s="13">
        <f t="shared" ref="W26:W42" si="26">+T26*V26</f>
        <v>6953.3400179036453</v>
      </c>
      <c r="X26" s="2"/>
      <c r="Y26" s="2"/>
    </row>
    <row r="27" spans="1:2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+R_2014_11_priskirta!E28+'R_2014_11_atkelta(viso)'!E27</f>
        <v>868.67</v>
      </c>
      <c r="F27" s="127">
        <f>+R_2014_11_priskirta!F28+'R_2014_11_atkelta(viso)'!F27</f>
        <v>13858.66</v>
      </c>
      <c r="G27" s="127">
        <f>+R_2014_11_priskirta!G28+'R_2014_11_atkelta(viso)'!G27</f>
        <v>1878.67</v>
      </c>
      <c r="H27" s="127">
        <f>+R_2014_11_priskirta!H28+'R_2014_11_atkelta(viso)'!H27</f>
        <v>1674.6666666666667</v>
      </c>
      <c r="I27" s="127">
        <f>+R_2014_11_priskirta!I28+'R_2014_11_atkelta(viso)'!I27</f>
        <v>0</v>
      </c>
      <c r="J27" s="127">
        <f>+R_2014_11_priskirta!J28+'R_2014_11_atkelta(viso)'!J27</f>
        <v>0</v>
      </c>
      <c r="K27" s="127">
        <f>+R_2014_11_priskirta!K28+'R_2014_11_atkelta(viso)'!K27</f>
        <v>0</v>
      </c>
      <c r="L27" s="127">
        <f>+R_2014_11_priskirta!L28+'R_2014_11_atkelta(viso)'!L27</f>
        <v>0</v>
      </c>
      <c r="M27" s="127">
        <f>+R_2014_11_priskirta!M28+'R_2014_11_atkelta(viso)'!M27</f>
        <v>382.67</v>
      </c>
      <c r="N27" s="127">
        <f>+R_2014_11_priskirta!N28+'R_2014_11_atkelta(viso)'!N27</f>
        <v>600.66666666666663</v>
      </c>
      <c r="O27" s="127">
        <f>+R_2014_11_priskirta!O28+'R_2014_11_atkelta(viso)'!O27</f>
        <v>11660</v>
      </c>
      <c r="P27" s="127">
        <f>+R_2014_11_priskirta!P28+'R_2014_11_atkelta(viso)'!P27</f>
        <v>0</v>
      </c>
      <c r="Q27" s="24">
        <f t="shared" si="21"/>
        <v>30924.003333333334</v>
      </c>
      <c r="R27" s="229">
        <f t="shared" si="6"/>
        <v>28370.645259938836</v>
      </c>
      <c r="S27" s="73">
        <f t="shared" si="23"/>
        <v>2553.3580733944982</v>
      </c>
      <c r="T27" s="21">
        <f t="shared" si="22"/>
        <v>515.40005555555558</v>
      </c>
      <c r="U27" s="71"/>
      <c r="V27" s="61">
        <v>240</v>
      </c>
      <c r="W27" s="13">
        <f t="shared" si="26"/>
        <v>123696.01333333334</v>
      </c>
      <c r="X27" s="2"/>
      <c r="Y27" s="2"/>
    </row>
    <row r="28" spans="1:25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+R_2014_11_priskirta!E29+'R_2014_11_atkelta(viso)'!E28</f>
        <v>180</v>
      </c>
      <c r="F28" s="127">
        <f>+R_2014_11_priskirta!F29+'R_2014_11_atkelta(viso)'!F28</f>
        <v>1182</v>
      </c>
      <c r="G28" s="127">
        <f>+R_2014_11_priskirta!G29+'R_2014_11_atkelta(viso)'!G28</f>
        <v>90</v>
      </c>
      <c r="H28" s="127">
        <f>+R_2014_11_priskirta!H29+'R_2014_11_atkelta(viso)'!H28</f>
        <v>216</v>
      </c>
      <c r="I28" s="127">
        <f>+R_2014_11_priskirta!I29+'R_2014_11_atkelta(viso)'!I28</f>
        <v>0</v>
      </c>
      <c r="J28" s="127">
        <f>+R_2014_11_priskirta!J29+'R_2014_11_atkelta(viso)'!J28</f>
        <v>0</v>
      </c>
      <c r="K28" s="127">
        <f>+R_2014_11_priskirta!K29+'R_2014_11_atkelta(viso)'!K28</f>
        <v>0</v>
      </c>
      <c r="L28" s="127">
        <f>+R_2014_11_priskirta!L29+'R_2014_11_atkelta(viso)'!L28</f>
        <v>0</v>
      </c>
      <c r="M28" s="127">
        <f>+R_2014_11_priskirta!M29+'R_2014_11_atkelta(viso)'!M28</f>
        <v>0</v>
      </c>
      <c r="N28" s="127">
        <f>+R_2014_11_priskirta!N29+'R_2014_11_atkelta(viso)'!N28</f>
        <v>90</v>
      </c>
      <c r="O28" s="127">
        <f>+R_2014_11_priskirta!O29+'R_2014_11_atkelta(viso)'!O28</f>
        <v>9147</v>
      </c>
      <c r="P28" s="127">
        <f>+R_2014_11_priskirta!P29+'R_2014_11_atkelta(viso)'!P28</f>
        <v>0</v>
      </c>
      <c r="Q28" s="24">
        <f t="shared" si="21"/>
        <v>10905</v>
      </c>
      <c r="R28" s="229">
        <f t="shared" si="6"/>
        <v>10004.587155963301</v>
      </c>
      <c r="S28" s="73">
        <f t="shared" si="23"/>
        <v>900.41284403669852</v>
      </c>
      <c r="T28" s="21">
        <f t="shared" si="22"/>
        <v>40.388888888888886</v>
      </c>
      <c r="U28" s="71"/>
      <c r="V28" s="61"/>
      <c r="W28" s="13"/>
      <c r="X28" s="2"/>
      <c r="Y28" s="2"/>
    </row>
    <row r="29" spans="1:25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+R_2014_11_priskirta!E30+'R_2014_11_atkelta(viso)'!E29</f>
        <v>45</v>
      </c>
      <c r="F29" s="127">
        <f>+R_2014_11_priskirta!F30+'R_2014_11_atkelta(viso)'!F29</f>
        <v>54</v>
      </c>
      <c r="G29" s="127">
        <f>+R_2014_11_priskirta!G30+'R_2014_11_atkelta(viso)'!G29</f>
        <v>0</v>
      </c>
      <c r="H29" s="127">
        <f>+R_2014_11_priskirta!H30+'R_2014_11_atkelta(viso)'!H29</f>
        <v>91.5</v>
      </c>
      <c r="I29" s="127">
        <f>+R_2014_11_priskirta!I30+'R_2014_11_atkelta(viso)'!I29</f>
        <v>0</v>
      </c>
      <c r="J29" s="127">
        <f>+R_2014_11_priskirta!J30+'R_2014_11_atkelta(viso)'!J29</f>
        <v>0</v>
      </c>
      <c r="K29" s="127">
        <f>+R_2014_11_priskirta!K30+'R_2014_11_atkelta(viso)'!K29</f>
        <v>0</v>
      </c>
      <c r="L29" s="127">
        <f>+R_2014_11_priskirta!L30+'R_2014_11_atkelta(viso)'!L29</f>
        <v>0</v>
      </c>
      <c r="M29" s="127">
        <f>+R_2014_11_priskirta!M30+'R_2014_11_atkelta(viso)'!M29</f>
        <v>0</v>
      </c>
      <c r="N29" s="127">
        <f>+R_2014_11_priskirta!N30+'R_2014_11_atkelta(viso)'!N29</f>
        <v>0</v>
      </c>
      <c r="O29" s="127">
        <f>+R_2014_11_priskirta!O30+'R_2014_11_atkelta(viso)'!O29</f>
        <v>45</v>
      </c>
      <c r="P29" s="127">
        <f>+R_2014_11_priskirta!P30+'R_2014_11_atkelta(viso)'!P29</f>
        <v>0</v>
      </c>
      <c r="Q29" s="24">
        <f t="shared" si="21"/>
        <v>235.5</v>
      </c>
      <c r="R29" s="229">
        <f t="shared" si="6"/>
        <v>216.05504587155963</v>
      </c>
      <c r="S29" s="73">
        <f t="shared" si="23"/>
        <v>19.444954128440372</v>
      </c>
      <c r="T29" s="21">
        <f t="shared" si="22"/>
        <v>1.7444444444444445</v>
      </c>
      <c r="U29" s="71"/>
      <c r="V29" s="61">
        <v>135</v>
      </c>
      <c r="W29" s="13">
        <f t="shared" si="26"/>
        <v>235.5</v>
      </c>
      <c r="X29" s="2"/>
      <c r="Y29" s="2"/>
    </row>
    <row r="30" spans="1:25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+R_2014_11_priskirta!E31+'R_2014_11_atkelta(viso)'!E30</f>
        <v>90</v>
      </c>
      <c r="F30" s="127">
        <f>+R_2014_11_priskirta!F31+'R_2014_11_atkelta(viso)'!F30</f>
        <v>554.4</v>
      </c>
      <c r="G30" s="127">
        <f>+R_2014_11_priskirta!G31+'R_2014_11_atkelta(viso)'!G30</f>
        <v>112.8</v>
      </c>
      <c r="H30" s="127">
        <f>+R_2014_11_priskirta!H31+'R_2014_11_atkelta(viso)'!H30</f>
        <v>95.4</v>
      </c>
      <c r="I30" s="127">
        <f>+R_2014_11_priskirta!I31+'R_2014_11_atkelta(viso)'!I30</f>
        <v>0</v>
      </c>
      <c r="J30" s="127">
        <f>+R_2014_11_priskirta!J31+'R_2014_11_atkelta(viso)'!J30</f>
        <v>0</v>
      </c>
      <c r="K30" s="127">
        <f>+R_2014_11_priskirta!K31+'R_2014_11_atkelta(viso)'!K30</f>
        <v>0</v>
      </c>
      <c r="L30" s="127">
        <f>+R_2014_11_priskirta!L31+'R_2014_11_atkelta(viso)'!L30</f>
        <v>0</v>
      </c>
      <c r="M30" s="127">
        <f>+R_2014_11_priskirta!M31+'R_2014_11_atkelta(viso)'!M30</f>
        <v>16.2</v>
      </c>
      <c r="N30" s="127">
        <f>+R_2014_11_priskirta!N31+'R_2014_11_atkelta(viso)'!N30</f>
        <v>103.8</v>
      </c>
      <c r="O30" s="127">
        <f>+R_2014_11_priskirta!O31+'R_2014_11_atkelta(viso)'!O30</f>
        <v>1585.2</v>
      </c>
      <c r="P30" s="127">
        <f>+R_2014_11_priskirta!P31+'R_2014_11_atkelta(viso)'!P30</f>
        <v>0</v>
      </c>
      <c r="Q30" s="24">
        <f t="shared" si="21"/>
        <v>2557.8000000000002</v>
      </c>
      <c r="R30" s="229">
        <f t="shared" si="6"/>
        <v>2346.6055045871558</v>
      </c>
      <c r="S30" s="73">
        <f t="shared" si="23"/>
        <v>211.19449541284439</v>
      </c>
      <c r="T30" s="21">
        <f t="shared" si="22"/>
        <v>47.366666666666667</v>
      </c>
      <c r="U30" s="71"/>
      <c r="V30" s="61">
        <v>216</v>
      </c>
      <c r="W30" s="13">
        <f t="shared" si="26"/>
        <v>10231.200000000001</v>
      </c>
      <c r="X30" s="2"/>
      <c r="Y30" s="2"/>
    </row>
    <row r="31" spans="1:2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+R_2014_11_priskirta!E32+'R_2014_11_atkelta(viso)'!E31</f>
        <v>100</v>
      </c>
      <c r="F31" s="127">
        <f>+R_2014_11_priskirta!F32+'R_2014_11_atkelta(viso)'!F31</f>
        <v>410</v>
      </c>
      <c r="G31" s="127">
        <f>+R_2014_11_priskirta!G32+'R_2014_11_atkelta(viso)'!G31</f>
        <v>100</v>
      </c>
      <c r="H31" s="127">
        <f>+R_2014_11_priskirta!H32+'R_2014_11_atkelta(viso)'!H31</f>
        <v>190</v>
      </c>
      <c r="I31" s="127">
        <f>+R_2014_11_priskirta!I32+'R_2014_11_atkelta(viso)'!I31</f>
        <v>0</v>
      </c>
      <c r="J31" s="127">
        <f>+R_2014_11_priskirta!J32+'R_2014_11_atkelta(viso)'!J31</f>
        <v>0</v>
      </c>
      <c r="K31" s="127">
        <f>+R_2014_11_priskirta!K32+'R_2014_11_atkelta(viso)'!K31</f>
        <v>0</v>
      </c>
      <c r="L31" s="127">
        <f>+R_2014_11_priskirta!L32+'R_2014_11_atkelta(viso)'!L31</f>
        <v>0</v>
      </c>
      <c r="M31" s="127">
        <f>+R_2014_11_priskirta!M32+'R_2014_11_atkelta(viso)'!M31</f>
        <v>0</v>
      </c>
      <c r="N31" s="127">
        <f>+R_2014_11_priskirta!N32+'R_2014_11_atkelta(viso)'!N31</f>
        <v>0</v>
      </c>
      <c r="O31" s="127">
        <f>+R_2014_11_priskirta!O32+'R_2014_11_atkelta(viso)'!O31</f>
        <v>200</v>
      </c>
      <c r="P31" s="127">
        <f>+R_2014_11_priskirta!P32+'R_2014_11_atkelta(viso)'!P31</f>
        <v>0</v>
      </c>
      <c r="Q31" s="24">
        <f t="shared" si="21"/>
        <v>1000</v>
      </c>
      <c r="R31" s="229">
        <f t="shared" si="6"/>
        <v>917.43119266055044</v>
      </c>
      <c r="S31" s="73">
        <f t="shared" si="23"/>
        <v>82.568807339449563</v>
      </c>
      <c r="T31" s="21">
        <f t="shared" si="22"/>
        <v>1.6666666666666667</v>
      </c>
      <c r="U31" s="71"/>
      <c r="V31" s="61"/>
      <c r="W31" s="13"/>
      <c r="X31" s="2"/>
      <c r="Y31" s="2"/>
    </row>
    <row r="32" spans="1:2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+R_2014_11_priskirta!E33+'R_2014_11_atkelta(viso)'!E32</f>
        <v>0</v>
      </c>
      <c r="F32" s="127">
        <f>+R_2014_11_priskirta!F33+'R_2014_11_atkelta(viso)'!F32</f>
        <v>400</v>
      </c>
      <c r="G32" s="127">
        <f>+R_2014_11_priskirta!G33+'R_2014_11_atkelta(viso)'!G32</f>
        <v>150</v>
      </c>
      <c r="H32" s="127">
        <f>+R_2014_11_priskirta!H33+'R_2014_11_atkelta(viso)'!H32</f>
        <v>203.32999999999998</v>
      </c>
      <c r="I32" s="127">
        <f>+R_2014_11_priskirta!I33+'R_2014_11_atkelta(viso)'!I32</f>
        <v>0</v>
      </c>
      <c r="J32" s="127">
        <f>+R_2014_11_priskirta!J33+'R_2014_11_atkelta(viso)'!J32</f>
        <v>0</v>
      </c>
      <c r="K32" s="127">
        <f>+R_2014_11_priskirta!K33+'R_2014_11_atkelta(viso)'!K32</f>
        <v>0</v>
      </c>
      <c r="L32" s="127">
        <f>+R_2014_11_priskirta!L33+'R_2014_11_atkelta(viso)'!L32</f>
        <v>0</v>
      </c>
      <c r="M32" s="127">
        <f>+R_2014_11_priskirta!M33+'R_2014_11_atkelta(viso)'!M32</f>
        <v>0</v>
      </c>
      <c r="N32" s="127">
        <f>+R_2014_11_priskirta!N33+'R_2014_11_atkelta(viso)'!N32</f>
        <v>0</v>
      </c>
      <c r="O32" s="127">
        <f>+R_2014_11_priskirta!O33+'R_2014_11_atkelta(viso)'!O32</f>
        <v>175</v>
      </c>
      <c r="P32" s="127">
        <f>+R_2014_11_priskirta!P33+'R_2014_11_atkelta(viso)'!P32</f>
        <v>0</v>
      </c>
      <c r="Q32" s="24">
        <f t="shared" si="21"/>
        <v>928.32999999999993</v>
      </c>
      <c r="R32" s="229">
        <f t="shared" si="6"/>
        <v>851.67889908256871</v>
      </c>
      <c r="S32" s="73">
        <f t="shared" si="23"/>
        <v>76.651100917431222</v>
      </c>
      <c r="T32" s="21">
        <f t="shared" si="22"/>
        <v>3.0944333333333329</v>
      </c>
      <c r="U32" s="71"/>
      <c r="V32" s="61">
        <v>300</v>
      </c>
      <c r="W32" s="13">
        <f t="shared" si="26"/>
        <v>928.32999999999993</v>
      </c>
      <c r="X32" s="2"/>
      <c r="Y32" s="2"/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+R_2014_11_priskirta!E34+'R_2014_11_atkelta(viso)'!E33</f>
        <v>174.67</v>
      </c>
      <c r="F33" s="127">
        <f>+R_2014_11_priskirta!F34+'R_2014_11_atkelta(viso)'!F33</f>
        <v>1388.0033333333333</v>
      </c>
      <c r="G33" s="127">
        <f>+R_2014_11_priskirta!G34+'R_2014_11_atkelta(viso)'!G33</f>
        <v>145.33000000000001</v>
      </c>
      <c r="H33" s="127">
        <f>+R_2014_11_priskirta!H34+'R_2014_11_atkelta(viso)'!H33</f>
        <v>108.66666666666667</v>
      </c>
      <c r="I33" s="127">
        <f>+R_2014_11_priskirta!I34+'R_2014_11_atkelta(viso)'!I33</f>
        <v>0</v>
      </c>
      <c r="J33" s="127">
        <f>+R_2014_11_priskirta!J34+'R_2014_11_atkelta(viso)'!J33</f>
        <v>0</v>
      </c>
      <c r="K33" s="127">
        <f>+R_2014_11_priskirta!K34+'R_2014_11_atkelta(viso)'!K33</f>
        <v>0</v>
      </c>
      <c r="L33" s="127">
        <f>+R_2014_11_priskirta!L34+'R_2014_11_atkelta(viso)'!L33</f>
        <v>0</v>
      </c>
      <c r="M33" s="127">
        <f>+R_2014_11_priskirta!M34+'R_2014_11_atkelta(viso)'!M33</f>
        <v>40</v>
      </c>
      <c r="N33" s="127">
        <f>+R_2014_11_priskirta!N34+'R_2014_11_atkelta(viso)'!N33</f>
        <v>78</v>
      </c>
      <c r="O33" s="127">
        <f>+R_2014_11_priskirta!O34+'R_2014_11_atkelta(viso)'!O33</f>
        <v>1743.3400000000001</v>
      </c>
      <c r="P33" s="127">
        <f>+R_2014_11_priskirta!P34+'R_2014_11_atkelta(viso)'!P33</f>
        <v>0</v>
      </c>
      <c r="Q33" s="24">
        <f t="shared" si="21"/>
        <v>3678.01</v>
      </c>
      <c r="R33" s="229">
        <f t="shared" si="6"/>
        <v>3374.3211009174311</v>
      </c>
      <c r="S33" s="73">
        <f t="shared" si="23"/>
        <v>303.68889908256915</v>
      </c>
      <c r="T33" s="21">
        <f t="shared" si="22"/>
        <v>30.650083333333335</v>
      </c>
      <c r="U33" s="71"/>
      <c r="V33" s="61">
        <v>480</v>
      </c>
      <c r="W33" s="13">
        <f t="shared" si="26"/>
        <v>14712.04</v>
      </c>
      <c r="X33" s="2"/>
      <c r="Y33" s="2"/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+R_2014_11_priskirta!E35+'R_2014_11_atkelta(viso)'!E34</f>
        <v>0</v>
      </c>
      <c r="F34" s="127">
        <f>+R_2014_11_priskirta!F35+'R_2014_11_atkelta(viso)'!F34</f>
        <v>0</v>
      </c>
      <c r="G34" s="127">
        <f>+R_2014_11_priskirta!G35+'R_2014_11_atkelta(viso)'!G34</f>
        <v>0</v>
      </c>
      <c r="H34" s="127">
        <f>+R_2014_11_priskirta!H35+'R_2014_11_atkelta(viso)'!H34</f>
        <v>0</v>
      </c>
      <c r="I34" s="127">
        <f>+R_2014_11_priskirta!I35+'R_2014_11_atkelta(viso)'!I34</f>
        <v>0</v>
      </c>
      <c r="J34" s="127">
        <f>+R_2014_11_priskirta!J35+'R_2014_11_atkelta(viso)'!J34</f>
        <v>0</v>
      </c>
      <c r="K34" s="127">
        <f>+R_2014_11_priskirta!K35+'R_2014_11_atkelta(viso)'!K34</f>
        <v>0</v>
      </c>
      <c r="L34" s="127">
        <f>+R_2014_11_priskirta!L35+'R_2014_11_atkelta(viso)'!L34</f>
        <v>0</v>
      </c>
      <c r="M34" s="127">
        <f>+R_2014_11_priskirta!M35+'R_2014_11_atkelta(viso)'!M34</f>
        <v>0</v>
      </c>
      <c r="N34" s="127">
        <f>+R_2014_11_priskirta!N35+'R_2014_11_atkelta(viso)'!N34</f>
        <v>0</v>
      </c>
      <c r="O34" s="127">
        <f>+R_2014_11_priskirta!O35+'R_2014_11_atkelta(viso)'!O34</f>
        <v>639</v>
      </c>
      <c r="P34" s="127">
        <f>+R_2014_11_priskirta!P35+'R_2014_11_atkelta(viso)'!P34</f>
        <v>0</v>
      </c>
      <c r="Q34" s="24">
        <f t="shared" si="21"/>
        <v>639</v>
      </c>
      <c r="R34" s="229">
        <f t="shared" si="6"/>
        <v>586.23853211009168</v>
      </c>
      <c r="S34" s="73">
        <f t="shared" si="23"/>
        <v>52.761467889908317</v>
      </c>
      <c r="T34" s="21">
        <f t="shared" si="22"/>
        <v>1.1833333333333333</v>
      </c>
      <c r="U34" s="71"/>
      <c r="V34" s="61"/>
      <c r="W34" s="13"/>
      <c r="X34" s="2"/>
      <c r="Y34" s="2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+R_2014_11_priskirta!E36+'R_2014_11_atkelta(viso)'!E35</f>
        <v>0</v>
      </c>
      <c r="F35" s="127">
        <f>+R_2014_11_priskirta!F36+'R_2014_11_atkelta(viso)'!F35</f>
        <v>0</v>
      </c>
      <c r="G35" s="127">
        <f>+R_2014_11_priskirta!G36+'R_2014_11_atkelta(viso)'!G35</f>
        <v>20</v>
      </c>
      <c r="H35" s="127">
        <f>+R_2014_11_priskirta!H36+'R_2014_11_atkelta(viso)'!H35</f>
        <v>0</v>
      </c>
      <c r="I35" s="127">
        <f>+R_2014_11_priskirta!I36+'R_2014_11_atkelta(viso)'!I35</f>
        <v>0</v>
      </c>
      <c r="J35" s="127">
        <f>+R_2014_11_priskirta!J36+'R_2014_11_atkelta(viso)'!J35</f>
        <v>0</v>
      </c>
      <c r="K35" s="127">
        <f>+R_2014_11_priskirta!K36+'R_2014_11_atkelta(viso)'!K35</f>
        <v>0</v>
      </c>
      <c r="L35" s="127">
        <f>+R_2014_11_priskirta!L36+'R_2014_11_atkelta(viso)'!L35</f>
        <v>0</v>
      </c>
      <c r="M35" s="127">
        <f>+R_2014_11_priskirta!M36+'R_2014_11_atkelta(viso)'!M35</f>
        <v>0</v>
      </c>
      <c r="N35" s="127">
        <f>+R_2014_11_priskirta!N36+'R_2014_11_atkelta(viso)'!N35</f>
        <v>0</v>
      </c>
      <c r="O35" s="127">
        <f>+R_2014_11_priskirta!O36+'R_2014_11_atkelta(viso)'!O35</f>
        <v>0</v>
      </c>
      <c r="P35" s="127">
        <f>+R_2014_11_priskirta!P36+'R_2014_11_atkelta(viso)'!P35</f>
        <v>0</v>
      </c>
      <c r="Q35" s="24">
        <f t="shared" si="21"/>
        <v>20</v>
      </c>
      <c r="R35" s="229">
        <f t="shared" si="6"/>
        <v>18.348623853211009</v>
      </c>
      <c r="S35" s="73">
        <f t="shared" si="23"/>
        <v>1.6513761467889907</v>
      </c>
      <c r="T35" s="21">
        <f t="shared" si="22"/>
        <v>7.407407407407407E-2</v>
      </c>
      <c r="U35" s="71"/>
      <c r="V35" s="61">
        <v>270</v>
      </c>
      <c r="W35" s="13">
        <f t="shared" si="26"/>
        <v>20</v>
      </c>
      <c r="X35" s="2"/>
      <c r="Y35" s="2"/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+R_2014_11_priskirta!E37+'R_2014_11_atkelta(viso)'!E36</f>
        <v>37.200000000000003</v>
      </c>
      <c r="F36" s="127">
        <f>+R_2014_11_priskirta!F37+'R_2014_11_atkelta(viso)'!F36</f>
        <v>70.2</v>
      </c>
      <c r="G36" s="127">
        <f>+R_2014_11_priskirta!G37+'R_2014_11_atkelta(viso)'!G36</f>
        <v>260</v>
      </c>
      <c r="H36" s="127">
        <f>+R_2014_11_priskirta!H37+'R_2014_11_atkelta(viso)'!H36</f>
        <v>18</v>
      </c>
      <c r="I36" s="127">
        <f>+R_2014_11_priskirta!I37+'R_2014_11_atkelta(viso)'!I36</f>
        <v>0</v>
      </c>
      <c r="J36" s="127">
        <f>+R_2014_11_priskirta!J37+'R_2014_11_atkelta(viso)'!J36</f>
        <v>0</v>
      </c>
      <c r="K36" s="127">
        <f>+R_2014_11_priskirta!K37+'R_2014_11_atkelta(viso)'!K36</f>
        <v>0</v>
      </c>
      <c r="L36" s="127">
        <f>+R_2014_11_priskirta!L37+'R_2014_11_atkelta(viso)'!L36</f>
        <v>0</v>
      </c>
      <c r="M36" s="127">
        <f>+R_2014_11_priskirta!M37+'R_2014_11_atkelta(viso)'!M36</f>
        <v>0</v>
      </c>
      <c r="N36" s="127">
        <f>+R_2014_11_priskirta!N37+'R_2014_11_atkelta(viso)'!N36</f>
        <v>18</v>
      </c>
      <c r="O36" s="127">
        <f>+R_2014_11_priskirta!O37+'R_2014_11_atkelta(viso)'!O36</f>
        <v>89.4</v>
      </c>
      <c r="P36" s="127">
        <f>+R_2014_11_priskirta!P37+'R_2014_11_atkelta(viso)'!P36</f>
        <v>0</v>
      </c>
      <c r="Q36" s="24">
        <f t="shared" si="21"/>
        <v>492.79999999999995</v>
      </c>
      <c r="R36" s="229">
        <f t="shared" si="6"/>
        <v>452.1100917431192</v>
      </c>
      <c r="S36" s="73">
        <f t="shared" si="23"/>
        <v>40.689908256880756</v>
      </c>
      <c r="T36" s="21">
        <f t="shared" si="22"/>
        <v>4.5629629629629624</v>
      </c>
      <c r="U36" s="71"/>
      <c r="V36" s="61">
        <v>432</v>
      </c>
      <c r="W36" s="13">
        <f t="shared" si="26"/>
        <v>1971.1999999999998</v>
      </c>
      <c r="X36" s="2"/>
      <c r="Y36" s="2"/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+R_2014_11_priskirta!E38+'R_2014_11_atkelta(viso)'!E37</f>
        <v>0</v>
      </c>
      <c r="F37" s="127">
        <f>+R_2014_11_priskirta!F38+'R_2014_11_atkelta(viso)'!F37</f>
        <v>200</v>
      </c>
      <c r="G37" s="127">
        <f>+R_2014_11_priskirta!G38+'R_2014_11_atkelta(viso)'!G37</f>
        <v>0</v>
      </c>
      <c r="H37" s="127">
        <f>+R_2014_11_priskirta!H38+'R_2014_11_atkelta(viso)'!H37</f>
        <v>200</v>
      </c>
      <c r="I37" s="127">
        <f>+R_2014_11_priskirta!I38+'R_2014_11_atkelta(viso)'!I37</f>
        <v>0</v>
      </c>
      <c r="J37" s="127">
        <f>+R_2014_11_priskirta!J38+'R_2014_11_atkelta(viso)'!J37</f>
        <v>0</v>
      </c>
      <c r="K37" s="127">
        <f>+R_2014_11_priskirta!K38+'R_2014_11_atkelta(viso)'!K37</f>
        <v>0</v>
      </c>
      <c r="L37" s="127">
        <f>+R_2014_11_priskirta!L38+'R_2014_11_atkelta(viso)'!L37</f>
        <v>0</v>
      </c>
      <c r="M37" s="127">
        <f>+R_2014_11_priskirta!M38+'R_2014_11_atkelta(viso)'!M37</f>
        <v>0</v>
      </c>
      <c r="N37" s="127">
        <f>+R_2014_11_priskirta!N38+'R_2014_11_atkelta(viso)'!N37</f>
        <v>0</v>
      </c>
      <c r="O37" s="127">
        <f>+R_2014_11_priskirta!O38+'R_2014_11_atkelta(viso)'!O37</f>
        <v>100</v>
      </c>
      <c r="P37" s="127">
        <f>+R_2014_11_priskirta!P38+'R_2014_11_atkelta(viso)'!P37</f>
        <v>0</v>
      </c>
      <c r="Q37" s="24">
        <f t="shared" si="21"/>
        <v>500</v>
      </c>
      <c r="R37" s="229">
        <f t="shared" si="6"/>
        <v>458.71559633027522</v>
      </c>
      <c r="S37" s="73">
        <f t="shared" si="23"/>
        <v>41.284403669724782</v>
      </c>
      <c r="T37" s="21">
        <f t="shared" si="22"/>
        <v>0.55555555555555558</v>
      </c>
      <c r="U37" s="71"/>
      <c r="V37" s="61"/>
      <c r="W37" s="13"/>
      <c r="X37" s="2"/>
      <c r="Y37" s="2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+R_2014_11_priskirta!E39+'R_2014_11_atkelta(viso)'!E38</f>
        <v>0</v>
      </c>
      <c r="F38" s="127">
        <f>+R_2014_11_priskirta!F39+'R_2014_11_atkelta(viso)'!F38</f>
        <v>205</v>
      </c>
      <c r="G38" s="127">
        <f>+R_2014_11_priskirta!G39+'R_2014_11_atkelta(viso)'!G38</f>
        <v>0</v>
      </c>
      <c r="H38" s="127">
        <f>+R_2014_11_priskirta!H39+'R_2014_11_atkelta(viso)'!H38</f>
        <v>0</v>
      </c>
      <c r="I38" s="127">
        <f>+R_2014_11_priskirta!I39+'R_2014_11_atkelta(viso)'!I38</f>
        <v>0</v>
      </c>
      <c r="J38" s="127">
        <f>+R_2014_11_priskirta!J39+'R_2014_11_atkelta(viso)'!J38</f>
        <v>0</v>
      </c>
      <c r="K38" s="127">
        <f>+R_2014_11_priskirta!K39+'R_2014_11_atkelta(viso)'!K38</f>
        <v>0</v>
      </c>
      <c r="L38" s="127">
        <f>+R_2014_11_priskirta!L39+'R_2014_11_atkelta(viso)'!L38</f>
        <v>0</v>
      </c>
      <c r="M38" s="127">
        <f>+R_2014_11_priskirta!M39+'R_2014_11_atkelta(viso)'!M38</f>
        <v>0</v>
      </c>
      <c r="N38" s="127">
        <f>+R_2014_11_priskirta!N39+'R_2014_11_atkelta(viso)'!N38</f>
        <v>0</v>
      </c>
      <c r="O38" s="127">
        <f>+R_2014_11_priskirta!O39+'R_2014_11_atkelta(viso)'!O38</f>
        <v>0</v>
      </c>
      <c r="P38" s="127">
        <f>+R_2014_11_priskirta!P39+'R_2014_11_atkelta(viso)'!P38</f>
        <v>0</v>
      </c>
      <c r="Q38" s="24">
        <f t="shared" si="21"/>
        <v>205</v>
      </c>
      <c r="R38" s="229">
        <f t="shared" si="6"/>
        <v>188.07339449541283</v>
      </c>
      <c r="S38" s="73">
        <f t="shared" si="23"/>
        <v>16.926605504587172</v>
      </c>
      <c r="T38" s="21">
        <f t="shared" si="22"/>
        <v>0.45555555555555555</v>
      </c>
      <c r="U38" s="71"/>
      <c r="V38" s="61">
        <v>450</v>
      </c>
      <c r="W38" s="13">
        <f t="shared" si="26"/>
        <v>205</v>
      </c>
      <c r="X38" s="2"/>
      <c r="Y38" s="2"/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+R_2014_11_priskirta!E40+'R_2014_11_atkelta(viso)'!E39</f>
        <v>140</v>
      </c>
      <c r="F39" s="127">
        <f>+R_2014_11_priskirta!F40+'R_2014_11_atkelta(viso)'!F39</f>
        <v>2151.3366666666666</v>
      </c>
      <c r="G39" s="127">
        <f>+R_2014_11_priskirta!G40+'R_2014_11_atkelta(viso)'!G39</f>
        <v>1.33</v>
      </c>
      <c r="H39" s="127">
        <f>+R_2014_11_priskirta!H40+'R_2014_11_atkelta(viso)'!H39</f>
        <v>260</v>
      </c>
      <c r="I39" s="127">
        <f>+R_2014_11_priskirta!I40+'R_2014_11_atkelta(viso)'!I39</f>
        <v>0</v>
      </c>
      <c r="J39" s="127">
        <f>+R_2014_11_priskirta!J40+'R_2014_11_atkelta(viso)'!J39</f>
        <v>0</v>
      </c>
      <c r="K39" s="127">
        <f>+R_2014_11_priskirta!K40+'R_2014_11_atkelta(viso)'!K39</f>
        <v>0</v>
      </c>
      <c r="L39" s="127">
        <f>+R_2014_11_priskirta!L40+'R_2014_11_atkelta(viso)'!L39</f>
        <v>0</v>
      </c>
      <c r="M39" s="127">
        <f>+R_2014_11_priskirta!M40+'R_2014_11_atkelta(viso)'!M39</f>
        <v>80</v>
      </c>
      <c r="N39" s="127">
        <f>+R_2014_11_priskirta!N40+'R_2014_11_atkelta(viso)'!N39</f>
        <v>60</v>
      </c>
      <c r="O39" s="127">
        <f>+R_2014_11_priskirta!O40+'R_2014_11_atkelta(viso)'!O39</f>
        <v>2244.6666662597654</v>
      </c>
      <c r="P39" s="127">
        <f>+R_2014_11_priskirta!P40+'R_2014_11_atkelta(viso)'!P39</f>
        <v>0</v>
      </c>
      <c r="Q39" s="24">
        <f t="shared" si="21"/>
        <v>4937.3333329264315</v>
      </c>
      <c r="R39" s="229">
        <f t="shared" si="6"/>
        <v>4529.6636081893867</v>
      </c>
      <c r="S39" s="73">
        <f t="shared" si="23"/>
        <v>407.66972473704482</v>
      </c>
      <c r="T39" s="21">
        <f t="shared" si="22"/>
        <v>27.429629627369064</v>
      </c>
      <c r="U39" s="71"/>
      <c r="V39" s="61">
        <v>720</v>
      </c>
      <c r="W39" s="13">
        <f t="shared" si="26"/>
        <v>19749.333331705726</v>
      </c>
      <c r="X39" s="2"/>
      <c r="Y39" s="2"/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+R_2014_11_priskirta!E41+'R_2014_11_atkelta(viso)'!E40</f>
        <v>0</v>
      </c>
      <c r="F40" s="127">
        <f>+R_2014_11_priskirta!F41+'R_2014_11_atkelta(viso)'!F40</f>
        <v>0</v>
      </c>
      <c r="G40" s="127">
        <f>+R_2014_11_priskirta!G41+'R_2014_11_atkelta(viso)'!G40</f>
        <v>0</v>
      </c>
      <c r="H40" s="127">
        <f>+R_2014_11_priskirta!H41+'R_2014_11_atkelta(viso)'!H40</f>
        <v>0</v>
      </c>
      <c r="I40" s="127">
        <f>+R_2014_11_priskirta!I41+'R_2014_11_atkelta(viso)'!I40</f>
        <v>0</v>
      </c>
      <c r="J40" s="127">
        <f>+R_2014_11_priskirta!J41+'R_2014_11_atkelta(viso)'!J40</f>
        <v>0</v>
      </c>
      <c r="K40" s="127">
        <f>+R_2014_11_priskirta!K41+'R_2014_11_atkelta(viso)'!K40</f>
        <v>0</v>
      </c>
      <c r="L40" s="127">
        <f>+R_2014_11_priskirta!L41+'R_2014_11_atkelta(viso)'!L40</f>
        <v>0</v>
      </c>
      <c r="M40" s="127">
        <f>+R_2014_11_priskirta!M41+'R_2014_11_atkelta(viso)'!M40</f>
        <v>0</v>
      </c>
      <c r="N40" s="127">
        <f>+R_2014_11_priskirta!N41+'R_2014_11_atkelta(viso)'!N40</f>
        <v>0</v>
      </c>
      <c r="O40" s="127">
        <f>+R_2014_11_priskirta!O41+'R_2014_11_atkelta(viso)'!O40</f>
        <v>537</v>
      </c>
      <c r="P40" s="127">
        <f>+R_2014_11_priskirta!P41+'R_2014_11_atkelta(viso)'!P40</f>
        <v>0</v>
      </c>
      <c r="Q40" s="24">
        <f t="shared" si="21"/>
        <v>537</v>
      </c>
      <c r="R40" s="229">
        <f t="shared" si="6"/>
        <v>492.66055045871553</v>
      </c>
      <c r="S40" s="73">
        <f t="shared" si="23"/>
        <v>44.339449541284466</v>
      </c>
      <c r="T40" s="21">
        <f t="shared" si="22"/>
        <v>0.66296296296296298</v>
      </c>
      <c r="U40" s="71"/>
      <c r="V40" s="61"/>
      <c r="W40" s="13"/>
      <c r="X40" s="2"/>
      <c r="Y40" s="2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+R_2014_11_priskirta!E42+'R_2014_11_atkelta(viso)'!E41</f>
        <v>0</v>
      </c>
      <c r="F41" s="127">
        <f>+R_2014_11_priskirta!F42+'R_2014_11_atkelta(viso)'!F41</f>
        <v>0</v>
      </c>
      <c r="G41" s="127">
        <f>+R_2014_11_priskirta!G42+'R_2014_11_atkelta(viso)'!G41</f>
        <v>0</v>
      </c>
      <c r="H41" s="127">
        <f>+R_2014_11_priskirta!H42+'R_2014_11_atkelta(viso)'!H41</f>
        <v>0</v>
      </c>
      <c r="I41" s="127">
        <f>+R_2014_11_priskirta!I42+'R_2014_11_atkelta(viso)'!I41</f>
        <v>0</v>
      </c>
      <c r="J41" s="127">
        <f>+R_2014_11_priskirta!J42+'R_2014_11_atkelta(viso)'!J41</f>
        <v>0</v>
      </c>
      <c r="K41" s="127">
        <f>+R_2014_11_priskirta!K42+'R_2014_11_atkelta(viso)'!K41</f>
        <v>0</v>
      </c>
      <c r="L41" s="127">
        <f>+R_2014_11_priskirta!L42+'R_2014_11_atkelta(viso)'!L41</f>
        <v>0</v>
      </c>
      <c r="M41" s="127">
        <f>+R_2014_11_priskirta!M42+'R_2014_11_atkelta(viso)'!M41</f>
        <v>0</v>
      </c>
      <c r="N41" s="127">
        <f>+R_2014_11_priskirta!N42+'R_2014_11_atkelta(viso)'!N41</f>
        <v>0</v>
      </c>
      <c r="O41" s="127">
        <f>+R_2014_11_priskirta!O42+'R_2014_11_atkelta(viso)'!O41</f>
        <v>45</v>
      </c>
      <c r="P41" s="127">
        <f>+R_2014_11_priskirta!P42+'R_2014_11_atkelta(viso)'!P41</f>
        <v>0</v>
      </c>
      <c r="Q41" s="24">
        <f t="shared" si="21"/>
        <v>45</v>
      </c>
      <c r="R41" s="229">
        <f t="shared" si="6"/>
        <v>41.284403669724767</v>
      </c>
      <c r="S41" s="73">
        <f t="shared" si="23"/>
        <v>3.7155963302752326</v>
      </c>
      <c r="T41" s="21">
        <f t="shared" si="22"/>
        <v>0.1111111111111111</v>
      </c>
      <c r="U41" s="71"/>
      <c r="V41" s="61">
        <v>405</v>
      </c>
      <c r="W41" s="13">
        <f t="shared" si="26"/>
        <v>45</v>
      </c>
      <c r="X41" s="2"/>
      <c r="Y41" s="2"/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+R_2014_11_priskirta!E43+'R_2014_11_atkelta(viso)'!E42</f>
        <v>0</v>
      </c>
      <c r="F42" s="127">
        <f>+R_2014_11_priskirta!F43+'R_2014_11_atkelta(viso)'!F42</f>
        <v>162</v>
      </c>
      <c r="G42" s="127">
        <f>+R_2014_11_priskirta!G43+'R_2014_11_atkelta(viso)'!G42</f>
        <v>0</v>
      </c>
      <c r="H42" s="127">
        <f>+R_2014_11_priskirta!H43+'R_2014_11_atkelta(viso)'!H42</f>
        <v>18</v>
      </c>
      <c r="I42" s="127">
        <f>+R_2014_11_priskirta!I43+'R_2014_11_atkelta(viso)'!I42</f>
        <v>0</v>
      </c>
      <c r="J42" s="127">
        <f>+R_2014_11_priskirta!J43+'R_2014_11_atkelta(viso)'!J42</f>
        <v>0</v>
      </c>
      <c r="K42" s="127">
        <f>+R_2014_11_priskirta!K43+'R_2014_11_atkelta(viso)'!K42</f>
        <v>0</v>
      </c>
      <c r="L42" s="127">
        <f>+R_2014_11_priskirta!L43+'R_2014_11_atkelta(viso)'!L42</f>
        <v>0</v>
      </c>
      <c r="M42" s="127">
        <f>+R_2014_11_priskirta!M43+'R_2014_11_atkelta(viso)'!M42</f>
        <v>0</v>
      </c>
      <c r="N42" s="127">
        <f>+R_2014_11_priskirta!N43+'R_2014_11_atkelta(viso)'!N42</f>
        <v>72</v>
      </c>
      <c r="O42" s="127">
        <f>+R_2014_11_priskirta!O43+'R_2014_11_atkelta(viso)'!O42</f>
        <v>369</v>
      </c>
      <c r="P42" s="127">
        <f>+R_2014_11_priskirta!P43+'R_2014_11_atkelta(viso)'!P42</f>
        <v>0</v>
      </c>
      <c r="Q42" s="24">
        <f t="shared" si="21"/>
        <v>621</v>
      </c>
      <c r="R42" s="229">
        <f t="shared" si="6"/>
        <v>569.72477064220175</v>
      </c>
      <c r="S42" s="207">
        <f t="shared" si="23"/>
        <v>51.275229357798253</v>
      </c>
      <c r="T42" s="39">
        <f t="shared" si="22"/>
        <v>3.8333333333333335</v>
      </c>
      <c r="U42" s="71"/>
      <c r="V42" s="61">
        <v>648</v>
      </c>
      <c r="W42" s="13">
        <f t="shared" si="26"/>
        <v>2484</v>
      </c>
      <c r="X42" s="2"/>
      <c r="Y42" s="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+R_2014_11_priskirta!E44+'R_2014_11_atkelta(viso)'!E43</f>
        <v>165.23780821917802</v>
      </c>
      <c r="F43" s="127">
        <f>+R_2014_11_priskirta!F44+'R_2014_11_atkelta(viso)'!F43</f>
        <v>12254.24657534216</v>
      </c>
      <c r="G43" s="127">
        <f>+R_2014_11_priskirta!G44+'R_2014_11_atkelta(viso)'!G43</f>
        <v>1611.73</v>
      </c>
      <c r="H43" s="127">
        <f>+R_2014_11_priskirta!H44+'R_2014_11_atkelta(viso)'!H43</f>
        <v>2292.9294520547946</v>
      </c>
      <c r="I43" s="127">
        <f>+R_2014_11_priskirta!I44+'R_2014_11_atkelta(viso)'!I43</f>
        <v>0</v>
      </c>
      <c r="J43" s="127">
        <f>+R_2014_11_priskirta!J44+'R_2014_11_atkelta(viso)'!J43</f>
        <v>0</v>
      </c>
      <c r="K43" s="127">
        <f>+R_2014_11_priskirta!K44+'R_2014_11_atkelta(viso)'!K43</f>
        <v>0</v>
      </c>
      <c r="L43" s="127">
        <f>+R_2014_11_priskirta!L44+'R_2014_11_atkelta(viso)'!L43</f>
        <v>0</v>
      </c>
      <c r="M43" s="127">
        <f>+R_2014_11_priskirta!M44+'R_2014_11_atkelta(viso)'!M43</f>
        <v>41.61</v>
      </c>
      <c r="N43" s="127">
        <f>+R_2014_11_priskirta!N44+'R_2014_11_atkelta(viso)'!N43</f>
        <v>0.82191780821917815</v>
      </c>
      <c r="O43" s="127">
        <f>+R_2014_11_priskirta!O44+'R_2014_11_atkelta(viso)'!O43</f>
        <v>28.328766860961913</v>
      </c>
      <c r="P43" s="127">
        <f>+R_2014_11_priskirta!P44+'R_2014_11_atkelta(viso)'!P43</f>
        <v>0</v>
      </c>
      <c r="Q43" s="24">
        <f t="shared" si="21"/>
        <v>16394.904520285312</v>
      </c>
      <c r="R43" s="229">
        <f t="shared" si="6"/>
        <v>15041.196807601204</v>
      </c>
      <c r="S43" s="147">
        <f t="shared" si="23"/>
        <v>1353.7077126841086</v>
      </c>
      <c r="T43" s="22">
        <f t="shared" si="22"/>
        <v>1639.4904520285313</v>
      </c>
      <c r="U43" s="71"/>
      <c r="V43" s="61"/>
      <c r="W43" s="13"/>
      <c r="X43" s="2"/>
      <c r="Y43" s="2"/>
    </row>
    <row r="44" spans="1:25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6250.52</v>
      </c>
      <c r="F44" s="82">
        <f>+SUM(F45:F53)</f>
        <v>128798.14</v>
      </c>
      <c r="G44" s="82">
        <f t="shared" ref="G44:T44" si="27">+SUM(G45:G53)</f>
        <v>19199.52</v>
      </c>
      <c r="H44" s="82">
        <f>+SUM(H45:H53)</f>
        <v>2926.4199999999996</v>
      </c>
      <c r="I44" s="82">
        <f t="shared" si="27"/>
        <v>0</v>
      </c>
      <c r="J44" s="82">
        <f t="shared" si="27"/>
        <v>0</v>
      </c>
      <c r="K44" s="100">
        <f t="shared" si="27"/>
        <v>0</v>
      </c>
      <c r="L44" s="100">
        <f t="shared" si="27"/>
        <v>0</v>
      </c>
      <c r="M44" s="100">
        <f t="shared" si="27"/>
        <v>1229.46</v>
      </c>
      <c r="N44" s="100">
        <f t="shared" si="27"/>
        <v>3372.48</v>
      </c>
      <c r="O44" s="100">
        <f t="shared" si="27"/>
        <v>10337.92</v>
      </c>
      <c r="P44" s="100">
        <f t="shared" si="27"/>
        <v>0</v>
      </c>
      <c r="Q44" s="42">
        <f>+SUM(Q45:Q53)</f>
        <v>172114.46000000002</v>
      </c>
      <c r="R44" s="82">
        <f t="shared" si="27"/>
        <v>157903.17431192659</v>
      </c>
      <c r="S44" s="82">
        <f t="shared" si="27"/>
        <v>14211.285688073407</v>
      </c>
      <c r="T44" s="19">
        <f t="shared" si="27"/>
        <v>25916.399999999998</v>
      </c>
      <c r="U44" s="71"/>
      <c r="V44" s="61"/>
      <c r="W44" s="105">
        <f>+SUM(W45:W53)</f>
        <v>248227.94</v>
      </c>
      <c r="X44" s="2"/>
      <c r="Y44" s="2"/>
    </row>
    <row r="45" spans="1:25" ht="12" customHeight="1" x14ac:dyDescent="0.25">
      <c r="A45" s="65" t="s">
        <v>17</v>
      </c>
      <c r="B45" s="86" t="s">
        <v>35</v>
      </c>
      <c r="C45" s="375" t="s">
        <v>2</v>
      </c>
      <c r="D45" s="376">
        <v>12</v>
      </c>
      <c r="E45" s="127">
        <f>+R_2014_11_priskirta!E46+'R_2014_11_atkelta(viso)'!E45</f>
        <v>744</v>
      </c>
      <c r="F45" s="127">
        <f>+R_2014_11_priskirta!F46+'R_2014_11_atkelta(viso)'!F45</f>
        <v>14040</v>
      </c>
      <c r="G45" s="127">
        <f>+R_2014_11_priskirta!G46+'R_2014_11_atkelta(viso)'!G45</f>
        <v>2004</v>
      </c>
      <c r="H45" s="127">
        <f>+R_2014_11_priskirta!H46+'R_2014_11_atkelta(viso)'!H45</f>
        <v>252</v>
      </c>
      <c r="I45" s="127">
        <f>+R_2014_11_priskirta!I46+'R_2014_11_atkelta(viso)'!I45</f>
        <v>0</v>
      </c>
      <c r="J45" s="127">
        <f>+R_2014_11_priskirta!J46+'R_2014_11_atkelta(viso)'!J45</f>
        <v>0</v>
      </c>
      <c r="K45" s="127">
        <f>+R_2014_11_priskirta!K46+'R_2014_11_atkelta(viso)'!K45</f>
        <v>0</v>
      </c>
      <c r="L45" s="127">
        <f>+R_2014_11_priskirta!L46+'R_2014_11_atkelta(viso)'!L45</f>
        <v>0</v>
      </c>
      <c r="M45" s="127">
        <f>+R_2014_11_priskirta!M46+'R_2014_11_atkelta(viso)'!M45</f>
        <v>72</v>
      </c>
      <c r="N45" s="127">
        <f>+R_2014_11_priskirta!N46+'R_2014_11_atkelta(viso)'!N45</f>
        <v>504</v>
      </c>
      <c r="O45" s="127">
        <f>+R_2014_11_priskirta!O46+'R_2014_11_atkelta(viso)'!O45</f>
        <v>1344</v>
      </c>
      <c r="P45" s="127">
        <f>+R_2014_11_priskirta!P46+'R_2014_11_atkelta(viso)'!P45</f>
        <v>0</v>
      </c>
      <c r="Q45" s="24">
        <f t="shared" si="21"/>
        <v>18960</v>
      </c>
      <c r="R45" s="229">
        <f t="shared" si="6"/>
        <v>17394.495412844037</v>
      </c>
      <c r="S45" s="99">
        <f t="shared" ref="S45:S53" si="28">+Q45-R45</f>
        <v>1565.5045871559632</v>
      </c>
      <c r="T45" s="116">
        <f t="shared" ref="T45:T53" si="29">Q45/D45</f>
        <v>1580</v>
      </c>
      <c r="U45" s="71"/>
      <c r="V45" s="61"/>
      <c r="W45" s="13"/>
      <c r="X45" s="2"/>
      <c r="Y45" s="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>
        <f>+R_2014_11_priskirta!E47+'R_2014_11_atkelta(viso)'!E46</f>
        <v>216</v>
      </c>
      <c r="F46" s="127">
        <f>+R_2014_11_priskirta!F47+'R_2014_11_atkelta(viso)'!F46</f>
        <v>1896</v>
      </c>
      <c r="G46" s="127">
        <f>+R_2014_11_priskirta!G47+'R_2014_11_atkelta(viso)'!G46</f>
        <v>246</v>
      </c>
      <c r="H46" s="127">
        <f>+R_2014_11_priskirta!H47+'R_2014_11_atkelta(viso)'!H46</f>
        <v>30</v>
      </c>
      <c r="I46" s="127">
        <f>+R_2014_11_priskirta!I47+'R_2014_11_atkelta(viso)'!I46</f>
        <v>0</v>
      </c>
      <c r="J46" s="127">
        <f>+R_2014_11_priskirta!J47+'R_2014_11_atkelta(viso)'!J46</f>
        <v>0</v>
      </c>
      <c r="K46" s="127">
        <f>+R_2014_11_priskirta!K47+'R_2014_11_atkelta(viso)'!K46</f>
        <v>0</v>
      </c>
      <c r="L46" s="127">
        <f>+R_2014_11_priskirta!L47+'R_2014_11_atkelta(viso)'!L46</f>
        <v>0</v>
      </c>
      <c r="M46" s="127">
        <f>+R_2014_11_priskirta!M47+'R_2014_11_atkelta(viso)'!M46</f>
        <v>18</v>
      </c>
      <c r="N46" s="127">
        <f>+R_2014_11_priskirta!N47+'R_2014_11_atkelta(viso)'!N46</f>
        <v>66</v>
      </c>
      <c r="O46" s="127">
        <f>+R_2014_11_priskirta!O47+'R_2014_11_atkelta(viso)'!O46</f>
        <v>114</v>
      </c>
      <c r="P46" s="127">
        <f>+R_2014_11_priskirta!P47+'R_2014_11_atkelta(viso)'!P46</f>
        <v>0</v>
      </c>
      <c r="Q46" s="5">
        <f t="shared" si="21"/>
        <v>2586</v>
      </c>
      <c r="R46" s="229">
        <f t="shared" si="6"/>
        <v>2372.4770642201834</v>
      </c>
      <c r="S46" s="5">
        <f t="shared" si="28"/>
        <v>213.52293577981663</v>
      </c>
      <c r="T46" s="31">
        <f t="shared" si="29"/>
        <v>431</v>
      </c>
      <c r="U46" s="71"/>
      <c r="V46" s="61">
        <v>6</v>
      </c>
      <c r="W46" s="13">
        <f t="shared" ref="W46:W47" si="30">+T46*V46</f>
        <v>2586</v>
      </c>
      <c r="X46" s="2"/>
      <c r="Y46" s="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+R_2014_11_priskirta!E48+'R_2014_11_atkelta(viso)'!E47</f>
        <v>1473.6</v>
      </c>
      <c r="F47" s="127">
        <f>+R_2014_11_priskirta!F48+'R_2014_11_atkelta(viso)'!F47</f>
        <v>32227.200000000001</v>
      </c>
      <c r="G47" s="127">
        <f>+R_2014_11_priskirta!G48+'R_2014_11_atkelta(viso)'!G47</f>
        <v>5808</v>
      </c>
      <c r="H47" s="127">
        <f>+R_2014_11_priskirta!H48+'R_2014_11_atkelta(viso)'!H47</f>
        <v>187.2</v>
      </c>
      <c r="I47" s="127">
        <f>+R_2014_11_priskirta!I48+'R_2014_11_atkelta(viso)'!I47</f>
        <v>0</v>
      </c>
      <c r="J47" s="127">
        <f>+R_2014_11_priskirta!J48+'R_2014_11_atkelta(viso)'!J47</f>
        <v>0</v>
      </c>
      <c r="K47" s="127">
        <f>+R_2014_11_priskirta!K48+'R_2014_11_atkelta(viso)'!K47</f>
        <v>0</v>
      </c>
      <c r="L47" s="127">
        <f>+R_2014_11_priskirta!L48+'R_2014_11_atkelta(viso)'!L47</f>
        <v>0</v>
      </c>
      <c r="M47" s="127">
        <f>+R_2014_11_priskirta!M48+'R_2014_11_atkelta(viso)'!M47</f>
        <v>288</v>
      </c>
      <c r="N47" s="127">
        <f>+R_2014_11_priskirta!N48+'R_2014_11_atkelta(viso)'!N47</f>
        <v>971.99999999999977</v>
      </c>
      <c r="O47" s="127">
        <f>+R_2014_11_priskirta!O48+'R_2014_11_atkelta(viso)'!O47</f>
        <v>1857.6</v>
      </c>
      <c r="P47" s="127">
        <f>+R_2014_11_priskirta!P48+'R_2014_11_atkelta(viso)'!P47</f>
        <v>0</v>
      </c>
      <c r="Q47" s="24">
        <f t="shared" si="21"/>
        <v>42813.599999999999</v>
      </c>
      <c r="R47" s="229">
        <f t="shared" si="6"/>
        <v>39278.532110091735</v>
      </c>
      <c r="S47" s="5">
        <f t="shared" si="28"/>
        <v>3535.0678899082632</v>
      </c>
      <c r="T47" s="31">
        <f t="shared" si="29"/>
        <v>17839</v>
      </c>
      <c r="U47" s="71"/>
      <c r="V47" s="61">
        <v>9.6</v>
      </c>
      <c r="W47" s="13">
        <f t="shared" si="30"/>
        <v>171254.39999999999</v>
      </c>
      <c r="X47" s="2"/>
      <c r="Y47" s="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f>+R_2014_11_priskirta!E49+'R_2014_11_atkelta(viso)'!E48</f>
        <v>574</v>
      </c>
      <c r="F48" s="127">
        <f>+R_2014_11_priskirta!F49+'R_2014_11_atkelta(viso)'!F48</f>
        <v>14210</v>
      </c>
      <c r="G48" s="127">
        <f>+R_2014_11_priskirta!G49+'R_2014_11_atkelta(viso)'!G48</f>
        <v>1582</v>
      </c>
      <c r="H48" s="127">
        <f>+R_2014_11_priskirta!H49+'R_2014_11_atkelta(viso)'!H48</f>
        <v>665</v>
      </c>
      <c r="I48" s="127">
        <f>+R_2014_11_priskirta!I49+'R_2014_11_atkelta(viso)'!I48</f>
        <v>0</v>
      </c>
      <c r="J48" s="127">
        <f>+R_2014_11_priskirta!J49+'R_2014_11_atkelta(viso)'!J48</f>
        <v>0</v>
      </c>
      <c r="K48" s="127">
        <f>+R_2014_11_priskirta!K49+'R_2014_11_atkelta(viso)'!K48</f>
        <v>0</v>
      </c>
      <c r="L48" s="127">
        <f>+R_2014_11_priskirta!L49+'R_2014_11_atkelta(viso)'!L48</f>
        <v>0</v>
      </c>
      <c r="M48" s="127">
        <f>+R_2014_11_priskirta!M49+'R_2014_11_atkelta(viso)'!M48</f>
        <v>98</v>
      </c>
      <c r="N48" s="127">
        <f>+R_2014_11_priskirta!N49+'R_2014_11_atkelta(viso)'!N48</f>
        <v>413</v>
      </c>
      <c r="O48" s="127">
        <f>+R_2014_11_priskirta!O49+'R_2014_11_atkelta(viso)'!O48</f>
        <v>1680</v>
      </c>
      <c r="P48" s="127">
        <f>+R_2014_11_priskirta!P49+'R_2014_11_atkelta(viso)'!P48</f>
        <v>0</v>
      </c>
      <c r="Q48" s="5">
        <f t="shared" si="21"/>
        <v>19222</v>
      </c>
      <c r="R48" s="229">
        <f t="shared" si="6"/>
        <v>17634.862385321099</v>
      </c>
      <c r="S48" s="5">
        <f t="shared" si="28"/>
        <v>1587.1376146789007</v>
      </c>
      <c r="T48" s="31">
        <f t="shared" si="29"/>
        <v>915.33333333333337</v>
      </c>
      <c r="U48" s="71"/>
      <c r="V48" s="61"/>
      <c r="W48" s="13"/>
      <c r="X48" s="2"/>
      <c r="Y48" s="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+R_2014_11_priskirta!E50+'R_2014_11_atkelta(viso)'!E49</f>
        <v>87.5</v>
      </c>
      <c r="F49" s="127">
        <f>+R_2014_11_priskirta!F50+'R_2014_11_atkelta(viso)'!F49</f>
        <v>1641.5</v>
      </c>
      <c r="G49" s="127">
        <f>+R_2014_11_priskirta!G50+'R_2014_11_atkelta(viso)'!G49</f>
        <v>147</v>
      </c>
      <c r="H49" s="127">
        <f>+R_2014_11_priskirta!H50+'R_2014_11_atkelta(viso)'!H49</f>
        <v>42</v>
      </c>
      <c r="I49" s="127">
        <f>+R_2014_11_priskirta!I50+'R_2014_11_atkelta(viso)'!I49</f>
        <v>0</v>
      </c>
      <c r="J49" s="127">
        <f>+R_2014_11_priskirta!J50+'R_2014_11_atkelta(viso)'!J49</f>
        <v>0</v>
      </c>
      <c r="K49" s="127">
        <f>+R_2014_11_priskirta!K50+'R_2014_11_atkelta(viso)'!K49</f>
        <v>0</v>
      </c>
      <c r="L49" s="127">
        <f>+R_2014_11_priskirta!L50+'R_2014_11_atkelta(viso)'!L49</f>
        <v>0</v>
      </c>
      <c r="M49" s="127">
        <f>+R_2014_11_priskirta!M50+'R_2014_11_atkelta(viso)'!M49</f>
        <v>10.5</v>
      </c>
      <c r="N49" s="127">
        <f>+R_2014_11_priskirta!N50+'R_2014_11_atkelta(viso)'!N49</f>
        <v>31.5</v>
      </c>
      <c r="O49" s="127">
        <f>+R_2014_11_priskirta!O50+'R_2014_11_atkelta(viso)'!O49</f>
        <v>119</v>
      </c>
      <c r="P49" s="127">
        <f>+R_2014_11_priskirta!P50+'R_2014_11_atkelta(viso)'!P49</f>
        <v>0</v>
      </c>
      <c r="Q49" s="24">
        <f t="shared" si="21"/>
        <v>2079</v>
      </c>
      <c r="R49" s="229">
        <f t="shared" si="6"/>
        <v>1907.3394495412842</v>
      </c>
      <c r="S49" s="5">
        <f t="shared" si="28"/>
        <v>171.66055045871576</v>
      </c>
      <c r="T49" s="21">
        <f t="shared" si="29"/>
        <v>198</v>
      </c>
      <c r="U49" s="71"/>
      <c r="V49" s="61">
        <v>10.5</v>
      </c>
      <c r="W49" s="13">
        <f t="shared" ref="W49:W50" si="31">+T49*V49</f>
        <v>2079</v>
      </c>
      <c r="X49" s="2"/>
      <c r="Y49" s="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+R_2014_11_priskirta!E51+'R_2014_11_atkelta(viso)'!E50</f>
        <v>301</v>
      </c>
      <c r="F50" s="127">
        <f>+R_2014_11_priskirta!F51+'R_2014_11_atkelta(viso)'!F50</f>
        <v>6791.4</v>
      </c>
      <c r="G50" s="127">
        <f>+R_2014_11_priskirta!G51+'R_2014_11_atkelta(viso)'!G50</f>
        <v>838.6</v>
      </c>
      <c r="H50" s="127">
        <f>+R_2014_11_priskirta!H51+'R_2014_11_atkelta(viso)'!H50</f>
        <v>117.6</v>
      </c>
      <c r="I50" s="127">
        <f>+R_2014_11_priskirta!I51+'R_2014_11_atkelta(viso)'!I50</f>
        <v>0</v>
      </c>
      <c r="J50" s="127">
        <f>+R_2014_11_priskirta!J51+'R_2014_11_atkelta(viso)'!J50</f>
        <v>0</v>
      </c>
      <c r="K50" s="127">
        <f>+R_2014_11_priskirta!K51+'R_2014_11_atkelta(viso)'!K50</f>
        <v>0</v>
      </c>
      <c r="L50" s="127">
        <f>+R_2014_11_priskirta!L51+'R_2014_11_atkelta(viso)'!L50</f>
        <v>0</v>
      </c>
      <c r="M50" s="127">
        <f>+R_2014_11_priskirta!M51+'R_2014_11_atkelta(viso)'!M50</f>
        <v>47.599999999999994</v>
      </c>
      <c r="N50" s="127">
        <f>+R_2014_11_priskirta!N51+'R_2014_11_atkelta(viso)'!N50</f>
        <v>329.00000000000006</v>
      </c>
      <c r="O50" s="127">
        <f>+R_2014_11_priskirta!O51+'R_2014_11_atkelta(viso)'!O50</f>
        <v>880.6</v>
      </c>
      <c r="P50" s="127">
        <f>+R_2014_11_priskirta!P51+'R_2014_11_atkelta(viso)'!P50</f>
        <v>0</v>
      </c>
      <c r="Q50" s="24">
        <f t="shared" si="21"/>
        <v>9305.8000000000011</v>
      </c>
      <c r="R50" s="229">
        <f t="shared" si="6"/>
        <v>8537.4311926605515</v>
      </c>
      <c r="S50" s="5">
        <f t="shared" si="28"/>
        <v>768.36880733944963</v>
      </c>
      <c r="T50" s="21">
        <f t="shared" si="29"/>
        <v>2215.666666666667</v>
      </c>
      <c r="U50" s="71"/>
      <c r="V50" s="61">
        <v>16.8</v>
      </c>
      <c r="W50" s="13">
        <f t="shared" si="31"/>
        <v>37223.200000000004</v>
      </c>
      <c r="X50" s="2"/>
      <c r="Y50" s="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+R_2014_11_priskirta!E52+'R_2014_11_atkelta(viso)'!E51</f>
        <v>2349.2999999999997</v>
      </c>
      <c r="F51" s="127">
        <f>+R_2014_11_priskirta!F52+'R_2014_11_atkelta(viso)'!F51</f>
        <v>47797.8</v>
      </c>
      <c r="G51" s="127">
        <f>+R_2014_11_priskirta!G52+'R_2014_11_atkelta(viso)'!G51</f>
        <v>6883.9</v>
      </c>
      <c r="H51" s="127">
        <f>+R_2014_11_priskirta!H52+'R_2014_11_atkelta(viso)'!H51</f>
        <v>1344.8</v>
      </c>
      <c r="I51" s="127">
        <f>+R_2014_11_priskirta!I52+'R_2014_11_atkelta(viso)'!I51</f>
        <v>0</v>
      </c>
      <c r="J51" s="127">
        <f>+R_2014_11_priskirta!J52+'R_2014_11_atkelta(viso)'!J51</f>
        <v>0</v>
      </c>
      <c r="K51" s="127">
        <f>+R_2014_11_priskirta!K52+'R_2014_11_atkelta(viso)'!K51</f>
        <v>0</v>
      </c>
      <c r="L51" s="127">
        <f>+R_2014_11_priskirta!L52+'R_2014_11_atkelta(viso)'!L51</f>
        <v>0</v>
      </c>
      <c r="M51" s="127">
        <f>+R_2014_11_priskirta!M52+'R_2014_11_atkelta(viso)'!M51</f>
        <v>598.6</v>
      </c>
      <c r="N51" s="127">
        <f>+R_2014_11_priskirta!N52+'R_2014_11_atkelta(viso)'!N51</f>
        <v>877.40000000000009</v>
      </c>
      <c r="O51" s="127">
        <f>+R_2014_11_priskirta!O52+'R_2014_11_atkelta(viso)'!O51</f>
        <v>3435.7999999999997</v>
      </c>
      <c r="P51" s="127">
        <f>+R_2014_11_priskirta!P52+'R_2014_11_atkelta(viso)'!P51</f>
        <v>0</v>
      </c>
      <c r="Q51" s="24">
        <f t="shared" si="21"/>
        <v>63287.600000000013</v>
      </c>
      <c r="R51" s="229">
        <f t="shared" si="6"/>
        <v>58062.01834862386</v>
      </c>
      <c r="S51" s="5">
        <f t="shared" si="28"/>
        <v>5225.5816513761529</v>
      </c>
      <c r="T51" s="21">
        <f t="shared" si="29"/>
        <v>1543.6000000000004</v>
      </c>
      <c r="U51" s="71"/>
      <c r="V51" s="61"/>
      <c r="W51" s="13"/>
      <c r="X51" s="2"/>
      <c r="Y51" s="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+R_2014_11_priskirta!E53+'R_2014_11_atkelta(viso)'!E52</f>
        <v>229.6</v>
      </c>
      <c r="F52" s="127">
        <f>+R_2014_11_priskirta!F53+'R_2014_11_atkelta(viso)'!F52</f>
        <v>5211.0999999999995</v>
      </c>
      <c r="G52" s="127">
        <f>+R_2014_11_priskirta!G53+'R_2014_11_atkelta(viso)'!G52</f>
        <v>934.8</v>
      </c>
      <c r="H52" s="127">
        <f>+R_2014_11_priskirta!H53+'R_2014_11_atkelta(viso)'!H52</f>
        <v>209.1</v>
      </c>
      <c r="I52" s="127">
        <f>+R_2014_11_priskirta!I53+'R_2014_11_atkelta(viso)'!I52</f>
        <v>0</v>
      </c>
      <c r="J52" s="127">
        <f>+R_2014_11_priskirta!J53+'R_2014_11_atkelta(viso)'!J52</f>
        <v>0</v>
      </c>
      <c r="K52" s="127">
        <f>+R_2014_11_priskirta!K53+'R_2014_11_atkelta(viso)'!K52</f>
        <v>0</v>
      </c>
      <c r="L52" s="127">
        <f>+R_2014_11_priskirta!L53+'R_2014_11_atkelta(viso)'!L52</f>
        <v>0</v>
      </c>
      <c r="M52" s="127">
        <f>+R_2014_11_priskirta!M53+'R_2014_11_atkelta(viso)'!M52</f>
        <v>69.7</v>
      </c>
      <c r="N52" s="127">
        <f>+R_2014_11_priskirta!N53+'R_2014_11_atkelta(viso)'!N52</f>
        <v>20.500000000000004</v>
      </c>
      <c r="O52" s="127">
        <f>+R_2014_11_priskirta!O53+'R_2014_11_atkelta(viso)'!O52</f>
        <v>110.7</v>
      </c>
      <c r="P52" s="127">
        <f>+R_2014_11_priskirta!P53+'R_2014_11_atkelta(viso)'!P52</f>
        <v>0</v>
      </c>
      <c r="Q52" s="24">
        <f t="shared" si="21"/>
        <v>6785.5</v>
      </c>
      <c r="R52" s="229">
        <f t="shared" si="6"/>
        <v>6225.2293577981645</v>
      </c>
      <c r="S52" s="5">
        <f t="shared" si="28"/>
        <v>560.27064220183547</v>
      </c>
      <c r="T52" s="21">
        <f t="shared" si="29"/>
        <v>331</v>
      </c>
      <c r="U52" s="71"/>
      <c r="V52" s="61">
        <v>20.5</v>
      </c>
      <c r="W52" s="13">
        <f t="shared" ref="W52:W53" si="32">+T52*V52</f>
        <v>6785.5</v>
      </c>
      <c r="X52" s="2"/>
      <c r="Y52" s="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7">
        <f>+R_2014_11_priskirta!E54+'R_2014_11_atkelta(viso)'!E53</f>
        <v>275.52</v>
      </c>
      <c r="F53" s="127">
        <f>+R_2014_11_priskirta!F54+'R_2014_11_atkelta(viso)'!F53</f>
        <v>4983.1400000000003</v>
      </c>
      <c r="G53" s="127">
        <f>+R_2014_11_priskirta!G54+'R_2014_11_atkelta(viso)'!G53</f>
        <v>755.22</v>
      </c>
      <c r="H53" s="127">
        <f>+R_2014_11_priskirta!H54+'R_2014_11_atkelta(viso)'!H53</f>
        <v>78.72</v>
      </c>
      <c r="I53" s="127">
        <f>+R_2014_11_priskirta!I54+'R_2014_11_atkelta(viso)'!I53</f>
        <v>0</v>
      </c>
      <c r="J53" s="127">
        <f>+R_2014_11_priskirta!J54+'R_2014_11_atkelta(viso)'!J53</f>
        <v>0</v>
      </c>
      <c r="K53" s="127">
        <f>+R_2014_11_priskirta!K54+'R_2014_11_atkelta(viso)'!K53</f>
        <v>0</v>
      </c>
      <c r="L53" s="127">
        <f>+R_2014_11_priskirta!L54+'R_2014_11_atkelta(viso)'!L53</f>
        <v>0</v>
      </c>
      <c r="M53" s="127">
        <f>+R_2014_11_priskirta!M54+'R_2014_11_atkelta(viso)'!M53</f>
        <v>27.06</v>
      </c>
      <c r="N53" s="127">
        <f>+R_2014_11_priskirta!N54+'R_2014_11_atkelta(viso)'!N53</f>
        <v>159.08000000000004</v>
      </c>
      <c r="O53" s="127">
        <f>+R_2014_11_priskirta!O54+'R_2014_11_atkelta(viso)'!O53</f>
        <v>796.21999999999991</v>
      </c>
      <c r="P53" s="127">
        <f>+R_2014_11_priskirta!P54+'R_2014_11_atkelta(viso)'!P53</f>
        <v>0</v>
      </c>
      <c r="Q53" s="359">
        <f t="shared" si="21"/>
        <v>7074.9600000000009</v>
      </c>
      <c r="R53" s="140">
        <f t="shared" si="6"/>
        <v>6490.7889908256884</v>
      </c>
      <c r="S53" s="6">
        <f t="shared" si="28"/>
        <v>584.17100917431253</v>
      </c>
      <c r="T53" s="22">
        <f t="shared" si="29"/>
        <v>862.80000000000018</v>
      </c>
      <c r="U53" s="71"/>
      <c r="V53" s="61">
        <v>32.799999999999997</v>
      </c>
      <c r="W53" s="13">
        <f t="shared" si="32"/>
        <v>28299.840000000004</v>
      </c>
      <c r="X53" s="2"/>
      <c r="Y53" s="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W3:W4"/>
    <mergeCell ref="N3:N4"/>
    <mergeCell ref="O3:P4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AE73"/>
  <sheetViews>
    <sheetView zoomScaleNormal="100" workbookViewId="0">
      <pane xSplit="4" ySplit="4" topLeftCell="M47" activePane="bottomRight" state="frozen"/>
      <selection pane="topRight" activeCell="E1" sqref="E1"/>
      <selection pane="bottomLeft" activeCell="A5" sqref="A5"/>
      <selection pane="bottomRight" activeCell="D57" sqref="D57:Q57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2.109375" style="1" customWidth="1"/>
    <col min="9" max="9" width="14.77734375" style="1" customWidth="1"/>
    <col min="10" max="10" width="14.109375" style="1" customWidth="1"/>
    <col min="11" max="11" width="11.33203125" style="1" customWidth="1"/>
    <col min="12" max="12" width="12.33203125" style="1" customWidth="1"/>
    <col min="13" max="13" width="13" style="1" customWidth="1"/>
    <col min="14" max="14" width="12.6640625" style="1" customWidth="1"/>
    <col min="15" max="15" width="13" style="1" customWidth="1"/>
    <col min="16" max="16" width="11.5546875" style="1" customWidth="1" outlineLevel="1"/>
    <col min="17" max="17" width="15.109375" style="1" bestFit="1" customWidth="1"/>
    <col min="18" max="19" width="12.33203125" style="1" customWidth="1"/>
    <col min="20" max="20" width="11.6640625" style="1" customWidth="1"/>
    <col min="21" max="21" width="13.77734375" style="1" customWidth="1"/>
    <col min="22" max="22" width="4.88671875" style="1" customWidth="1"/>
    <col min="23" max="23" width="12.88671875" style="2" customWidth="1"/>
    <col min="24" max="24" width="9.88671875" style="1" bestFit="1" customWidth="1"/>
    <col min="25" max="16384" width="8.88671875" style="1"/>
  </cols>
  <sheetData>
    <row r="1" spans="1:31" ht="22.2" customHeight="1" x14ac:dyDescent="0.3">
      <c r="A1" s="40" t="s">
        <v>505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31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ht="25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601" t="s">
        <v>178</v>
      </c>
      <c r="P3" s="602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31" ht="26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506</v>
      </c>
      <c r="M4" s="575"/>
      <c r="N4" s="575"/>
      <c r="O4" s="470" t="s">
        <v>481</v>
      </c>
      <c r="P4" s="472" t="s">
        <v>507</v>
      </c>
      <c r="Q4" s="591"/>
      <c r="R4" s="592"/>
      <c r="S4" s="592"/>
      <c r="T4" s="592"/>
      <c r="V4" s="87"/>
      <c r="W4" s="585"/>
    </row>
    <row r="5" spans="1:31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T5" si="0">+E6+E18+E44</f>
        <v>393608.88</v>
      </c>
      <c r="F5" s="187">
        <f t="shared" si="0"/>
        <v>6418908.6399999997</v>
      </c>
      <c r="G5" s="82">
        <f t="shared" si="0"/>
        <v>932289.15999999992</v>
      </c>
      <c r="H5" s="82">
        <f t="shared" si="0"/>
        <v>143053.94</v>
      </c>
      <c r="I5" s="187">
        <f t="shared" si="0"/>
        <v>599492.94999999995</v>
      </c>
      <c r="J5" s="187">
        <f t="shared" si="0"/>
        <v>833725.2</v>
      </c>
      <c r="K5" s="187">
        <f t="shared" si="0"/>
        <v>956203.35</v>
      </c>
      <c r="L5" s="187">
        <f t="shared" si="0"/>
        <v>437.24000000002036</v>
      </c>
      <c r="M5" s="187">
        <f t="shared" si="0"/>
        <v>99735.34</v>
      </c>
      <c r="N5" s="192">
        <f>+N6+N18+N44</f>
        <v>157601.4</v>
      </c>
      <c r="O5" s="187">
        <f>+O6+O18+O44</f>
        <v>646467.31999999995</v>
      </c>
      <c r="P5" s="19">
        <f>+P6+P18+P44</f>
        <v>28.500000000000004</v>
      </c>
      <c r="Q5" s="42">
        <f t="shared" ref="Q5:Q10" si="1">+SUM(E5:P5)</f>
        <v>11181551.92</v>
      </c>
      <c r="R5" s="42">
        <f t="shared" si="0"/>
        <v>10258304.513761468</v>
      </c>
      <c r="S5" s="42">
        <f t="shared" si="0"/>
        <v>923247.40623853286</v>
      </c>
      <c r="T5" s="42">
        <f t="shared" si="0"/>
        <v>2414429.5863636364</v>
      </c>
      <c r="U5" s="71"/>
      <c r="V5" s="87"/>
      <c r="W5" s="135">
        <f>+W7+W18+W44</f>
        <v>6966212.6699999999</v>
      </c>
      <c r="X5" s="2"/>
      <c r="Y5" s="2"/>
      <c r="Z5" s="2"/>
      <c r="AA5" s="2"/>
      <c r="AB5" s="2"/>
      <c r="AC5" s="2"/>
      <c r="AD5" s="2"/>
      <c r="AE5" s="2"/>
    </row>
    <row r="6" spans="1:31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T6" si="2">+E7+E11</f>
        <v>91062.78</v>
      </c>
      <c r="F6" s="187">
        <f t="shared" si="2"/>
        <v>1698168.3400000003</v>
      </c>
      <c r="G6" s="82">
        <f t="shared" si="2"/>
        <v>238541.55999999994</v>
      </c>
      <c r="H6" s="82">
        <f t="shared" si="2"/>
        <v>33990.94</v>
      </c>
      <c r="I6" s="187">
        <f t="shared" si="2"/>
        <v>599492.94999999995</v>
      </c>
      <c r="J6" s="187">
        <f t="shared" si="2"/>
        <v>833725.2</v>
      </c>
      <c r="K6" s="187">
        <f t="shared" si="2"/>
        <v>956203.35</v>
      </c>
      <c r="L6" s="187">
        <f t="shared" si="2"/>
        <v>437.24000000002036</v>
      </c>
      <c r="M6" s="187">
        <f t="shared" si="2"/>
        <v>24280.84</v>
      </c>
      <c r="N6" s="192">
        <f>+N7+N11</f>
        <v>104440</v>
      </c>
      <c r="O6" s="187">
        <f t="shared" si="2"/>
        <v>143028.41999999998</v>
      </c>
      <c r="P6" s="19">
        <f t="shared" si="2"/>
        <v>28.500000000000004</v>
      </c>
      <c r="Q6" s="42">
        <f t="shared" si="1"/>
        <v>4723400.12</v>
      </c>
      <c r="R6" s="42">
        <f t="shared" si="2"/>
        <v>4333394.6055045873</v>
      </c>
      <c r="S6" s="42">
        <f t="shared" si="2"/>
        <v>390005.51449541305</v>
      </c>
      <c r="T6" s="42">
        <f t="shared" si="2"/>
        <v>2269017.5863636364</v>
      </c>
      <c r="V6" s="61"/>
      <c r="W6" s="13"/>
      <c r="X6" s="2"/>
      <c r="Y6" s="2"/>
      <c r="Z6" s="2"/>
      <c r="AA6" s="2"/>
      <c r="AB6" s="2"/>
      <c r="AC6" s="2"/>
      <c r="AD6" s="2"/>
      <c r="AE6" s="2"/>
    </row>
    <row r="7" spans="1:31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219">
        <f t="shared" si="3"/>
        <v>0</v>
      </c>
      <c r="G7" s="79">
        <f t="shared" si="3"/>
        <v>0</v>
      </c>
      <c r="H7" s="79">
        <f t="shared" si="3"/>
        <v>0</v>
      </c>
      <c r="I7" s="126">
        <f t="shared" si="3"/>
        <v>599492.94999999995</v>
      </c>
      <c r="J7" s="380">
        <f t="shared" si="3"/>
        <v>833725.2</v>
      </c>
      <c r="K7" s="79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219">
        <f t="shared" si="4"/>
        <v>0</v>
      </c>
      <c r="P7" s="226">
        <f t="shared" si="4"/>
        <v>0</v>
      </c>
      <c r="Q7" s="43">
        <f t="shared" si="1"/>
        <v>1433218.15</v>
      </c>
      <c r="R7" s="43">
        <f t="shared" si="4"/>
        <v>1314879.0366972475</v>
      </c>
      <c r="S7" s="43">
        <f t="shared" si="4"/>
        <v>118339.11330275238</v>
      </c>
      <c r="T7" s="43">
        <f t="shared" si="4"/>
        <v>522073</v>
      </c>
      <c r="U7" s="71"/>
      <c r="V7" s="134"/>
      <c r="W7" s="105">
        <f>+SUM(W8:W17)</f>
        <v>1016481.4699999999</v>
      </c>
      <c r="X7" s="2"/>
      <c r="Y7" s="2"/>
      <c r="Z7" s="2"/>
      <c r="AA7" s="2"/>
      <c r="AB7" s="2"/>
      <c r="AC7" s="2"/>
      <c r="AD7" s="2"/>
      <c r="AE7" s="2"/>
    </row>
    <row r="8" spans="1:31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416447.5</v>
      </c>
      <c r="J8" s="127">
        <f>610778+25357.5</f>
        <v>636135.5</v>
      </c>
      <c r="K8" s="36"/>
      <c r="L8" s="36"/>
      <c r="M8" s="36"/>
      <c r="N8" s="127"/>
      <c r="O8" s="362"/>
      <c r="P8" s="355"/>
      <c r="Q8" s="24">
        <f t="shared" si="1"/>
        <v>1052583</v>
      </c>
      <c r="R8" s="5">
        <f t="shared" ref="R8:R10" si="5">+Q8/1.09</f>
        <v>965672.47706422012</v>
      </c>
      <c r="S8" s="5">
        <f t="shared" ref="S8:S10" si="6">+Q8-R8</f>
        <v>86910.522935779882</v>
      </c>
      <c r="T8" s="5">
        <f>Q8/D8</f>
        <v>300738</v>
      </c>
      <c r="U8" s="71"/>
      <c r="V8" s="61"/>
      <c r="W8" s="13"/>
      <c r="X8" s="2"/>
      <c r="Y8" s="2"/>
      <c r="Z8" s="2"/>
      <c r="AA8" s="2"/>
      <c r="AB8" s="2"/>
      <c r="AC8" s="2"/>
      <c r="AD8" s="2"/>
      <c r="AE8" s="2"/>
    </row>
    <row r="9" spans="1:31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7">+D8*0.5</f>
        <v>1.75</v>
      </c>
      <c r="E9" s="122"/>
      <c r="F9" s="17"/>
      <c r="G9" s="13"/>
      <c r="H9" s="13"/>
      <c r="I9" s="127">
        <v>181371.75</v>
      </c>
      <c r="J9" s="127">
        <f>184843.75+9952.25</f>
        <v>194796</v>
      </c>
      <c r="K9" s="143"/>
      <c r="L9" s="143"/>
      <c r="M9" s="143"/>
      <c r="N9" s="127"/>
      <c r="O9" s="17"/>
      <c r="P9" s="350"/>
      <c r="Q9" s="24">
        <f t="shared" si="1"/>
        <v>376167.75</v>
      </c>
      <c r="R9" s="26">
        <f t="shared" si="5"/>
        <v>345108.02752293576</v>
      </c>
      <c r="S9" s="26">
        <f t="shared" si="6"/>
        <v>31059.722477064235</v>
      </c>
      <c r="T9" s="26">
        <f>Q9/D9</f>
        <v>214953</v>
      </c>
      <c r="U9" s="71"/>
      <c r="V9" s="61">
        <v>1.75</v>
      </c>
      <c r="W9" s="13">
        <f>+T9*V9</f>
        <v>376167.75</v>
      </c>
      <c r="X9" s="2"/>
      <c r="Y9" s="2"/>
      <c r="Z9" s="2"/>
      <c r="AA9" s="2"/>
      <c r="AB9" s="2"/>
      <c r="AC9" s="2"/>
      <c r="AD9" s="2"/>
      <c r="AE9" s="2"/>
    </row>
    <row r="10" spans="1:31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1673.7</v>
      </c>
      <c r="J10" s="144">
        <f>2716.7+77</f>
        <v>2793.7</v>
      </c>
      <c r="K10" s="144"/>
      <c r="L10" s="144"/>
      <c r="M10" s="144"/>
      <c r="N10" s="144"/>
      <c r="O10" s="18"/>
      <c r="P10" s="350"/>
      <c r="Q10" s="24">
        <f t="shared" si="1"/>
        <v>4467.3999999999996</v>
      </c>
      <c r="R10" s="26">
        <f t="shared" si="5"/>
        <v>4098.5321100917427</v>
      </c>
      <c r="S10" s="26">
        <f t="shared" si="6"/>
        <v>368.86788990825698</v>
      </c>
      <c r="T10" s="26">
        <f>Q10/D10</f>
        <v>6382</v>
      </c>
      <c r="U10" s="71"/>
      <c r="V10" s="107">
        <v>2.8</v>
      </c>
      <c r="W10" s="13">
        <f>+T10*V10</f>
        <v>17869.599999999999</v>
      </c>
      <c r="X10" s="2"/>
      <c r="Y10" s="2"/>
      <c r="Z10" s="2"/>
      <c r="AA10" s="2"/>
      <c r="AB10" s="2"/>
      <c r="AC10" s="2"/>
      <c r="AD10" s="2"/>
      <c r="AE10" s="2"/>
    </row>
    <row r="11" spans="1:31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91062.78</v>
      </c>
      <c r="F11" s="16">
        <f t="shared" si="8"/>
        <v>1698168.3400000003</v>
      </c>
      <c r="G11" s="84">
        <f t="shared" si="8"/>
        <v>238541.55999999994</v>
      </c>
      <c r="H11" s="84">
        <f t="shared" si="8"/>
        <v>33990.94</v>
      </c>
      <c r="I11" s="84">
        <f t="shared" si="8"/>
        <v>0</v>
      </c>
      <c r="J11" s="74">
        <f t="shared" si="8"/>
        <v>0</v>
      </c>
      <c r="K11" s="101">
        <f t="shared" si="8"/>
        <v>956203.35</v>
      </c>
      <c r="L11" s="101">
        <f t="shared" si="8"/>
        <v>437.24000000002036</v>
      </c>
      <c r="M11" s="101">
        <f t="shared" si="8"/>
        <v>24280.84</v>
      </c>
      <c r="N11" s="101">
        <f t="shared" si="8"/>
        <v>104440</v>
      </c>
      <c r="O11" s="101">
        <f t="shared" si="8"/>
        <v>143028.41999999998</v>
      </c>
      <c r="P11" s="101">
        <f t="shared" si="8"/>
        <v>28.500000000000004</v>
      </c>
      <c r="Q11" s="43">
        <f t="shared" si="8"/>
        <v>3290181.97</v>
      </c>
      <c r="R11" s="43">
        <f t="shared" si="8"/>
        <v>3018515.5688073393</v>
      </c>
      <c r="S11" s="43">
        <f t="shared" si="8"/>
        <v>271666.40119266068</v>
      </c>
      <c r="T11" s="43">
        <f t="shared" si="8"/>
        <v>1746944.5863636364</v>
      </c>
      <c r="U11" s="71"/>
      <c r="V11" s="61"/>
      <c r="W11" s="13"/>
      <c r="X11" s="2"/>
      <c r="Y11" s="2"/>
      <c r="Z11" s="2"/>
      <c r="AA11" s="2"/>
      <c r="AB11" s="2"/>
      <c r="AC11" s="2"/>
      <c r="AD11" s="2"/>
      <c r="AE11" s="2"/>
    </row>
    <row r="12" spans="1:31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30">
        <v>73480</v>
      </c>
      <c r="F12" s="13">
        <v>1284351.2000000002</v>
      </c>
      <c r="G12" s="13">
        <v>173342.39999999997</v>
      </c>
      <c r="H12" s="13">
        <v>24569.599999999999</v>
      </c>
      <c r="I12" s="13"/>
      <c r="J12" s="33"/>
      <c r="K12" s="33">
        <v>727773.84</v>
      </c>
      <c r="L12" s="305">
        <v>312.40000000002328</v>
      </c>
      <c r="M12" s="308">
        <v>16189.8</v>
      </c>
      <c r="N12" s="127">
        <v>91225.2</v>
      </c>
      <c r="O12" s="467">
        <f>125809.2+24.2-2.2</f>
        <v>125831.2</v>
      </c>
      <c r="P12" s="486">
        <f>4.4+19.8</f>
        <v>24.200000000000003</v>
      </c>
      <c r="Q12" s="24">
        <f t="shared" ref="Q12:Q17" si="9">+SUM(E12:P12)</f>
        <v>2517099.8400000003</v>
      </c>
      <c r="R12" s="5">
        <f t="shared" ref="R12:R17" si="10">+Q12/1.09</f>
        <v>2309265.9082568809</v>
      </c>
      <c r="S12" s="5">
        <f t="shared" ref="S12:S17" si="11">+Q12-R12</f>
        <v>207833.93174311938</v>
      </c>
      <c r="T12" s="5">
        <f t="shared" ref="T12:T17" si="12">Q12/D12</f>
        <v>1144136.290909091</v>
      </c>
      <c r="U12" s="2"/>
      <c r="V12" s="61"/>
      <c r="W12" s="13"/>
      <c r="X12" s="2"/>
      <c r="Y12" s="2"/>
      <c r="Z12" s="2"/>
      <c r="AA12" s="2"/>
      <c r="AB12" s="2"/>
      <c r="AC12" s="2"/>
      <c r="AD12" s="2"/>
      <c r="AE12" s="2"/>
    </row>
    <row r="13" spans="1:31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30">
        <v>16208.500000000002</v>
      </c>
      <c r="F13" s="13">
        <v>386061.50000000006</v>
      </c>
      <c r="G13" s="13">
        <v>59901.599999999991</v>
      </c>
      <c r="H13" s="13">
        <v>8977.0999999999985</v>
      </c>
      <c r="I13" s="13"/>
      <c r="J13" s="33"/>
      <c r="K13" s="33">
        <v>79284.7</v>
      </c>
      <c r="L13" s="306">
        <v>33</v>
      </c>
      <c r="M13" s="13">
        <v>7684.6</v>
      </c>
      <c r="N13" s="127">
        <v>2646.6</v>
      </c>
      <c r="O13" s="96">
        <v>8785.7000000000007</v>
      </c>
      <c r="P13" s="486">
        <v>1.1000000000000001</v>
      </c>
      <c r="Q13" s="24">
        <f t="shared" si="9"/>
        <v>569584.39999999991</v>
      </c>
      <c r="R13" s="5">
        <f t="shared" si="10"/>
        <v>522554.49541284388</v>
      </c>
      <c r="S13" s="5">
        <f t="shared" si="11"/>
        <v>47029.904587156023</v>
      </c>
      <c r="T13" s="5">
        <f t="shared" si="12"/>
        <v>517803.99999999988</v>
      </c>
      <c r="U13" s="71"/>
      <c r="V13" s="107">
        <v>1.1000000000000001</v>
      </c>
      <c r="W13" s="13">
        <f t="shared" ref="W13:W14" si="13">+T13*V13</f>
        <v>569584.39999999991</v>
      </c>
      <c r="X13" s="2"/>
      <c r="Y13" s="2"/>
      <c r="Z13" s="2"/>
      <c r="AA13" s="2"/>
      <c r="AB13" s="2"/>
      <c r="AC13" s="2"/>
      <c r="AD13" s="2"/>
      <c r="AE13" s="2"/>
    </row>
    <row r="14" spans="1:31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30">
        <v>200.2</v>
      </c>
      <c r="F14" s="13">
        <v>3879.48</v>
      </c>
      <c r="G14" s="13">
        <v>663.96</v>
      </c>
      <c r="H14" s="13">
        <v>143.44</v>
      </c>
      <c r="I14" s="13"/>
      <c r="J14" s="33"/>
      <c r="K14" s="33">
        <v>1163.05</v>
      </c>
      <c r="L14" s="306">
        <v>0</v>
      </c>
      <c r="M14" s="13">
        <v>110.44</v>
      </c>
      <c r="N14" s="127">
        <v>583.88</v>
      </c>
      <c r="O14" s="96">
        <v>144.32</v>
      </c>
      <c r="P14" s="164"/>
      <c r="Q14" s="24">
        <f t="shared" si="9"/>
        <v>6888.7699999999986</v>
      </c>
      <c r="R14" s="5">
        <f t="shared" si="10"/>
        <v>6319.9724770642188</v>
      </c>
      <c r="S14" s="5">
        <f t="shared" si="11"/>
        <v>568.79752293577985</v>
      </c>
      <c r="T14" s="5">
        <f t="shared" si="12"/>
        <v>15656.295454545452</v>
      </c>
      <c r="U14" s="71"/>
      <c r="V14" s="61">
        <v>1.76</v>
      </c>
      <c r="W14" s="13">
        <f t="shared" si="13"/>
        <v>27555.079999999994</v>
      </c>
      <c r="X14" s="2"/>
      <c r="Y14" s="2"/>
      <c r="Z14" s="2"/>
      <c r="AA14" s="2"/>
      <c r="AB14" s="2"/>
      <c r="AC14" s="2"/>
      <c r="AD14" s="2"/>
      <c r="AE14" s="2"/>
    </row>
    <row r="15" spans="1:31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30">
        <v>886.40000000000009</v>
      </c>
      <c r="F15" s="13">
        <v>19580.8</v>
      </c>
      <c r="G15" s="13">
        <v>3696</v>
      </c>
      <c r="H15" s="13">
        <v>176</v>
      </c>
      <c r="I15" s="13"/>
      <c r="J15" s="33"/>
      <c r="K15" s="33">
        <v>131609.60000000001</v>
      </c>
      <c r="L15" s="306">
        <v>86.399999999994179</v>
      </c>
      <c r="M15" s="13">
        <v>169.6</v>
      </c>
      <c r="N15" s="127">
        <v>9395.2000000000007</v>
      </c>
      <c r="O15" s="96">
        <v>7446.4</v>
      </c>
      <c r="P15" s="486">
        <v>3.2</v>
      </c>
      <c r="Q15" s="24">
        <f t="shared" si="9"/>
        <v>173049.60000000003</v>
      </c>
      <c r="R15" s="5">
        <f t="shared" si="10"/>
        <v>158761.10091743121</v>
      </c>
      <c r="S15" s="5">
        <f t="shared" si="11"/>
        <v>14288.499082568829</v>
      </c>
      <c r="T15" s="5">
        <f t="shared" si="12"/>
        <v>54078.000000000007</v>
      </c>
      <c r="U15" s="71"/>
      <c r="V15" s="61"/>
      <c r="W15" s="13"/>
      <c r="X15" s="2"/>
      <c r="Y15" s="2"/>
      <c r="Z15" s="2"/>
      <c r="AA15" s="2"/>
      <c r="AB15" s="2"/>
      <c r="AC15" s="2"/>
      <c r="AD15" s="2"/>
      <c r="AE15" s="2"/>
    </row>
    <row r="16" spans="1:31" ht="14.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30">
        <v>244.8</v>
      </c>
      <c r="F16" s="13">
        <v>4209.6000000000004</v>
      </c>
      <c r="G16" s="13">
        <v>931.2</v>
      </c>
      <c r="H16" s="13">
        <v>118.4</v>
      </c>
      <c r="I16" s="13"/>
      <c r="J16" s="33"/>
      <c r="K16" s="33">
        <v>16097.6</v>
      </c>
      <c r="L16" s="306">
        <v>4.8000000000029104</v>
      </c>
      <c r="M16" s="13">
        <v>126.4</v>
      </c>
      <c r="N16" s="127">
        <v>424</v>
      </c>
      <c r="O16" s="96">
        <v>820.8</v>
      </c>
      <c r="P16" s="164"/>
      <c r="Q16" s="24">
        <f t="shared" si="9"/>
        <v>22977.600000000002</v>
      </c>
      <c r="R16" s="5">
        <f t="shared" si="10"/>
        <v>21080.366972477066</v>
      </c>
      <c r="S16" s="5">
        <f t="shared" si="11"/>
        <v>1897.233027522936</v>
      </c>
      <c r="T16" s="5">
        <f t="shared" si="12"/>
        <v>14361</v>
      </c>
      <c r="U16" s="71"/>
      <c r="V16" s="61">
        <v>1.6</v>
      </c>
      <c r="W16" s="13">
        <f t="shared" ref="W16:W17" si="14">+T16*V16</f>
        <v>22977.600000000002</v>
      </c>
      <c r="X16" s="2"/>
      <c r="Y16" s="2"/>
      <c r="Z16" s="2"/>
      <c r="AA16" s="2"/>
      <c r="AB16" s="2"/>
      <c r="AC16" s="2"/>
      <c r="AD16" s="2"/>
      <c r="AE16" s="2"/>
    </row>
    <row r="17" spans="1:31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131">
        <v>42.88</v>
      </c>
      <c r="F17" s="13">
        <v>85.76</v>
      </c>
      <c r="G17" s="13">
        <v>6.4</v>
      </c>
      <c r="H17" s="14">
        <v>6.4</v>
      </c>
      <c r="I17" s="14"/>
      <c r="J17" s="76"/>
      <c r="K17" s="76">
        <v>274.56</v>
      </c>
      <c r="L17" s="307">
        <v>0.64000000000001478</v>
      </c>
      <c r="M17" s="14">
        <v>0</v>
      </c>
      <c r="N17" s="127">
        <v>165.12</v>
      </c>
      <c r="O17" s="148"/>
      <c r="P17" s="164"/>
      <c r="Q17" s="24">
        <f t="shared" si="9"/>
        <v>581.76</v>
      </c>
      <c r="R17" s="5">
        <f t="shared" si="10"/>
        <v>533.72477064220175</v>
      </c>
      <c r="S17" s="5">
        <f t="shared" si="11"/>
        <v>48.035229357798244</v>
      </c>
      <c r="T17" s="6">
        <f t="shared" si="12"/>
        <v>909</v>
      </c>
      <c r="U17" s="71"/>
      <c r="V17" s="61">
        <v>2.56</v>
      </c>
      <c r="W17" s="13">
        <f t="shared" si="14"/>
        <v>2327.04</v>
      </c>
      <c r="X17" s="2"/>
      <c r="Y17" s="2"/>
      <c r="Z17" s="2"/>
      <c r="AA17" s="2"/>
      <c r="AB17" s="2"/>
      <c r="AC17" s="2"/>
      <c r="AD17" s="2"/>
      <c r="AE17" s="2"/>
    </row>
    <row r="18" spans="1:31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296356</v>
      </c>
      <c r="F18" s="118">
        <f t="shared" ref="F18:T18" si="15">+SUM(F19:F43)</f>
        <v>4594397</v>
      </c>
      <c r="G18" s="231">
        <f t="shared" si="15"/>
        <v>675051</v>
      </c>
      <c r="H18" s="118">
        <f t="shared" si="15"/>
        <v>106111</v>
      </c>
      <c r="I18" s="231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74288</v>
      </c>
      <c r="N18" s="231">
        <f t="shared" ref="N18" si="16">+SUM(N19:N43)</f>
        <v>49816</v>
      </c>
      <c r="O18" s="118">
        <f>+SUM(O19:O43)</f>
        <v>492667</v>
      </c>
      <c r="P18" s="118">
        <f t="shared" ref="P18" si="17">+SUM(P19:P43)</f>
        <v>0</v>
      </c>
      <c r="Q18" s="42">
        <f>+SUM(Q19:Q43)</f>
        <v>6288686</v>
      </c>
      <c r="R18" s="118">
        <f t="shared" si="15"/>
        <v>5769436.6972477054</v>
      </c>
      <c r="S18" s="118">
        <f t="shared" si="15"/>
        <v>519249.30275229411</v>
      </c>
      <c r="T18" s="253">
        <f t="shared" si="15"/>
        <v>119619</v>
      </c>
      <c r="U18" s="71"/>
      <c r="V18" s="61"/>
      <c r="W18" s="105">
        <f>+SUM(W19:W43)</f>
        <v>5702914</v>
      </c>
      <c r="X18" s="2"/>
      <c r="Y18" s="2"/>
      <c r="Z18" s="2"/>
      <c r="AA18" s="2"/>
      <c r="AB18" s="2"/>
      <c r="AC18" s="2"/>
      <c r="AD18" s="2"/>
      <c r="AE18" s="2"/>
    </row>
    <row r="19" spans="1:31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181900</v>
      </c>
      <c r="F19" s="92">
        <v>2630200</v>
      </c>
      <c r="G19" s="92">
        <v>372300</v>
      </c>
      <c r="H19" s="92">
        <v>56600</v>
      </c>
      <c r="I19" s="28"/>
      <c r="J19" s="367"/>
      <c r="K19" s="367"/>
      <c r="L19" s="367"/>
      <c r="M19" s="367">
        <v>44300</v>
      </c>
      <c r="N19" s="127">
        <v>31100</v>
      </c>
      <c r="O19" s="362">
        <v>252700</v>
      </c>
      <c r="P19" s="434"/>
      <c r="Q19" s="24">
        <f t="shared" ref="Q19:Q43" si="18">+SUM(E19:P19)</f>
        <v>3569100</v>
      </c>
      <c r="R19" s="99">
        <f t="shared" ref="R19:R43" si="19">+Q19/1.09</f>
        <v>3274403.6697247704</v>
      </c>
      <c r="S19" s="24">
        <f>+Q19-R19</f>
        <v>294696.33027522964</v>
      </c>
      <c r="T19" s="24">
        <f t="shared" ref="T19:T43" si="20">Q19/D19</f>
        <v>35691</v>
      </c>
      <c r="U19" s="41"/>
      <c r="V19" s="61"/>
      <c r="W19" s="106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30000</v>
      </c>
      <c r="F20" s="48">
        <v>697200</v>
      </c>
      <c r="G20" s="48">
        <v>100700</v>
      </c>
      <c r="H20" s="48">
        <v>20200</v>
      </c>
      <c r="I20" s="17"/>
      <c r="J20" s="36"/>
      <c r="K20" s="36"/>
      <c r="L20" s="36"/>
      <c r="M20" s="36">
        <v>15100</v>
      </c>
      <c r="N20" s="127">
        <v>550</v>
      </c>
      <c r="O20" s="17">
        <v>13550</v>
      </c>
      <c r="P20" s="355"/>
      <c r="Q20" s="24">
        <f t="shared" si="18"/>
        <v>877300</v>
      </c>
      <c r="R20" s="5">
        <f t="shared" si="19"/>
        <v>804862.38532110082</v>
      </c>
      <c r="S20" s="5">
        <f t="shared" ref="S20:S43" si="21">+Q20-R20</f>
        <v>72437.614678899175</v>
      </c>
      <c r="T20" s="5">
        <f t="shared" si="20"/>
        <v>17546</v>
      </c>
      <c r="U20" s="41"/>
      <c r="V20" s="61">
        <v>50</v>
      </c>
      <c r="W20" s="13">
        <f t="shared" ref="W20:W21" si="22">+T20*V20</f>
        <v>877300</v>
      </c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50800</v>
      </c>
      <c r="F21" s="96">
        <v>820480</v>
      </c>
      <c r="G21" s="96">
        <v>134740</v>
      </c>
      <c r="H21" s="96">
        <v>11320</v>
      </c>
      <c r="I21" s="17"/>
      <c r="J21" s="36"/>
      <c r="K21" s="36"/>
      <c r="L21" s="36"/>
      <c r="M21" s="36">
        <v>8200</v>
      </c>
      <c r="N21" s="221">
        <v>10720</v>
      </c>
      <c r="O21" s="468">
        <f>92560+20</f>
        <v>92580</v>
      </c>
      <c r="P21" s="355"/>
      <c r="Q21" s="24">
        <f t="shared" si="18"/>
        <v>1128840</v>
      </c>
      <c r="R21" s="5">
        <f t="shared" si="19"/>
        <v>1035633.0275229356</v>
      </c>
      <c r="S21" s="5">
        <f t="shared" si="21"/>
        <v>93206.972477064352</v>
      </c>
      <c r="T21" s="402">
        <f t="shared" si="20"/>
        <v>56442</v>
      </c>
      <c r="U21" s="41"/>
      <c r="V21" s="61">
        <v>80</v>
      </c>
      <c r="W21" s="13">
        <f t="shared" si="22"/>
        <v>4515360</v>
      </c>
      <c r="X21" s="2"/>
      <c r="Y21" s="2"/>
      <c r="Z21" s="2"/>
      <c r="AA21" s="2"/>
      <c r="AB21" s="2"/>
      <c r="AC21" s="2"/>
      <c r="AD21" s="2"/>
      <c r="AE21" s="2"/>
    </row>
    <row r="22" spans="1:31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29340</v>
      </c>
      <c r="F22" s="96">
        <v>376560</v>
      </c>
      <c r="G22" s="96">
        <v>58410</v>
      </c>
      <c r="H22" s="96">
        <v>11790</v>
      </c>
      <c r="I22" s="17"/>
      <c r="J22" s="36"/>
      <c r="K22" s="36"/>
      <c r="L22" s="36"/>
      <c r="M22" s="36">
        <v>5760</v>
      </c>
      <c r="N22" s="401">
        <v>5760</v>
      </c>
      <c r="O22" s="484">
        <f>89640+90</f>
        <v>89730</v>
      </c>
      <c r="P22" s="355"/>
      <c r="Q22" s="24">
        <f t="shared" si="18"/>
        <v>577350</v>
      </c>
      <c r="R22" s="5">
        <f t="shared" si="19"/>
        <v>529678.89908256882</v>
      </c>
      <c r="S22" s="5">
        <f t="shared" si="21"/>
        <v>47671.100917431177</v>
      </c>
      <c r="T22" s="5">
        <f t="shared" si="20"/>
        <v>6415</v>
      </c>
      <c r="U22" s="41"/>
      <c r="V22" s="61"/>
      <c r="W22" s="13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1080</v>
      </c>
      <c r="F23" s="96">
        <v>21600</v>
      </c>
      <c r="G23" s="96">
        <v>3195</v>
      </c>
      <c r="H23" s="96">
        <v>1215</v>
      </c>
      <c r="I23" s="17"/>
      <c r="J23" s="36"/>
      <c r="K23" s="36"/>
      <c r="L23" s="36"/>
      <c r="M23" s="36">
        <v>270</v>
      </c>
      <c r="N23" s="127">
        <v>90</v>
      </c>
      <c r="O23" s="17">
        <v>3465</v>
      </c>
      <c r="P23" s="355"/>
      <c r="Q23" s="24">
        <f t="shared" si="18"/>
        <v>30915</v>
      </c>
      <c r="R23" s="5">
        <f t="shared" si="19"/>
        <v>28362.385321100915</v>
      </c>
      <c r="S23" s="5">
        <f t="shared" si="21"/>
        <v>2552.6146788990845</v>
      </c>
      <c r="T23" s="5">
        <f t="shared" si="20"/>
        <v>687</v>
      </c>
      <c r="U23" s="35"/>
      <c r="V23" s="61">
        <v>45</v>
      </c>
      <c r="W23" s="13">
        <f t="shared" ref="W23:W24" si="23">+T23*V23</f>
        <v>30915</v>
      </c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1998</v>
      </c>
      <c r="F24" s="96">
        <v>19314</v>
      </c>
      <c r="G24" s="96">
        <v>2952</v>
      </c>
      <c r="H24" s="96">
        <v>558</v>
      </c>
      <c r="I24" s="17"/>
      <c r="J24" s="36"/>
      <c r="K24" s="36"/>
      <c r="L24" s="36"/>
      <c r="M24" s="36">
        <v>288</v>
      </c>
      <c r="N24" s="127">
        <v>522</v>
      </c>
      <c r="O24" s="468">
        <f>7614+18</f>
        <v>7632</v>
      </c>
      <c r="P24" s="355"/>
      <c r="Q24" s="24">
        <f t="shared" si="18"/>
        <v>33264</v>
      </c>
      <c r="R24" s="5">
        <f t="shared" si="19"/>
        <v>30517.431192660548</v>
      </c>
      <c r="S24" s="5">
        <f t="shared" si="21"/>
        <v>2746.5688073394522</v>
      </c>
      <c r="T24" s="5">
        <f t="shared" si="20"/>
        <v>1848</v>
      </c>
      <c r="U24" s="35"/>
      <c r="V24" s="61">
        <v>72</v>
      </c>
      <c r="W24" s="13">
        <f t="shared" si="23"/>
        <v>133056</v>
      </c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0</v>
      </c>
      <c r="F25" s="96">
        <v>5400</v>
      </c>
      <c r="G25" s="96"/>
      <c r="H25" s="96">
        <v>300</v>
      </c>
      <c r="I25" s="17"/>
      <c r="J25" s="36"/>
      <c r="K25" s="36"/>
      <c r="L25" s="36"/>
      <c r="M25" s="36">
        <v>0</v>
      </c>
      <c r="N25" s="127">
        <v>300</v>
      </c>
      <c r="O25" s="17">
        <v>6900</v>
      </c>
      <c r="P25" s="355"/>
      <c r="Q25" s="24">
        <f t="shared" si="18"/>
        <v>12900</v>
      </c>
      <c r="R25" s="5">
        <f t="shared" si="19"/>
        <v>11834.862385321099</v>
      </c>
      <c r="S25" s="5">
        <f t="shared" si="21"/>
        <v>1065.1376146789007</v>
      </c>
      <c r="T25" s="5">
        <f t="shared" si="20"/>
        <v>43</v>
      </c>
      <c r="U25" s="35"/>
      <c r="V25" s="61"/>
      <c r="W25" s="13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>
        <v>0</v>
      </c>
      <c r="F26" s="96">
        <v>4800</v>
      </c>
      <c r="G26" s="96">
        <v>750</v>
      </c>
      <c r="H26" s="96">
        <v>1350</v>
      </c>
      <c r="I26" s="17"/>
      <c r="J26" s="36"/>
      <c r="K26" s="36"/>
      <c r="L26" s="36"/>
      <c r="M26" s="36">
        <v>150</v>
      </c>
      <c r="N26" s="127">
        <v>0</v>
      </c>
      <c r="O26" s="17">
        <v>1200</v>
      </c>
      <c r="P26" s="355"/>
      <c r="Q26" s="24">
        <f t="shared" si="18"/>
        <v>8250</v>
      </c>
      <c r="R26" s="5">
        <f t="shared" si="19"/>
        <v>7568.8073394495405</v>
      </c>
      <c r="S26" s="5">
        <f t="shared" si="21"/>
        <v>681.19266055045955</v>
      </c>
      <c r="T26" s="5">
        <f t="shared" si="20"/>
        <v>55</v>
      </c>
      <c r="U26" s="35"/>
      <c r="V26" s="61">
        <v>150</v>
      </c>
      <c r="W26" s="13">
        <f t="shared" ref="W26:W42" si="24">+T26*V26</f>
        <v>8250</v>
      </c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660</v>
      </c>
      <c r="F27" s="96">
        <v>10620</v>
      </c>
      <c r="G27" s="96">
        <v>1320</v>
      </c>
      <c r="H27" s="96">
        <v>540</v>
      </c>
      <c r="I27" s="17"/>
      <c r="J27" s="36"/>
      <c r="K27" s="36"/>
      <c r="L27" s="36"/>
      <c r="M27" s="36">
        <v>180</v>
      </c>
      <c r="N27" s="127">
        <v>600</v>
      </c>
      <c r="O27" s="17">
        <v>9720</v>
      </c>
      <c r="P27" s="355"/>
      <c r="Q27" s="24">
        <f t="shared" si="18"/>
        <v>23640</v>
      </c>
      <c r="R27" s="5">
        <f t="shared" si="19"/>
        <v>21688.073394495412</v>
      </c>
      <c r="S27" s="5">
        <f t="shared" si="21"/>
        <v>1951.9266055045882</v>
      </c>
      <c r="T27" s="5">
        <f t="shared" si="20"/>
        <v>394</v>
      </c>
      <c r="U27" s="35"/>
      <c r="V27" s="61">
        <v>240</v>
      </c>
      <c r="W27" s="13">
        <f t="shared" si="24"/>
        <v>94560</v>
      </c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>
        <v>0</v>
      </c>
      <c r="F28" s="96">
        <v>1620</v>
      </c>
      <c r="G28" s="96"/>
      <c r="H28" s="96">
        <v>270</v>
      </c>
      <c r="I28" s="17"/>
      <c r="J28" s="36"/>
      <c r="K28" s="36"/>
      <c r="L28" s="36"/>
      <c r="M28" s="36">
        <v>0</v>
      </c>
      <c r="N28" s="127">
        <v>0</v>
      </c>
      <c r="O28" s="17">
        <v>4050</v>
      </c>
      <c r="P28" s="355"/>
      <c r="Q28" s="24">
        <f t="shared" si="18"/>
        <v>5940</v>
      </c>
      <c r="R28" s="5">
        <f t="shared" si="19"/>
        <v>5449.5412844036691</v>
      </c>
      <c r="S28" s="5">
        <f t="shared" si="21"/>
        <v>490.45871559633088</v>
      </c>
      <c r="T28" s="5">
        <f t="shared" si="20"/>
        <v>22</v>
      </c>
      <c r="U28" s="35"/>
      <c r="V28" s="61"/>
      <c r="W28" s="13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>
        <v>0</v>
      </c>
      <c r="F29" s="96">
        <v>135</v>
      </c>
      <c r="G29" s="96"/>
      <c r="H29" s="96"/>
      <c r="I29" s="17"/>
      <c r="J29" s="36"/>
      <c r="K29" s="36"/>
      <c r="L29" s="36"/>
      <c r="M29" s="36">
        <v>0</v>
      </c>
      <c r="N29" s="127">
        <v>0</v>
      </c>
      <c r="O29" s="17"/>
      <c r="P29" s="355"/>
      <c r="Q29" s="24">
        <f t="shared" si="18"/>
        <v>135</v>
      </c>
      <c r="R29" s="5">
        <f t="shared" si="19"/>
        <v>123.8532110091743</v>
      </c>
      <c r="S29" s="5">
        <f t="shared" si="21"/>
        <v>11.146788990825698</v>
      </c>
      <c r="T29" s="5">
        <f t="shared" si="20"/>
        <v>1</v>
      </c>
      <c r="U29" s="35"/>
      <c r="V29" s="61">
        <v>135</v>
      </c>
      <c r="W29" s="13">
        <f t="shared" si="24"/>
        <v>135</v>
      </c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162</v>
      </c>
      <c r="F30" s="96">
        <v>270</v>
      </c>
      <c r="G30" s="96">
        <v>54</v>
      </c>
      <c r="H30" s="96">
        <v>108</v>
      </c>
      <c r="I30" s="17"/>
      <c r="J30" s="36"/>
      <c r="K30" s="36"/>
      <c r="L30" s="36"/>
      <c r="M30" s="36">
        <v>0</v>
      </c>
      <c r="N30" s="127">
        <v>54</v>
      </c>
      <c r="O30" s="17">
        <f>1188</f>
        <v>1188</v>
      </c>
      <c r="P30" s="355"/>
      <c r="Q30" s="24">
        <f t="shared" si="18"/>
        <v>1836</v>
      </c>
      <c r="R30" s="5">
        <f t="shared" si="19"/>
        <v>1684.4036697247705</v>
      </c>
      <c r="S30" s="5">
        <f t="shared" si="21"/>
        <v>151.59633027522955</v>
      </c>
      <c r="T30" s="5">
        <f t="shared" si="20"/>
        <v>34</v>
      </c>
      <c r="U30" s="35"/>
      <c r="V30" s="61">
        <v>216</v>
      </c>
      <c r="W30" s="13">
        <f t="shared" si="24"/>
        <v>7344</v>
      </c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>
        <v>0</v>
      </c>
      <c r="F31" s="96">
        <v>1200</v>
      </c>
      <c r="G31" s="96"/>
      <c r="H31" s="96">
        <v>600</v>
      </c>
      <c r="I31" s="17"/>
      <c r="J31" s="36"/>
      <c r="K31" s="36"/>
      <c r="L31" s="36"/>
      <c r="M31" s="36">
        <v>0</v>
      </c>
      <c r="N31" s="127">
        <v>0</v>
      </c>
      <c r="O31" s="17"/>
      <c r="P31" s="355"/>
      <c r="Q31" s="24">
        <f t="shared" si="18"/>
        <v>1800</v>
      </c>
      <c r="R31" s="5">
        <f t="shared" si="19"/>
        <v>1651.3761467889908</v>
      </c>
      <c r="S31" s="5">
        <f t="shared" si="21"/>
        <v>148.62385321100919</v>
      </c>
      <c r="T31" s="5">
        <f t="shared" si="20"/>
        <v>3</v>
      </c>
      <c r="U31" s="35"/>
      <c r="V31" s="61"/>
      <c r="W31" s="13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>
        <v>0</v>
      </c>
      <c r="F32" s="96">
        <v>0</v>
      </c>
      <c r="G32" s="96"/>
      <c r="H32" s="96">
        <v>300</v>
      </c>
      <c r="I32" s="17"/>
      <c r="J32" s="36"/>
      <c r="K32" s="36"/>
      <c r="L32" s="36"/>
      <c r="M32" s="36">
        <v>0</v>
      </c>
      <c r="N32" s="127">
        <v>0</v>
      </c>
      <c r="O32" s="17">
        <v>300</v>
      </c>
      <c r="P32" s="355"/>
      <c r="Q32" s="24">
        <f t="shared" si="18"/>
        <v>600</v>
      </c>
      <c r="R32" s="5">
        <f t="shared" si="19"/>
        <v>550.45871559633019</v>
      </c>
      <c r="S32" s="5">
        <f t="shared" si="21"/>
        <v>49.541284403669806</v>
      </c>
      <c r="T32" s="5">
        <f t="shared" si="20"/>
        <v>2</v>
      </c>
      <c r="U32" s="35"/>
      <c r="V32" s="61">
        <v>300</v>
      </c>
      <c r="W32" s="13">
        <f t="shared" si="24"/>
        <v>600</v>
      </c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120</v>
      </c>
      <c r="F33" s="96">
        <v>1440</v>
      </c>
      <c r="G33" s="96">
        <v>120</v>
      </c>
      <c r="H33" s="96">
        <v>120</v>
      </c>
      <c r="I33" s="17"/>
      <c r="J33" s="36"/>
      <c r="K33" s="36"/>
      <c r="L33" s="36"/>
      <c r="M33" s="36">
        <v>0</v>
      </c>
      <c r="N33" s="127">
        <v>120</v>
      </c>
      <c r="O33" s="17">
        <v>4800</v>
      </c>
      <c r="P33" s="355"/>
      <c r="Q33" s="24">
        <f t="shared" si="18"/>
        <v>6720</v>
      </c>
      <c r="R33" s="5">
        <f t="shared" si="19"/>
        <v>6165.1376146788989</v>
      </c>
      <c r="S33" s="5">
        <f t="shared" si="21"/>
        <v>554.8623853211011</v>
      </c>
      <c r="T33" s="5">
        <f t="shared" si="20"/>
        <v>56</v>
      </c>
      <c r="U33" s="35"/>
      <c r="V33" s="61">
        <v>480</v>
      </c>
      <c r="W33" s="13">
        <f t="shared" si="24"/>
        <v>26880</v>
      </c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>
        <v>0</v>
      </c>
      <c r="F34" s="96">
        <v>0</v>
      </c>
      <c r="G34" s="96"/>
      <c r="H34" s="96"/>
      <c r="I34" s="17"/>
      <c r="J34" s="36"/>
      <c r="K34" s="36"/>
      <c r="L34" s="36"/>
      <c r="M34" s="36">
        <v>0</v>
      </c>
      <c r="N34" s="127">
        <v>0</v>
      </c>
      <c r="O34" s="17">
        <v>3240</v>
      </c>
      <c r="P34" s="355"/>
      <c r="Q34" s="24">
        <f t="shared" si="18"/>
        <v>3240</v>
      </c>
      <c r="R34" s="5">
        <f t="shared" si="19"/>
        <v>2972.4770642201834</v>
      </c>
      <c r="S34" s="5">
        <f t="shared" si="21"/>
        <v>267.52293577981663</v>
      </c>
      <c r="T34" s="5">
        <f t="shared" si="20"/>
        <v>6</v>
      </c>
      <c r="U34" s="35"/>
      <c r="V34" s="61"/>
      <c r="W34" s="13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>
        <v>0</v>
      </c>
      <c r="F35" s="96">
        <v>0</v>
      </c>
      <c r="G35" s="96"/>
      <c r="H35" s="96"/>
      <c r="I35" s="17"/>
      <c r="J35" s="36"/>
      <c r="K35" s="36"/>
      <c r="L35" s="36"/>
      <c r="M35" s="36">
        <v>0</v>
      </c>
      <c r="N35" s="127">
        <v>0</v>
      </c>
      <c r="O35" s="17"/>
      <c r="P35" s="355"/>
      <c r="Q35" s="24">
        <f t="shared" si="18"/>
        <v>0</v>
      </c>
      <c r="R35" s="5">
        <f t="shared" si="19"/>
        <v>0</v>
      </c>
      <c r="S35" s="5">
        <f t="shared" si="21"/>
        <v>0</v>
      </c>
      <c r="T35" s="5">
        <f t="shared" si="20"/>
        <v>0</v>
      </c>
      <c r="U35" s="35"/>
      <c r="V35" s="61">
        <v>270</v>
      </c>
      <c r="W35" s="13">
        <f t="shared" si="24"/>
        <v>0</v>
      </c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>
        <v>216</v>
      </c>
      <c r="F36" s="96">
        <v>108</v>
      </c>
      <c r="G36" s="96"/>
      <c r="H36" s="96"/>
      <c r="I36" s="17"/>
      <c r="J36" s="36"/>
      <c r="K36" s="36"/>
      <c r="L36" s="36"/>
      <c r="M36" s="36">
        <v>0</v>
      </c>
      <c r="N36" s="127">
        <v>0</v>
      </c>
      <c r="O36" s="17">
        <v>432</v>
      </c>
      <c r="P36" s="355"/>
      <c r="Q36" s="24">
        <f t="shared" si="18"/>
        <v>756</v>
      </c>
      <c r="R36" s="5">
        <f t="shared" si="19"/>
        <v>693.57798165137615</v>
      </c>
      <c r="S36" s="5">
        <f t="shared" si="21"/>
        <v>62.422018348623851</v>
      </c>
      <c r="T36" s="5">
        <f t="shared" si="20"/>
        <v>7</v>
      </c>
      <c r="U36" s="35"/>
      <c r="V36" s="61">
        <v>432</v>
      </c>
      <c r="W36" s="13">
        <f t="shared" si="24"/>
        <v>3024</v>
      </c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>
        <v>0</v>
      </c>
      <c r="F37" s="96">
        <v>0</v>
      </c>
      <c r="G37" s="96"/>
      <c r="H37" s="96"/>
      <c r="I37" s="17"/>
      <c r="J37" s="36"/>
      <c r="K37" s="36"/>
      <c r="L37" s="36"/>
      <c r="M37" s="36">
        <v>0</v>
      </c>
      <c r="N37" s="127">
        <v>0</v>
      </c>
      <c r="O37" s="17"/>
      <c r="P37" s="355"/>
      <c r="Q37" s="24">
        <f t="shared" si="18"/>
        <v>0</v>
      </c>
      <c r="R37" s="5">
        <f t="shared" si="19"/>
        <v>0</v>
      </c>
      <c r="S37" s="5">
        <f t="shared" si="21"/>
        <v>0</v>
      </c>
      <c r="T37" s="5">
        <f t="shared" si="20"/>
        <v>0</v>
      </c>
      <c r="U37" s="35"/>
      <c r="V37" s="61"/>
      <c r="W37" s="13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>
        <v>0</v>
      </c>
      <c r="F38" s="96">
        <v>450</v>
      </c>
      <c r="G38" s="96"/>
      <c r="H38" s="96"/>
      <c r="I38" s="17"/>
      <c r="J38" s="36"/>
      <c r="K38" s="36"/>
      <c r="L38" s="36"/>
      <c r="M38" s="36">
        <v>0</v>
      </c>
      <c r="N38" s="127">
        <v>0</v>
      </c>
      <c r="O38" s="17"/>
      <c r="P38" s="355"/>
      <c r="Q38" s="24">
        <f t="shared" si="18"/>
        <v>450</v>
      </c>
      <c r="R38" s="5">
        <f t="shared" si="19"/>
        <v>412.8440366972477</v>
      </c>
      <c r="S38" s="5">
        <f t="shared" si="21"/>
        <v>37.155963302752298</v>
      </c>
      <c r="T38" s="5">
        <f t="shared" si="20"/>
        <v>1</v>
      </c>
      <c r="U38" s="35"/>
      <c r="V38" s="61">
        <v>450</v>
      </c>
      <c r="W38" s="13">
        <f t="shared" si="24"/>
        <v>450</v>
      </c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>
        <v>0</v>
      </c>
      <c r="F39" s="96">
        <v>720</v>
      </c>
      <c r="G39" s="96">
        <v>180</v>
      </c>
      <c r="H39" s="96"/>
      <c r="I39" s="17"/>
      <c r="J39" s="36"/>
      <c r="K39" s="36"/>
      <c r="L39" s="36"/>
      <c r="M39" s="36">
        <v>0</v>
      </c>
      <c r="N39" s="127">
        <v>0</v>
      </c>
      <c r="O39" s="17">
        <v>360</v>
      </c>
      <c r="P39" s="355"/>
      <c r="Q39" s="24">
        <f t="shared" si="18"/>
        <v>1260</v>
      </c>
      <c r="R39" s="5">
        <f t="shared" si="19"/>
        <v>1155.9633027522934</v>
      </c>
      <c r="S39" s="5">
        <f t="shared" si="21"/>
        <v>104.03669724770657</v>
      </c>
      <c r="T39" s="5">
        <f t="shared" si="20"/>
        <v>7</v>
      </c>
      <c r="U39" s="35"/>
      <c r="V39" s="61">
        <v>720</v>
      </c>
      <c r="W39" s="13">
        <f t="shared" si="24"/>
        <v>5040</v>
      </c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>
        <v>0</v>
      </c>
      <c r="F40" s="96">
        <v>0</v>
      </c>
      <c r="G40" s="96"/>
      <c r="H40" s="96"/>
      <c r="I40" s="17"/>
      <c r="J40" s="36"/>
      <c r="K40" s="36"/>
      <c r="L40" s="36"/>
      <c r="M40" s="36">
        <v>0</v>
      </c>
      <c r="N40" s="127">
        <v>0</v>
      </c>
      <c r="O40" s="17">
        <v>810</v>
      </c>
      <c r="P40" s="355"/>
      <c r="Q40" s="24">
        <f t="shared" si="18"/>
        <v>810</v>
      </c>
      <c r="R40" s="5">
        <f t="shared" si="19"/>
        <v>743.11926605504584</v>
      </c>
      <c r="S40" s="5">
        <f t="shared" si="21"/>
        <v>66.880733944954159</v>
      </c>
      <c r="T40" s="5">
        <f t="shared" si="20"/>
        <v>1</v>
      </c>
      <c r="U40" s="71"/>
      <c r="V40" s="61"/>
      <c r="W40" s="13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>
        <v>0</v>
      </c>
      <c r="F41" s="96">
        <v>0</v>
      </c>
      <c r="G41" s="96"/>
      <c r="H41" s="96"/>
      <c r="I41" s="17"/>
      <c r="J41" s="36"/>
      <c r="K41" s="36"/>
      <c r="L41" s="36"/>
      <c r="M41" s="36">
        <v>0</v>
      </c>
      <c r="N41" s="127">
        <v>0</v>
      </c>
      <c r="O41" s="17"/>
      <c r="P41" s="355"/>
      <c r="Q41" s="24">
        <f t="shared" si="18"/>
        <v>0</v>
      </c>
      <c r="R41" s="5">
        <f t="shared" si="19"/>
        <v>0</v>
      </c>
      <c r="S41" s="5">
        <f t="shared" si="21"/>
        <v>0</v>
      </c>
      <c r="T41" s="5">
        <f t="shared" si="20"/>
        <v>0</v>
      </c>
      <c r="U41" s="71"/>
      <c r="V41" s="61">
        <v>405</v>
      </c>
      <c r="W41" s="13">
        <f t="shared" si="24"/>
        <v>0</v>
      </c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>
        <v>0</v>
      </c>
      <c r="F42" s="433">
        <v>0</v>
      </c>
      <c r="G42" s="433"/>
      <c r="H42" s="433"/>
      <c r="I42" s="196"/>
      <c r="J42" s="143"/>
      <c r="K42" s="143"/>
      <c r="L42" s="143"/>
      <c r="M42" s="143">
        <v>0</v>
      </c>
      <c r="N42" s="221">
        <v>0</v>
      </c>
      <c r="O42" s="17"/>
      <c r="P42" s="350"/>
      <c r="Q42" s="24">
        <f t="shared" si="18"/>
        <v>0</v>
      </c>
      <c r="R42" s="26">
        <f t="shared" si="19"/>
        <v>0</v>
      </c>
      <c r="S42" s="26">
        <f t="shared" si="21"/>
        <v>0</v>
      </c>
      <c r="T42" s="26">
        <f t="shared" si="20"/>
        <v>0</v>
      </c>
      <c r="U42" s="71"/>
      <c r="V42" s="61">
        <v>648</v>
      </c>
      <c r="W42" s="13">
        <f t="shared" si="24"/>
        <v>0</v>
      </c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80</v>
      </c>
      <c r="F43" s="124">
        <v>2280</v>
      </c>
      <c r="G43" s="124">
        <v>330</v>
      </c>
      <c r="H43" s="124">
        <v>840</v>
      </c>
      <c r="I43" s="124"/>
      <c r="J43" s="124"/>
      <c r="K43" s="124"/>
      <c r="L43" s="124"/>
      <c r="M43" s="124">
        <v>40</v>
      </c>
      <c r="N43" s="124">
        <v>0</v>
      </c>
      <c r="O43" s="148">
        <v>10</v>
      </c>
      <c r="P43" s="352"/>
      <c r="Q43" s="24">
        <f t="shared" si="18"/>
        <v>3580</v>
      </c>
      <c r="R43" s="26">
        <f t="shared" si="19"/>
        <v>3284.4036697247702</v>
      </c>
      <c r="S43" s="26">
        <f t="shared" si="21"/>
        <v>295.59633027522977</v>
      </c>
      <c r="T43" s="26">
        <f t="shared" si="20"/>
        <v>358</v>
      </c>
      <c r="U43" s="71"/>
      <c r="V43" s="61"/>
      <c r="W43" s="13"/>
      <c r="X43" s="2"/>
      <c r="Y43" s="2"/>
      <c r="Z43" s="2"/>
      <c r="AA43" s="2"/>
      <c r="AB43" s="2"/>
      <c r="AC43" s="2"/>
      <c r="AD43" s="2"/>
      <c r="AE43" s="2"/>
    </row>
    <row r="44" spans="1:31" ht="12" customHeight="1" x14ac:dyDescent="0.25">
      <c r="A44" s="70" t="s">
        <v>16</v>
      </c>
      <c r="B44" s="52" t="s">
        <v>34</v>
      </c>
      <c r="C44" s="80" t="s">
        <v>91</v>
      </c>
      <c r="D44" s="78"/>
      <c r="E44" s="428">
        <f>+SUM(E45:E53)</f>
        <v>6190.1</v>
      </c>
      <c r="F44" s="426">
        <f>+SUM(F45:F53)</f>
        <v>126343.29999999999</v>
      </c>
      <c r="G44" s="426">
        <f t="shared" ref="G44:T44" si="25">+SUM(G45:G53)</f>
        <v>18696.600000000002</v>
      </c>
      <c r="H44" s="426">
        <f>+SUM(H45:H53)</f>
        <v>2952.0000000000005</v>
      </c>
      <c r="I44" s="426">
        <f t="shared" si="25"/>
        <v>0</v>
      </c>
      <c r="J44" s="426">
        <f t="shared" si="25"/>
        <v>0</v>
      </c>
      <c r="K44" s="426">
        <f t="shared" si="25"/>
        <v>0</v>
      </c>
      <c r="L44" s="426">
        <f t="shared" si="25"/>
        <v>0</v>
      </c>
      <c r="M44" s="426">
        <f t="shared" si="25"/>
        <v>1166.5</v>
      </c>
      <c r="N44" s="426">
        <f t="shared" si="25"/>
        <v>3345.3999999999996</v>
      </c>
      <c r="O44" s="426">
        <f t="shared" si="25"/>
        <v>10771.9</v>
      </c>
      <c r="P44" s="427">
        <f t="shared" si="25"/>
        <v>0</v>
      </c>
      <c r="Q44" s="42">
        <f>+SUM(Q45:Q53)</f>
        <v>169465.8</v>
      </c>
      <c r="R44" s="82">
        <f t="shared" si="25"/>
        <v>155473.21100917429</v>
      </c>
      <c r="S44" s="82">
        <f t="shared" si="25"/>
        <v>13992.588990825696</v>
      </c>
      <c r="T44" s="19">
        <f t="shared" si="25"/>
        <v>25792.999999999996</v>
      </c>
      <c r="U44" s="71"/>
      <c r="V44" s="61"/>
      <c r="W44" s="105">
        <f>+SUM(W45:W68)</f>
        <v>246817.19999999998</v>
      </c>
      <c r="X44" s="2"/>
      <c r="Y44" s="2"/>
      <c r="Z44" s="2"/>
      <c r="AA44" s="2"/>
      <c r="AB44" s="2"/>
      <c r="AC44" s="2"/>
      <c r="AD44" s="2"/>
      <c r="AE44" s="2"/>
    </row>
    <row r="45" spans="1:31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1">
        <v>744</v>
      </c>
      <c r="F45" s="23">
        <v>14040</v>
      </c>
      <c r="G45" s="28">
        <v>2004</v>
      </c>
      <c r="H45" s="347">
        <v>252</v>
      </c>
      <c r="I45" s="83"/>
      <c r="J45" s="75"/>
      <c r="K45" s="75"/>
      <c r="L45" s="75"/>
      <c r="M45" s="75">
        <v>72</v>
      </c>
      <c r="N45" s="127">
        <v>504</v>
      </c>
      <c r="O45" s="483">
        <f>1164+180</f>
        <v>1344</v>
      </c>
      <c r="P45" s="356"/>
      <c r="Q45" s="24">
        <f t="shared" ref="Q45:Q55" si="26">+SUM(E45:P45)</f>
        <v>18960</v>
      </c>
      <c r="R45" s="99">
        <f t="shared" ref="R45:R53" si="27">+Q45/1.09</f>
        <v>17394.495412844037</v>
      </c>
      <c r="S45" s="64">
        <f t="shared" ref="S45:S54" si="28">+Q45-R45</f>
        <v>1565.5045871559632</v>
      </c>
      <c r="T45" s="403">
        <f t="shared" ref="T45:T54" si="29">Q45/D45</f>
        <v>1580</v>
      </c>
      <c r="U45" s="71"/>
      <c r="V45" s="61"/>
      <c r="W45" s="13"/>
      <c r="X45" s="2"/>
      <c r="Y45" s="2"/>
      <c r="Z45" s="2"/>
      <c r="AA45" s="2"/>
      <c r="AB45" s="2"/>
      <c r="AC45" s="2"/>
      <c r="AD45" s="2"/>
      <c r="AE45" s="2"/>
    </row>
    <row r="46" spans="1:31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2">
        <v>216</v>
      </c>
      <c r="F46" s="13">
        <v>1896</v>
      </c>
      <c r="G46" s="17">
        <v>246</v>
      </c>
      <c r="H46" s="347">
        <v>30</v>
      </c>
      <c r="I46" s="13"/>
      <c r="J46" s="33"/>
      <c r="K46" s="33"/>
      <c r="L46" s="33"/>
      <c r="M46" s="33">
        <v>18</v>
      </c>
      <c r="N46" s="127">
        <v>66</v>
      </c>
      <c r="O46" s="17">
        <v>114</v>
      </c>
      <c r="P46" s="357"/>
      <c r="Q46" s="24">
        <f t="shared" si="26"/>
        <v>2586</v>
      </c>
      <c r="R46" s="5">
        <f t="shared" si="27"/>
        <v>2372.4770642201834</v>
      </c>
      <c r="S46" s="5">
        <f t="shared" si="28"/>
        <v>213.52293577981663</v>
      </c>
      <c r="T46" s="404">
        <f t="shared" si="29"/>
        <v>431</v>
      </c>
      <c r="U46" s="71"/>
      <c r="V46" s="61">
        <v>6</v>
      </c>
      <c r="W46" s="13">
        <f t="shared" ref="W46:W47" si="30">+T46*V46</f>
        <v>2586</v>
      </c>
      <c r="X46" s="2"/>
      <c r="Y46" s="2"/>
      <c r="Z46" s="2"/>
      <c r="AA46" s="2"/>
      <c r="AB46" s="2"/>
      <c r="AC46" s="2"/>
      <c r="AD46" s="2"/>
      <c r="AE46" s="2"/>
    </row>
    <row r="47" spans="1:31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2">
        <v>1473.6</v>
      </c>
      <c r="F47" s="13">
        <v>32227.199999999997</v>
      </c>
      <c r="G47" s="17">
        <v>5808</v>
      </c>
      <c r="H47" s="347">
        <v>187.2</v>
      </c>
      <c r="I47" s="13"/>
      <c r="J47" s="33"/>
      <c r="K47" s="33"/>
      <c r="L47" s="33"/>
      <c r="M47" s="33">
        <v>288</v>
      </c>
      <c r="N47" s="127">
        <v>972</v>
      </c>
      <c r="O47" s="17">
        <v>1857.6</v>
      </c>
      <c r="P47" s="357"/>
      <c r="Q47" s="24">
        <f t="shared" si="26"/>
        <v>42813.599999999991</v>
      </c>
      <c r="R47" s="5">
        <f t="shared" si="27"/>
        <v>39278.532110091735</v>
      </c>
      <c r="S47" s="5">
        <f t="shared" si="28"/>
        <v>3535.0678899082559</v>
      </c>
      <c r="T47" s="404">
        <f t="shared" si="29"/>
        <v>17838.999999999996</v>
      </c>
      <c r="U47" s="71"/>
      <c r="V47" s="61">
        <v>9.6</v>
      </c>
      <c r="W47" s="13">
        <f t="shared" si="30"/>
        <v>171254.39999999997</v>
      </c>
      <c r="X47" s="2"/>
      <c r="Y47" s="2"/>
      <c r="Z47" s="2"/>
      <c r="AA47" s="2"/>
      <c r="AB47" s="2"/>
      <c r="AC47" s="2"/>
      <c r="AD47" s="2"/>
      <c r="AE47" s="2"/>
    </row>
    <row r="48" spans="1:31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588</v>
      </c>
      <c r="F48" s="13">
        <v>13965</v>
      </c>
      <c r="G48" s="17">
        <v>1575</v>
      </c>
      <c r="H48" s="13">
        <v>630</v>
      </c>
      <c r="I48" s="13"/>
      <c r="J48" s="33"/>
      <c r="K48" s="33"/>
      <c r="L48" s="33"/>
      <c r="M48" s="33">
        <v>84</v>
      </c>
      <c r="N48" s="127">
        <v>399</v>
      </c>
      <c r="O48" s="484">
        <f>1092+588</f>
        <v>1680</v>
      </c>
      <c r="P48" s="357"/>
      <c r="Q48" s="24">
        <f t="shared" si="26"/>
        <v>18921</v>
      </c>
      <c r="R48" s="5">
        <f t="shared" si="27"/>
        <v>17358.715596330276</v>
      </c>
      <c r="S48" s="5">
        <f t="shared" si="28"/>
        <v>1562.2844036697243</v>
      </c>
      <c r="T48" s="404">
        <f t="shared" si="29"/>
        <v>901</v>
      </c>
      <c r="U48" s="71"/>
      <c r="V48" s="61"/>
      <c r="W48" s="13"/>
      <c r="X48" s="2"/>
      <c r="Y48" s="2"/>
      <c r="Z48" s="2"/>
      <c r="AA48" s="2"/>
      <c r="AB48" s="2"/>
      <c r="AC48" s="2"/>
      <c r="AD48" s="2"/>
      <c r="AE48" s="2"/>
    </row>
    <row r="49" spans="1:31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94.5</v>
      </c>
      <c r="F49" s="13">
        <v>1638</v>
      </c>
      <c r="G49" s="17">
        <v>147</v>
      </c>
      <c r="H49" s="13">
        <v>42</v>
      </c>
      <c r="I49" s="13"/>
      <c r="J49" s="33"/>
      <c r="K49" s="33"/>
      <c r="L49" s="33"/>
      <c r="M49" s="33">
        <v>10.5</v>
      </c>
      <c r="N49" s="127">
        <v>31.5</v>
      </c>
      <c r="O49" s="17">
        <v>126</v>
      </c>
      <c r="P49" s="357"/>
      <c r="Q49" s="24">
        <f t="shared" si="26"/>
        <v>2089.5</v>
      </c>
      <c r="R49" s="5">
        <f t="shared" si="27"/>
        <v>1916.9724770642201</v>
      </c>
      <c r="S49" s="5">
        <f t="shared" si="28"/>
        <v>172.52752293577987</v>
      </c>
      <c r="T49" s="5">
        <f t="shared" si="29"/>
        <v>199</v>
      </c>
      <c r="U49" s="71"/>
      <c r="V49" s="61">
        <v>10.5</v>
      </c>
      <c r="W49" s="13">
        <f t="shared" ref="W49:W50" si="31">+T49*V49</f>
        <v>2089.5</v>
      </c>
      <c r="X49" s="2"/>
      <c r="Y49" s="2"/>
      <c r="Z49" s="2"/>
      <c r="AA49" s="2"/>
      <c r="AB49" s="2"/>
      <c r="AC49" s="2"/>
      <c r="AD49" s="2"/>
      <c r="AE49" s="2"/>
    </row>
    <row r="50" spans="1:31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302.40000000000003</v>
      </c>
      <c r="F50" s="13">
        <v>6665.4000000000005</v>
      </c>
      <c r="G50" s="17">
        <v>823.2</v>
      </c>
      <c r="H50" s="13">
        <v>113.4</v>
      </c>
      <c r="I50" s="13"/>
      <c r="J50" s="33"/>
      <c r="K50" s="33"/>
      <c r="L50" s="33"/>
      <c r="M50" s="33">
        <v>46.2</v>
      </c>
      <c r="N50" s="127">
        <v>319.2</v>
      </c>
      <c r="O50" s="17">
        <v>882</v>
      </c>
      <c r="P50" s="357"/>
      <c r="Q50" s="24">
        <f t="shared" si="26"/>
        <v>9151.7999999999993</v>
      </c>
      <c r="R50" s="5">
        <f t="shared" si="27"/>
        <v>8396.1467889908236</v>
      </c>
      <c r="S50" s="5">
        <f t="shared" si="28"/>
        <v>755.65321100917572</v>
      </c>
      <c r="T50" s="5">
        <f t="shared" si="29"/>
        <v>2178.9999999999995</v>
      </c>
      <c r="U50" s="71"/>
      <c r="V50" s="61">
        <v>16.8</v>
      </c>
      <c r="W50" s="13">
        <f t="shared" si="31"/>
        <v>36607.199999999997</v>
      </c>
      <c r="X50" s="2"/>
      <c r="Y50" s="2"/>
      <c r="Z50" s="2"/>
      <c r="AA50" s="2"/>
      <c r="AB50" s="2"/>
      <c r="AC50" s="2"/>
      <c r="AD50" s="2"/>
      <c r="AE50" s="2"/>
    </row>
    <row r="51" spans="1:31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2296</v>
      </c>
      <c r="F51" s="13">
        <v>46002</v>
      </c>
      <c r="G51" s="17">
        <v>6519</v>
      </c>
      <c r="H51" s="13">
        <v>1435</v>
      </c>
      <c r="I51" s="13"/>
      <c r="J51" s="33"/>
      <c r="K51" s="33"/>
      <c r="L51" s="33"/>
      <c r="M51" s="33">
        <v>533</v>
      </c>
      <c r="N51" s="127">
        <v>861</v>
      </c>
      <c r="O51" s="17">
        <v>3854</v>
      </c>
      <c r="P51" s="357"/>
      <c r="Q51" s="24">
        <f t="shared" si="26"/>
        <v>61500</v>
      </c>
      <c r="R51" s="5">
        <f t="shared" si="27"/>
        <v>56422.018348623846</v>
      </c>
      <c r="S51" s="5">
        <f t="shared" si="28"/>
        <v>5077.9816513761543</v>
      </c>
      <c r="T51" s="5">
        <f t="shared" si="29"/>
        <v>1500</v>
      </c>
      <c r="U51" s="71"/>
      <c r="V51" s="61"/>
      <c r="W51" s="13"/>
      <c r="X51" s="2"/>
      <c r="Y51" s="2"/>
      <c r="Z51" s="2"/>
      <c r="AA51" s="2"/>
      <c r="AB51" s="2"/>
      <c r="AC51" s="2"/>
      <c r="AD51" s="2"/>
      <c r="AE51" s="2"/>
    </row>
    <row r="52" spans="1:31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205</v>
      </c>
      <c r="F52" s="13">
        <v>5063.5</v>
      </c>
      <c r="G52" s="17">
        <v>820</v>
      </c>
      <c r="H52" s="13">
        <v>205</v>
      </c>
      <c r="I52" s="13"/>
      <c r="J52" s="33"/>
      <c r="K52" s="33"/>
      <c r="L52" s="33"/>
      <c r="M52" s="33">
        <v>82</v>
      </c>
      <c r="N52" s="127">
        <v>20.5</v>
      </c>
      <c r="O52" s="13">
        <v>102.5</v>
      </c>
      <c r="P52" s="357"/>
      <c r="Q52" s="24">
        <f t="shared" si="26"/>
        <v>6498.5</v>
      </c>
      <c r="R52" s="5">
        <f t="shared" si="27"/>
        <v>5961.9266055045864</v>
      </c>
      <c r="S52" s="5">
        <f t="shared" si="28"/>
        <v>536.57339449541359</v>
      </c>
      <c r="T52" s="5">
        <f t="shared" si="29"/>
        <v>317</v>
      </c>
      <c r="U52" s="71"/>
      <c r="V52" s="61">
        <v>20.5</v>
      </c>
      <c r="W52" s="13">
        <f t="shared" ref="W52:W53" si="32">+T52*V52</f>
        <v>6498.5</v>
      </c>
      <c r="X52" s="2"/>
      <c r="Y52" s="2"/>
      <c r="Z52" s="2"/>
      <c r="AA52" s="2"/>
      <c r="AB52" s="2"/>
      <c r="AC52" s="2"/>
      <c r="AD52" s="2"/>
      <c r="AE52" s="2"/>
    </row>
    <row r="53" spans="1:31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270.59999999999997</v>
      </c>
      <c r="F53" s="14">
        <v>4846.2000000000007</v>
      </c>
      <c r="G53" s="51">
        <v>754.40000000000009</v>
      </c>
      <c r="H53" s="14">
        <v>57.4</v>
      </c>
      <c r="I53" s="14"/>
      <c r="J53" s="76"/>
      <c r="K53" s="76"/>
      <c r="L53" s="76"/>
      <c r="M53" s="76">
        <v>32.799999999999997</v>
      </c>
      <c r="N53" s="148">
        <v>172.2</v>
      </c>
      <c r="O53" s="25">
        <v>811.8</v>
      </c>
      <c r="P53" s="224"/>
      <c r="Q53" s="359">
        <f t="shared" si="26"/>
        <v>6945.4000000000005</v>
      </c>
      <c r="R53" s="6">
        <f t="shared" si="27"/>
        <v>6371.9266055045873</v>
      </c>
      <c r="S53" s="6">
        <f t="shared" si="28"/>
        <v>573.47339449541323</v>
      </c>
      <c r="T53" s="6">
        <f t="shared" si="29"/>
        <v>847.00000000000011</v>
      </c>
      <c r="U53" s="35"/>
      <c r="V53" s="61">
        <v>32.799999999999997</v>
      </c>
      <c r="W53" s="13">
        <f t="shared" si="32"/>
        <v>27781.600000000002</v>
      </c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C54" s="1" t="s">
        <v>150</v>
      </c>
      <c r="D54" s="4">
        <v>4</v>
      </c>
      <c r="E54" s="386">
        <f>250*4</f>
        <v>1000</v>
      </c>
      <c r="F54" s="112">
        <v>34588</v>
      </c>
      <c r="G54" s="112">
        <v>4920</v>
      </c>
      <c r="H54" s="112">
        <v>2296</v>
      </c>
      <c r="I54" s="112"/>
      <c r="J54" s="112"/>
      <c r="K54" s="112"/>
      <c r="L54" s="112"/>
      <c r="M54" s="1">
        <f>250*4</f>
        <v>1000</v>
      </c>
      <c r="O54" s="424"/>
      <c r="P54" s="425"/>
      <c r="Q54" s="230">
        <f>+SUM(E54:P54)+P59</f>
        <v>44204</v>
      </c>
      <c r="R54" s="6">
        <f>+Q54/1.21</f>
        <v>36532.231404958678</v>
      </c>
      <c r="S54" s="6">
        <f t="shared" si="28"/>
        <v>7671.7685950413215</v>
      </c>
      <c r="T54" s="6">
        <f t="shared" si="29"/>
        <v>11051</v>
      </c>
      <c r="V54" s="405"/>
      <c r="W54" s="13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C55" s="1" t="s">
        <v>143</v>
      </c>
      <c r="E55" s="2">
        <v>55631.15</v>
      </c>
      <c r="F55" s="2">
        <v>774838.9</v>
      </c>
      <c r="G55" s="2">
        <v>112844.4</v>
      </c>
      <c r="H55" s="2">
        <v>13923.89</v>
      </c>
      <c r="I55" s="2"/>
      <c r="J55" s="2"/>
      <c r="K55" s="2"/>
      <c r="L55" s="2"/>
      <c r="M55" s="2">
        <v>11004.22</v>
      </c>
      <c r="N55" s="2"/>
      <c r="O55" s="485">
        <v>116.6</v>
      </c>
      <c r="P55" s="485">
        <v>82.15</v>
      </c>
      <c r="Q55" s="6">
        <f t="shared" si="26"/>
        <v>968441.31</v>
      </c>
      <c r="R55" s="6">
        <f>+Q55</f>
        <v>968441.31</v>
      </c>
      <c r="S55" s="6"/>
      <c r="T55" s="6"/>
    </row>
    <row r="56" spans="1:31" x14ac:dyDescent="0.25">
      <c r="O56" s="485" t="s">
        <v>508</v>
      </c>
    </row>
    <row r="57" spans="1:31" x14ac:dyDescent="0.25">
      <c r="D57" s="4" t="s">
        <v>151</v>
      </c>
      <c r="E57" s="136">
        <f>+E5+E54+E55</f>
        <v>450240.03</v>
      </c>
      <c r="F57" s="136">
        <f t="shared" ref="F57:P57" si="33">+F5+F54+F55</f>
        <v>7228335.54</v>
      </c>
      <c r="G57" s="136">
        <f t="shared" si="33"/>
        <v>1050053.5599999998</v>
      </c>
      <c r="H57" s="136">
        <f t="shared" si="33"/>
        <v>159273.83000000002</v>
      </c>
      <c r="I57" s="136">
        <f t="shared" si="33"/>
        <v>599492.94999999995</v>
      </c>
      <c r="J57" s="136">
        <f t="shared" si="33"/>
        <v>833725.2</v>
      </c>
      <c r="K57" s="136">
        <f t="shared" si="33"/>
        <v>956203.35</v>
      </c>
      <c r="L57" s="136">
        <f t="shared" si="33"/>
        <v>437.24000000002036</v>
      </c>
      <c r="M57" s="136">
        <f t="shared" si="33"/>
        <v>111739.56</v>
      </c>
      <c r="N57" s="136">
        <f t="shared" si="33"/>
        <v>157601.4</v>
      </c>
      <c r="O57" s="136">
        <f t="shared" si="33"/>
        <v>646583.91999999993</v>
      </c>
      <c r="P57" s="136">
        <f t="shared" si="33"/>
        <v>110.65</v>
      </c>
      <c r="Q57" s="103">
        <f>+SUM(E57:O57)</f>
        <v>12193686.58</v>
      </c>
      <c r="R57" s="150"/>
      <c r="S57" s="150"/>
    </row>
    <row r="59" spans="1:31" x14ac:dyDescent="0.25">
      <c r="E59" s="125"/>
      <c r="F59" s="112"/>
      <c r="G59" s="2"/>
      <c r="H59" s="112"/>
      <c r="O59" s="561" t="s">
        <v>609</v>
      </c>
      <c r="P59" s="560">
        <f>100*4</f>
        <v>400</v>
      </c>
      <c r="Q59" s="112">
        <f>+(Q54+M59+E59)/4</f>
        <v>11051</v>
      </c>
    </row>
    <row r="60" spans="1:31" x14ac:dyDescent="0.25">
      <c r="E60" s="125"/>
    </row>
    <row r="61" spans="1:31" x14ac:dyDescent="0.25">
      <c r="G61" s="2"/>
      <c r="M61" s="2"/>
      <c r="N61" s="2"/>
    </row>
    <row r="62" spans="1:31" x14ac:dyDescent="0.25">
      <c r="F62" s="408"/>
    </row>
    <row r="63" spans="1:31" x14ac:dyDescent="0.25">
      <c r="F63" s="408"/>
    </row>
    <row r="64" spans="1:31" x14ac:dyDescent="0.25">
      <c r="F64" s="408"/>
    </row>
    <row r="65" spans="2:6" x14ac:dyDescent="0.25">
      <c r="F65" s="35"/>
    </row>
    <row r="73" spans="2:6" x14ac:dyDescent="0.25">
      <c r="B73" s="1"/>
    </row>
  </sheetData>
  <mergeCells count="19">
    <mergeCell ref="W3:W4"/>
    <mergeCell ref="N3:N4"/>
    <mergeCell ref="O3:P3"/>
    <mergeCell ref="Q3:Q4"/>
    <mergeCell ref="R3:R4"/>
    <mergeCell ref="S3:S4"/>
    <mergeCell ref="T3:T4"/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J11" sqref="AJ11"/>
    </sheetView>
  </sheetViews>
  <sheetFormatPr defaultRowHeight="14.4" x14ac:dyDescent="0.3"/>
  <cols>
    <col min="1" max="1" width="33.109375" customWidth="1"/>
    <col min="3" max="4" width="11.6640625" bestFit="1" customWidth="1"/>
    <col min="5" max="5" width="10.6640625" bestFit="1" customWidth="1"/>
    <col min="6" max="6" width="12.33203125" customWidth="1"/>
    <col min="7" max="7" width="11.6640625" bestFit="1" customWidth="1"/>
    <col min="8" max="8" width="10.6640625" bestFit="1" customWidth="1"/>
    <col min="9" max="9" width="12.33203125" customWidth="1"/>
    <col min="10" max="10" width="11.6640625" customWidth="1"/>
    <col min="11" max="11" width="10.6640625" bestFit="1" customWidth="1"/>
    <col min="12" max="13" width="11.5546875" bestFit="1" customWidth="1"/>
    <col min="14" max="14" width="12.33203125" bestFit="1" customWidth="1"/>
    <col min="15" max="25" width="12.33203125" customWidth="1"/>
    <col min="26" max="26" width="12" customWidth="1"/>
    <col min="27" max="27" width="11.5546875" bestFit="1" customWidth="1"/>
    <col min="28" max="28" width="12.109375" customWidth="1"/>
    <col min="29" max="29" width="12.21875" bestFit="1" customWidth="1"/>
    <col min="30" max="32" width="12.21875" customWidth="1"/>
    <col min="33" max="34" width="11.5546875" bestFit="1" customWidth="1"/>
    <col min="35" max="35" width="14.21875" customWidth="1"/>
    <col min="36" max="36" width="14.109375" customWidth="1"/>
  </cols>
  <sheetData>
    <row r="1" spans="1:36" x14ac:dyDescent="0.3">
      <c r="A1" t="s">
        <v>392</v>
      </c>
    </row>
    <row r="2" spans="1:36" x14ac:dyDescent="0.3">
      <c r="C2" s="562" t="s">
        <v>211</v>
      </c>
      <c r="D2" s="562"/>
      <c r="E2" s="562"/>
      <c r="F2" s="562" t="s">
        <v>212</v>
      </c>
      <c r="G2" s="562"/>
      <c r="H2" s="562"/>
      <c r="I2" s="562" t="s">
        <v>322</v>
      </c>
      <c r="J2" s="562"/>
      <c r="K2" s="562"/>
      <c r="L2" s="562" t="s">
        <v>265</v>
      </c>
      <c r="M2" s="562"/>
      <c r="N2" s="562"/>
      <c r="O2" s="562" t="s">
        <v>310</v>
      </c>
      <c r="P2" s="562"/>
      <c r="Q2" s="562"/>
      <c r="R2" s="562" t="s">
        <v>358</v>
      </c>
      <c r="S2" s="562"/>
      <c r="T2" s="562"/>
      <c r="U2" s="562" t="s">
        <v>359</v>
      </c>
      <c r="V2" s="562"/>
      <c r="W2" s="562"/>
      <c r="X2" s="562" t="s">
        <v>360</v>
      </c>
      <c r="Y2" s="562"/>
      <c r="Z2" s="562"/>
      <c r="AA2" s="562" t="s">
        <v>361</v>
      </c>
      <c r="AB2" s="562"/>
      <c r="AC2" s="562"/>
      <c r="AD2" s="562" t="s">
        <v>362</v>
      </c>
      <c r="AE2" s="562"/>
      <c r="AF2" s="562"/>
      <c r="AG2" s="562" t="s">
        <v>363</v>
      </c>
      <c r="AH2" s="562"/>
      <c r="AI2" s="562"/>
    </row>
    <row r="3" spans="1:36" ht="40.200000000000003" customHeight="1" x14ac:dyDescent="0.3">
      <c r="A3" s="344" t="s">
        <v>46</v>
      </c>
      <c r="B3" s="365" t="s">
        <v>208</v>
      </c>
      <c r="C3" s="365" t="s">
        <v>503</v>
      </c>
      <c r="D3" s="365" t="s">
        <v>558</v>
      </c>
      <c r="E3" s="365" t="s">
        <v>206</v>
      </c>
      <c r="F3" s="365" t="s">
        <v>503</v>
      </c>
      <c r="G3" s="365" t="s">
        <v>558</v>
      </c>
      <c r="H3" s="365" t="s">
        <v>206</v>
      </c>
      <c r="I3" s="365" t="s">
        <v>503</v>
      </c>
      <c r="J3" s="365" t="s">
        <v>558</v>
      </c>
      <c r="K3" s="365" t="s">
        <v>206</v>
      </c>
      <c r="L3" s="365" t="s">
        <v>503</v>
      </c>
      <c r="M3" s="365" t="s">
        <v>558</v>
      </c>
      <c r="N3" s="369" t="s">
        <v>206</v>
      </c>
      <c r="O3" s="365" t="s">
        <v>503</v>
      </c>
      <c r="P3" s="365" t="s">
        <v>558</v>
      </c>
      <c r="Q3" s="369" t="s">
        <v>206</v>
      </c>
      <c r="R3" s="365" t="s">
        <v>503</v>
      </c>
      <c r="S3" s="365" t="s">
        <v>558</v>
      </c>
      <c r="T3" s="369" t="s">
        <v>206</v>
      </c>
      <c r="U3" s="365" t="s">
        <v>503</v>
      </c>
      <c r="V3" s="365" t="s">
        <v>558</v>
      </c>
      <c r="W3" s="369" t="s">
        <v>206</v>
      </c>
      <c r="X3" s="365" t="s">
        <v>503</v>
      </c>
      <c r="Y3" s="365" t="s">
        <v>558</v>
      </c>
      <c r="Z3" s="369" t="s">
        <v>206</v>
      </c>
      <c r="AA3" s="365" t="s">
        <v>503</v>
      </c>
      <c r="AB3" s="365" t="s">
        <v>558</v>
      </c>
      <c r="AC3" s="369" t="s">
        <v>206</v>
      </c>
      <c r="AD3" s="365" t="s">
        <v>503</v>
      </c>
      <c r="AE3" s="365" t="s">
        <v>558</v>
      </c>
      <c r="AF3" s="369" t="s">
        <v>206</v>
      </c>
      <c r="AG3" s="365" t="s">
        <v>559</v>
      </c>
      <c r="AH3" s="365" t="s">
        <v>558</v>
      </c>
      <c r="AI3" s="369" t="s">
        <v>206</v>
      </c>
      <c r="AJ3" s="365" t="s">
        <v>351</v>
      </c>
    </row>
    <row r="4" spans="1:36" x14ac:dyDescent="0.3">
      <c r="A4" s="263" t="s">
        <v>54</v>
      </c>
      <c r="B4" s="91">
        <v>2.2000000000000002</v>
      </c>
      <c r="C4" s="91">
        <v>757741.6</v>
      </c>
      <c r="D4" s="91">
        <v>757741.6</v>
      </c>
      <c r="E4" s="91">
        <f>+D4-C4</f>
        <v>0</v>
      </c>
      <c r="F4" s="91">
        <v>698530.8</v>
      </c>
      <c r="G4" s="91">
        <v>698530.8</v>
      </c>
      <c r="H4" s="91">
        <f>+G4-F4</f>
        <v>0</v>
      </c>
      <c r="I4" s="91">
        <v>769874.6</v>
      </c>
      <c r="J4" s="91">
        <v>770464.2</v>
      </c>
      <c r="K4" s="91">
        <f>+J4-I4</f>
        <v>589.59999999997672</v>
      </c>
      <c r="L4" s="91">
        <v>777779.19999999995</v>
      </c>
      <c r="M4" s="91">
        <v>777840.8</v>
      </c>
      <c r="N4" s="265">
        <f>+M4-L4</f>
        <v>61.600000000093132</v>
      </c>
      <c r="O4" s="91">
        <v>774846.6</v>
      </c>
      <c r="P4" s="91">
        <v>775044.6</v>
      </c>
      <c r="Q4" s="265">
        <f>+P4-O4</f>
        <v>198</v>
      </c>
      <c r="R4" s="91">
        <v>721809</v>
      </c>
      <c r="S4" s="91">
        <v>721936.6</v>
      </c>
      <c r="T4" s="265">
        <f>+S4-R4</f>
        <v>127.59999999997672</v>
      </c>
      <c r="U4" s="91">
        <v>736419.2</v>
      </c>
      <c r="V4" s="91">
        <v>736474.2</v>
      </c>
      <c r="W4" s="265">
        <f>+V4-U4</f>
        <v>55</v>
      </c>
      <c r="X4" s="91">
        <v>685489.2</v>
      </c>
      <c r="Y4" s="91">
        <v>685995.2</v>
      </c>
      <c r="Z4" s="265">
        <f>+Y4-X4</f>
        <v>506</v>
      </c>
      <c r="AA4" s="91">
        <v>777836.4</v>
      </c>
      <c r="AB4" s="91">
        <v>778503</v>
      </c>
      <c r="AC4" s="265">
        <f>+AB4-AA4</f>
        <v>666.59999999997672</v>
      </c>
      <c r="AD4" s="474">
        <v>801559</v>
      </c>
      <c r="AE4" s="474">
        <v>801559</v>
      </c>
      <c r="AF4" s="265">
        <f>+AE4-AD4</f>
        <v>0</v>
      </c>
      <c r="AG4" s="474">
        <v>727773.84</v>
      </c>
      <c r="AH4" s="474">
        <v>728006.4</v>
      </c>
      <c r="AI4" s="265">
        <f>+AH4-AG4</f>
        <v>232.56000000005588</v>
      </c>
      <c r="AJ4" s="262">
        <f>+E4+H4+K4+N4+Q4+T4+W4+Z4+AC4+AF4+AI4</f>
        <v>2436.9600000000792</v>
      </c>
    </row>
    <row r="5" spans="1:36" x14ac:dyDescent="0.3">
      <c r="A5" s="255" t="s">
        <v>92</v>
      </c>
      <c r="B5" s="60">
        <v>1.1000000000000001</v>
      </c>
      <c r="C5" s="60">
        <v>74740.600000000006</v>
      </c>
      <c r="D5" s="60">
        <v>74740.600000000006</v>
      </c>
      <c r="E5" s="91">
        <f t="shared" ref="E5:E9" si="0">+D5-C5</f>
        <v>0</v>
      </c>
      <c r="F5" s="60">
        <v>72273.3</v>
      </c>
      <c r="G5" s="60">
        <v>72273.3</v>
      </c>
      <c r="H5" s="91">
        <f t="shared" ref="H5:H9" si="1">+G5-F5</f>
        <v>0</v>
      </c>
      <c r="I5" s="60">
        <v>82964.2</v>
      </c>
      <c r="J5" s="60">
        <v>83039</v>
      </c>
      <c r="K5" s="91">
        <f t="shared" ref="K5:K9" si="2">+J5-I5</f>
        <v>74.80000000000291</v>
      </c>
      <c r="L5" s="91">
        <v>82359.199999999997</v>
      </c>
      <c r="M5" s="91">
        <v>82363.600000000006</v>
      </c>
      <c r="N5" s="257">
        <f t="shared" ref="N5:N9" si="3">+M5-L5</f>
        <v>4.4000000000087311</v>
      </c>
      <c r="O5" s="91">
        <v>79332</v>
      </c>
      <c r="P5" s="91">
        <v>79344.100000000006</v>
      </c>
      <c r="Q5" s="257">
        <f t="shared" ref="Q5:Q9" si="4">+P5-O5</f>
        <v>12.100000000005821</v>
      </c>
      <c r="R5" s="91">
        <v>78398.100000000006</v>
      </c>
      <c r="S5" s="91">
        <v>78415.7</v>
      </c>
      <c r="T5" s="257">
        <f t="shared" ref="T5:T9" si="5">+S5-R5</f>
        <v>17.599999999991269</v>
      </c>
      <c r="U5" s="91">
        <v>75402.8</v>
      </c>
      <c r="V5" s="91">
        <v>75405</v>
      </c>
      <c r="W5" s="257">
        <f t="shared" ref="W5:W9" si="6">+V5-U5</f>
        <v>2.1999999999970896</v>
      </c>
      <c r="X5" s="60">
        <v>72257.899999999994</v>
      </c>
      <c r="Y5" s="60">
        <v>72305.2</v>
      </c>
      <c r="Z5" s="257">
        <f t="shared" ref="Z5:Z9" si="7">+Y5-X5</f>
        <v>47.30000000000291</v>
      </c>
      <c r="AA5" s="60">
        <v>81849.899999999994</v>
      </c>
      <c r="AB5" s="60">
        <v>81930.2</v>
      </c>
      <c r="AC5" s="257">
        <f t="shared" ref="AC5:AC9" si="8">+AB5-AA5</f>
        <v>80.30000000000291</v>
      </c>
      <c r="AD5" s="130">
        <v>84265.5</v>
      </c>
      <c r="AE5" s="130">
        <v>84265.5</v>
      </c>
      <c r="AF5" s="257">
        <f t="shared" ref="AF5:AF9" si="9">+AE5-AD5</f>
        <v>0</v>
      </c>
      <c r="AG5" s="130">
        <v>79284.7</v>
      </c>
      <c r="AH5" s="130">
        <v>79313.3</v>
      </c>
      <c r="AI5" s="257">
        <f t="shared" ref="AI5:AI9" si="10">+AH5-AG5</f>
        <v>28.600000000005821</v>
      </c>
      <c r="AJ5" s="262">
        <f t="shared" ref="AJ5:AJ9" si="11">+E5+H5+K5+N5+Q5+T5+W5+Z5+AC5+AF5+AI5</f>
        <v>267.30000000001746</v>
      </c>
    </row>
    <row r="6" spans="1:36" x14ac:dyDescent="0.3">
      <c r="A6" s="255" t="s">
        <v>93</v>
      </c>
      <c r="B6" s="62">
        <v>0.44</v>
      </c>
      <c r="C6" s="62">
        <v>1468.72</v>
      </c>
      <c r="D6" s="62">
        <v>1468.72</v>
      </c>
      <c r="E6" s="91">
        <f t="shared" si="0"/>
        <v>0</v>
      </c>
      <c r="F6" s="62">
        <v>1340.68</v>
      </c>
      <c r="G6" s="62">
        <v>1340.68</v>
      </c>
      <c r="H6" s="91">
        <f t="shared" si="1"/>
        <v>0</v>
      </c>
      <c r="I6" s="62">
        <v>1460.36</v>
      </c>
      <c r="J6" s="62">
        <v>1463.44</v>
      </c>
      <c r="K6" s="91">
        <f t="shared" si="2"/>
        <v>3.0800000000001546</v>
      </c>
      <c r="L6" s="91">
        <v>1517.12</v>
      </c>
      <c r="M6" s="91">
        <v>1517.12</v>
      </c>
      <c r="N6" s="257">
        <f t="shared" si="3"/>
        <v>0</v>
      </c>
      <c r="O6" s="91">
        <v>1437.48</v>
      </c>
      <c r="P6" s="91">
        <v>1438.8</v>
      </c>
      <c r="Q6" s="257">
        <f t="shared" si="4"/>
        <v>1.3199999999999363</v>
      </c>
      <c r="R6" s="91">
        <v>1250.04</v>
      </c>
      <c r="S6" s="91">
        <v>1250.48</v>
      </c>
      <c r="T6" s="257">
        <f t="shared" si="5"/>
        <v>0.44000000000005457</v>
      </c>
      <c r="U6" s="91">
        <v>1297.1199999999999</v>
      </c>
      <c r="V6" s="91">
        <v>1297.1199999999999</v>
      </c>
      <c r="W6" s="257">
        <f t="shared" si="6"/>
        <v>0</v>
      </c>
      <c r="X6" s="62">
        <v>1233.76</v>
      </c>
      <c r="Y6" s="62">
        <v>1234.2</v>
      </c>
      <c r="Z6" s="257">
        <f t="shared" si="7"/>
        <v>0.44000000000005457</v>
      </c>
      <c r="AA6" s="62">
        <v>1438.8</v>
      </c>
      <c r="AB6" s="62">
        <v>1440.56</v>
      </c>
      <c r="AC6" s="257">
        <f t="shared" si="8"/>
        <v>1.7599999999999909</v>
      </c>
      <c r="AD6" s="130">
        <v>1370.6</v>
      </c>
      <c r="AE6" s="130">
        <v>1370.6</v>
      </c>
      <c r="AF6" s="257">
        <f t="shared" si="9"/>
        <v>0</v>
      </c>
      <c r="AG6" s="130">
        <v>1163.05</v>
      </c>
      <c r="AH6" s="130">
        <v>1162.92</v>
      </c>
      <c r="AI6" s="257">
        <f t="shared" si="10"/>
        <v>-0.12999999999988177</v>
      </c>
      <c r="AJ6" s="262">
        <f t="shared" si="11"/>
        <v>6.9100000000003092</v>
      </c>
    </row>
    <row r="7" spans="1:36" x14ac:dyDescent="0.3">
      <c r="A7" s="255" t="s">
        <v>58</v>
      </c>
      <c r="B7" s="62">
        <v>3.2</v>
      </c>
      <c r="C7" s="62">
        <v>117843.2</v>
      </c>
      <c r="D7" s="62">
        <v>117843.2</v>
      </c>
      <c r="E7" s="91">
        <f t="shared" si="0"/>
        <v>0</v>
      </c>
      <c r="F7" s="62">
        <v>107465.60000000001</v>
      </c>
      <c r="G7" s="62">
        <v>107465.60000000001</v>
      </c>
      <c r="H7" s="91">
        <f t="shared" si="1"/>
        <v>0</v>
      </c>
      <c r="I7" s="62">
        <v>116988.8</v>
      </c>
      <c r="J7" s="62">
        <v>117100.8</v>
      </c>
      <c r="K7" s="91">
        <f t="shared" si="2"/>
        <v>112</v>
      </c>
      <c r="L7" s="91">
        <v>124934.39999999999</v>
      </c>
      <c r="M7" s="91">
        <v>124944</v>
      </c>
      <c r="N7" s="257">
        <f t="shared" si="3"/>
        <v>9.6000000000058208</v>
      </c>
      <c r="O7" s="91">
        <v>126780.8</v>
      </c>
      <c r="P7" s="91">
        <v>126825.60000000001</v>
      </c>
      <c r="Q7" s="257">
        <f t="shared" si="4"/>
        <v>44.80000000000291</v>
      </c>
      <c r="R7" s="91">
        <v>123222.39999999999</v>
      </c>
      <c r="S7" s="91">
        <v>123257.60000000001</v>
      </c>
      <c r="T7" s="257">
        <f t="shared" si="5"/>
        <v>35.200000000011642</v>
      </c>
      <c r="U7" s="91">
        <v>128307.2</v>
      </c>
      <c r="V7" s="91">
        <v>128316.8</v>
      </c>
      <c r="W7" s="257">
        <f t="shared" si="6"/>
        <v>9.6000000000058208</v>
      </c>
      <c r="X7" s="62">
        <v>119065.60000000001</v>
      </c>
      <c r="Y7" s="62">
        <v>119190.39999999999</v>
      </c>
      <c r="Z7" s="257">
        <f t="shared" si="7"/>
        <v>124.79999999998836</v>
      </c>
      <c r="AA7" s="62">
        <v>134492.79999999999</v>
      </c>
      <c r="AB7" s="62">
        <v>134614.39999999999</v>
      </c>
      <c r="AC7" s="257">
        <f t="shared" si="8"/>
        <v>121.60000000000582</v>
      </c>
      <c r="AD7" s="130">
        <v>140585.60000000001</v>
      </c>
      <c r="AE7" s="130">
        <v>140585.60000000001</v>
      </c>
      <c r="AF7" s="257">
        <f t="shared" si="9"/>
        <v>0</v>
      </c>
      <c r="AG7" s="130">
        <v>131609.60000000001</v>
      </c>
      <c r="AH7" s="130">
        <v>131670</v>
      </c>
      <c r="AI7" s="257">
        <f t="shared" si="10"/>
        <v>60.399999999994179</v>
      </c>
      <c r="AJ7" s="262">
        <f t="shared" si="11"/>
        <v>518.00000000001455</v>
      </c>
    </row>
    <row r="8" spans="1:36" x14ac:dyDescent="0.3">
      <c r="A8" s="255" t="s">
        <v>94</v>
      </c>
      <c r="B8" s="62">
        <v>1.6</v>
      </c>
      <c r="C8" s="62">
        <v>12296</v>
      </c>
      <c r="D8" s="62">
        <v>12296</v>
      </c>
      <c r="E8" s="91">
        <f t="shared" si="0"/>
        <v>0</v>
      </c>
      <c r="F8" s="62">
        <v>12032</v>
      </c>
      <c r="G8" s="62">
        <v>12032</v>
      </c>
      <c r="H8" s="91">
        <f t="shared" si="1"/>
        <v>0</v>
      </c>
      <c r="I8" s="62">
        <v>14363.2</v>
      </c>
      <c r="J8" s="62">
        <v>14392</v>
      </c>
      <c r="K8" s="91">
        <f t="shared" si="2"/>
        <v>28.799999999999272</v>
      </c>
      <c r="L8" s="91">
        <v>16284.8</v>
      </c>
      <c r="M8" s="91">
        <v>16284.8</v>
      </c>
      <c r="N8" s="257">
        <f t="shared" si="3"/>
        <v>0</v>
      </c>
      <c r="O8" s="91">
        <v>16817.599999999999</v>
      </c>
      <c r="P8" s="91">
        <v>16822.400000000001</v>
      </c>
      <c r="Q8" s="257">
        <f t="shared" si="4"/>
        <v>4.8000000000029104</v>
      </c>
      <c r="R8" s="91">
        <v>16654.400000000001</v>
      </c>
      <c r="S8" s="91">
        <v>16662.400000000001</v>
      </c>
      <c r="T8" s="257">
        <f t="shared" si="5"/>
        <v>8</v>
      </c>
      <c r="U8" s="91">
        <v>17555.2</v>
      </c>
      <c r="V8" s="91">
        <v>17556.8</v>
      </c>
      <c r="W8" s="257">
        <f t="shared" si="6"/>
        <v>1.5999999999985448</v>
      </c>
      <c r="X8" s="62">
        <v>16044.8</v>
      </c>
      <c r="Y8" s="62">
        <v>16051.2</v>
      </c>
      <c r="Z8" s="257">
        <f t="shared" si="7"/>
        <v>6.4000000000014552</v>
      </c>
      <c r="AA8" s="62">
        <v>17862.400000000001</v>
      </c>
      <c r="AB8" s="62">
        <v>17884.8</v>
      </c>
      <c r="AC8" s="257">
        <f t="shared" si="8"/>
        <v>22.399999999997817</v>
      </c>
      <c r="AD8" s="130">
        <v>18265.599999999999</v>
      </c>
      <c r="AE8" s="130">
        <v>18265.599999999999</v>
      </c>
      <c r="AF8" s="257">
        <f t="shared" si="9"/>
        <v>0</v>
      </c>
      <c r="AG8" s="130">
        <v>16097.6</v>
      </c>
      <c r="AH8" s="130">
        <v>16100.8</v>
      </c>
      <c r="AI8" s="257">
        <f t="shared" si="10"/>
        <v>3.1999999999989086</v>
      </c>
      <c r="AJ8" s="262">
        <f t="shared" si="11"/>
        <v>75.199999999998909</v>
      </c>
    </row>
    <row r="9" spans="1:36" x14ac:dyDescent="0.3">
      <c r="A9" s="256" t="s">
        <v>95</v>
      </c>
      <c r="B9" s="63">
        <v>0.64</v>
      </c>
      <c r="C9" s="63">
        <v>254.08</v>
      </c>
      <c r="D9" s="63">
        <v>254.08</v>
      </c>
      <c r="E9" s="91">
        <f t="shared" si="0"/>
        <v>0</v>
      </c>
      <c r="F9" s="63">
        <v>247.04</v>
      </c>
      <c r="G9" s="63">
        <v>247.04</v>
      </c>
      <c r="H9" s="91">
        <f t="shared" si="1"/>
        <v>0</v>
      </c>
      <c r="I9" s="63">
        <v>297.60000000000002</v>
      </c>
      <c r="J9" s="63">
        <v>297.60000000000002</v>
      </c>
      <c r="K9" s="91">
        <f t="shared" si="2"/>
        <v>0</v>
      </c>
      <c r="L9" s="91">
        <v>314.24</v>
      </c>
      <c r="M9" s="91">
        <v>314.24</v>
      </c>
      <c r="N9" s="259">
        <f t="shared" si="3"/>
        <v>0</v>
      </c>
      <c r="O9" s="91">
        <v>330.24</v>
      </c>
      <c r="P9" s="91">
        <v>330.24</v>
      </c>
      <c r="Q9" s="259">
        <f t="shared" si="4"/>
        <v>0</v>
      </c>
      <c r="R9" s="91">
        <v>290.56</v>
      </c>
      <c r="S9" s="91">
        <v>290.56</v>
      </c>
      <c r="T9" s="259">
        <f t="shared" si="5"/>
        <v>0</v>
      </c>
      <c r="U9" s="91">
        <v>276.48</v>
      </c>
      <c r="V9" s="91">
        <v>276.48</v>
      </c>
      <c r="W9" s="259">
        <f t="shared" si="6"/>
        <v>0</v>
      </c>
      <c r="X9" s="63">
        <v>268.16000000000003</v>
      </c>
      <c r="Y9" s="63">
        <v>268.16000000000003</v>
      </c>
      <c r="Z9" s="259">
        <f t="shared" si="7"/>
        <v>0</v>
      </c>
      <c r="AA9" s="63">
        <v>286.08</v>
      </c>
      <c r="AB9" s="63">
        <v>286.08</v>
      </c>
      <c r="AC9" s="259">
        <f t="shared" si="8"/>
        <v>0</v>
      </c>
      <c r="AD9" s="132">
        <v>255.36</v>
      </c>
      <c r="AE9" s="132">
        <v>255.36</v>
      </c>
      <c r="AF9" s="259">
        <f t="shared" si="9"/>
        <v>0</v>
      </c>
      <c r="AG9" s="132">
        <v>274.56</v>
      </c>
      <c r="AH9" s="132">
        <v>274.56</v>
      </c>
      <c r="AI9" s="259">
        <f t="shared" si="10"/>
        <v>0</v>
      </c>
      <c r="AJ9" s="262">
        <f t="shared" si="11"/>
        <v>0</v>
      </c>
    </row>
    <row r="10" spans="1:36" x14ac:dyDescent="0.3">
      <c r="A10" s="260" t="s">
        <v>151</v>
      </c>
      <c r="B10" s="261"/>
      <c r="C10" s="364">
        <f t="shared" ref="C10" si="12">+SUM(C4:C9)</f>
        <v>964344.19999999984</v>
      </c>
      <c r="D10" s="364">
        <f t="shared" ref="D10:N10" si="13">+SUM(D4:D9)</f>
        <v>964344.19999999984</v>
      </c>
      <c r="E10" s="364">
        <f t="shared" si="13"/>
        <v>0</v>
      </c>
      <c r="F10" s="364">
        <f t="shared" ref="F10" si="14">+SUM(F4:F9)</f>
        <v>891889.42000000016</v>
      </c>
      <c r="G10" s="364">
        <f t="shared" si="13"/>
        <v>891889.42000000016</v>
      </c>
      <c r="H10" s="364">
        <f t="shared" si="13"/>
        <v>0</v>
      </c>
      <c r="I10" s="364">
        <f t="shared" ref="I10" si="15">+SUM(I4:I9)</f>
        <v>985948.75999999989</v>
      </c>
      <c r="J10" s="364">
        <f t="shared" si="13"/>
        <v>986757.03999999992</v>
      </c>
      <c r="K10" s="364">
        <f t="shared" si="13"/>
        <v>808.27999999997905</v>
      </c>
      <c r="L10" s="364">
        <f t="shared" ref="L10" si="16">+SUM(L4:L9)</f>
        <v>1003188.96</v>
      </c>
      <c r="M10" s="364">
        <f t="shared" si="13"/>
        <v>1003264.56</v>
      </c>
      <c r="N10" s="364">
        <f t="shared" si="13"/>
        <v>75.600000000107684</v>
      </c>
      <c r="O10" s="364">
        <f t="shared" ref="O10:AF10" si="17">+SUM(O4:O9)</f>
        <v>999544.72</v>
      </c>
      <c r="P10" s="364">
        <f t="shared" si="17"/>
        <v>999805.74</v>
      </c>
      <c r="Q10" s="364">
        <f t="shared" si="17"/>
        <v>261.02000000001158</v>
      </c>
      <c r="R10" s="364">
        <f t="shared" si="17"/>
        <v>941624.50000000012</v>
      </c>
      <c r="S10" s="364">
        <f t="shared" si="17"/>
        <v>941813.34</v>
      </c>
      <c r="T10" s="364">
        <f t="shared" si="17"/>
        <v>188.83999999997968</v>
      </c>
      <c r="U10" s="364">
        <f t="shared" si="17"/>
        <v>959257.99999999988</v>
      </c>
      <c r="V10" s="364">
        <f t="shared" si="17"/>
        <v>959326.4</v>
      </c>
      <c r="W10" s="364">
        <f t="shared" si="17"/>
        <v>68.400000000001455</v>
      </c>
      <c r="X10" s="364">
        <f t="shared" si="17"/>
        <v>894359.42</v>
      </c>
      <c r="Y10" s="364">
        <f t="shared" si="17"/>
        <v>895044.35999999987</v>
      </c>
      <c r="Z10" s="364">
        <f t="shared" si="17"/>
        <v>684.93999999999278</v>
      </c>
      <c r="AA10" s="364">
        <f t="shared" si="17"/>
        <v>1013766.3800000001</v>
      </c>
      <c r="AB10" s="364">
        <f t="shared" si="17"/>
        <v>1014659.04</v>
      </c>
      <c r="AC10" s="364">
        <f t="shared" si="17"/>
        <v>892.65999999998326</v>
      </c>
      <c r="AD10" s="364">
        <f t="shared" si="17"/>
        <v>1046301.6599999999</v>
      </c>
      <c r="AE10" s="364">
        <f t="shared" si="17"/>
        <v>1046301.6599999999</v>
      </c>
      <c r="AF10" s="364">
        <f t="shared" si="17"/>
        <v>0</v>
      </c>
      <c r="AG10" s="364">
        <f t="shared" ref="AG10:AJ10" si="18">+SUM(AG4:AG9)</f>
        <v>956203.35</v>
      </c>
      <c r="AH10" s="364">
        <f t="shared" si="18"/>
        <v>956527.98000000021</v>
      </c>
      <c r="AI10" s="364">
        <f t="shared" si="18"/>
        <v>324.63000000005491</v>
      </c>
      <c r="AJ10" s="364">
        <f t="shared" si="18"/>
        <v>3304.3700000001104</v>
      </c>
    </row>
    <row r="11" spans="1:36" x14ac:dyDescent="0.3">
      <c r="C11" s="102"/>
      <c r="F11" s="102"/>
      <c r="I11" s="102"/>
      <c r="AF11" s="102"/>
      <c r="AJ11" s="366"/>
    </row>
    <row r="12" spans="1:36" x14ac:dyDescent="0.3">
      <c r="AJ12" s="102"/>
    </row>
    <row r="14" spans="1:36" x14ac:dyDescent="0.3">
      <c r="Q14" s="102"/>
      <c r="T14" s="102"/>
      <c r="U14" s="102"/>
      <c r="V14" s="102"/>
      <c r="W14" s="102"/>
      <c r="X14" s="102"/>
      <c r="Y14" s="102"/>
      <c r="Z14" s="102"/>
    </row>
  </sheetData>
  <mergeCells count="11">
    <mergeCell ref="R2:T2"/>
    <mergeCell ref="C2:E2"/>
    <mergeCell ref="F2:H2"/>
    <mergeCell ref="I2:K2"/>
    <mergeCell ref="L2:N2"/>
    <mergeCell ref="O2:Q2"/>
    <mergeCell ref="U2:W2"/>
    <mergeCell ref="X2:Z2"/>
    <mergeCell ref="AA2:AC2"/>
    <mergeCell ref="AD2:AF2"/>
    <mergeCell ref="AG2:AI2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4"/>
  <sheetViews>
    <sheetView zoomScaleNormal="100" workbookViewId="0">
      <pane xSplit="4" ySplit="5" topLeftCell="M6" activePane="bottomRight" state="frozen"/>
      <selection pane="topRight" activeCell="E1" sqref="E1"/>
      <selection pane="bottomLeft" activeCell="A6" sqref="A6"/>
      <selection pane="bottomRight" activeCell="N13" sqref="N13"/>
    </sheetView>
  </sheetViews>
  <sheetFormatPr defaultColWidth="8.88671875" defaultRowHeight="13.2" outlineLevelCol="1" x14ac:dyDescent="0.25"/>
  <cols>
    <col min="1" max="1" width="11.88671875" style="1" customWidth="1"/>
    <col min="2" max="2" width="5.88671875" style="3" customWidth="1"/>
    <col min="3" max="3" width="47" style="1" customWidth="1"/>
    <col min="4" max="4" width="8.33203125" style="4" customWidth="1"/>
    <col min="5" max="5" width="14.5546875" style="4" customWidth="1"/>
    <col min="6" max="6" width="13" style="1" customWidth="1"/>
    <col min="7" max="7" width="11.33203125" style="1" customWidth="1"/>
    <col min="8" max="8" width="14.33203125" style="1" customWidth="1"/>
    <col min="9" max="9" width="15.6640625" style="1" customWidth="1"/>
    <col min="10" max="10" width="14.6640625" style="1" customWidth="1"/>
    <col min="11" max="13" width="13" style="1" customWidth="1"/>
    <col min="14" max="14" width="12.6640625" style="1" customWidth="1"/>
    <col min="15" max="15" width="13" style="1" customWidth="1"/>
    <col min="16" max="16" width="13" style="1" hidden="1" customWidth="1" outlineLevel="1"/>
    <col min="17" max="17" width="12.33203125" style="1" bestFit="1" customWidth="1" collapsed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10937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6" x14ac:dyDescent="0.25"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</row>
    <row r="2" spans="1:26" s="141" customFormat="1" ht="16.8" customHeight="1" x14ac:dyDescent="0.3">
      <c r="A2" s="40" t="s">
        <v>560</v>
      </c>
      <c r="B2" s="3"/>
      <c r="C2" s="1"/>
      <c r="D2" s="4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"/>
      <c r="R2" s="1"/>
      <c r="S2" s="1"/>
      <c r="T2" s="1"/>
      <c r="U2" s="1"/>
      <c r="V2" s="1"/>
      <c r="W2" s="2"/>
      <c r="X2" s="1"/>
      <c r="Z2" s="1"/>
    </row>
    <row r="3" spans="1:26" s="141" customFormat="1" ht="18" customHeight="1" x14ac:dyDescent="0.25">
      <c r="A3" s="1" t="s">
        <v>152</v>
      </c>
      <c r="B3" s="3"/>
      <c r="C3" s="1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3"/>
      <c r="S3" s="1"/>
      <c r="T3" s="3"/>
      <c r="U3" s="1"/>
      <c r="V3" s="1"/>
      <c r="W3" s="2"/>
      <c r="X3" s="1"/>
      <c r="Z3" s="1"/>
    </row>
    <row r="4" spans="1:26" s="141" customFormat="1" ht="27" customHeight="1" x14ac:dyDescent="0.25">
      <c r="A4" s="576" t="s">
        <v>39</v>
      </c>
      <c r="B4" s="578" t="s">
        <v>37</v>
      </c>
      <c r="C4" s="574" t="s">
        <v>40</v>
      </c>
      <c r="D4" s="580" t="s">
        <v>38</v>
      </c>
      <c r="E4" s="582" t="s">
        <v>144</v>
      </c>
      <c r="F4" s="574" t="s">
        <v>26</v>
      </c>
      <c r="G4" s="574" t="s">
        <v>0</v>
      </c>
      <c r="H4" s="574" t="s">
        <v>142</v>
      </c>
      <c r="I4" s="574" t="s">
        <v>27</v>
      </c>
      <c r="J4" s="586" t="s">
        <v>28</v>
      </c>
      <c r="K4" s="588" t="s">
        <v>114</v>
      </c>
      <c r="L4" s="589"/>
      <c r="M4" s="574" t="s">
        <v>153</v>
      </c>
      <c r="N4" s="574" t="s">
        <v>387</v>
      </c>
      <c r="O4" s="586" t="s">
        <v>178</v>
      </c>
      <c r="P4" s="598"/>
      <c r="Q4" s="590" t="s">
        <v>43</v>
      </c>
      <c r="R4" s="590" t="s">
        <v>44</v>
      </c>
      <c r="S4" s="590" t="s">
        <v>41</v>
      </c>
      <c r="T4" s="590" t="s">
        <v>149</v>
      </c>
      <c r="U4" s="1"/>
      <c r="V4" s="270"/>
      <c r="W4" s="584" t="s">
        <v>449</v>
      </c>
      <c r="X4" s="1"/>
      <c r="Z4" s="1"/>
    </row>
    <row r="5" spans="1:26" s="141" customFormat="1" ht="24.6" customHeight="1" x14ac:dyDescent="0.25">
      <c r="A5" s="577"/>
      <c r="B5" s="579"/>
      <c r="C5" s="575"/>
      <c r="D5" s="581"/>
      <c r="E5" s="583"/>
      <c r="F5" s="575"/>
      <c r="G5" s="575"/>
      <c r="H5" s="575"/>
      <c r="I5" s="575"/>
      <c r="J5" s="587"/>
      <c r="K5" s="254" t="s">
        <v>203</v>
      </c>
      <c r="L5" s="254" t="s">
        <v>586</v>
      </c>
      <c r="M5" s="575"/>
      <c r="N5" s="575"/>
      <c r="O5" s="522" t="s">
        <v>203</v>
      </c>
      <c r="P5" s="523" t="s">
        <v>585</v>
      </c>
      <c r="Q5" s="591"/>
      <c r="R5" s="592"/>
      <c r="S5" s="592"/>
      <c r="T5" s="592"/>
      <c r="U5" s="1"/>
      <c r="V5" s="87"/>
      <c r="W5" s="585"/>
      <c r="X5" s="1"/>
      <c r="Z5" s="1"/>
    </row>
    <row r="6" spans="1:26" s="141" customFormat="1" ht="12" customHeight="1" x14ac:dyDescent="0.25">
      <c r="A6" s="70" t="s">
        <v>29</v>
      </c>
      <c r="B6" s="52" t="s">
        <v>36</v>
      </c>
      <c r="C6" s="9" t="s">
        <v>45</v>
      </c>
      <c r="D6" s="78"/>
      <c r="E6" s="117">
        <f t="shared" ref="E6:T6" si="0">+E7+E19+E45</f>
        <v>263268.317351598</v>
      </c>
      <c r="F6" s="82">
        <f t="shared" si="0"/>
        <v>4559896.6879908554</v>
      </c>
      <c r="G6" s="82">
        <f t="shared" si="0"/>
        <v>657914.75808219216</v>
      </c>
      <c r="H6" s="82">
        <f t="shared" si="0"/>
        <v>109209.1597260274</v>
      </c>
      <c r="I6" s="82">
        <f t="shared" si="0"/>
        <v>623613.9</v>
      </c>
      <c r="J6" s="187">
        <f t="shared" si="0"/>
        <v>1074900.3999999999</v>
      </c>
      <c r="K6" s="187">
        <f t="shared" si="0"/>
        <v>959888.7</v>
      </c>
      <c r="L6" s="187">
        <f t="shared" si="0"/>
        <v>3304.3700000001104</v>
      </c>
      <c r="M6" s="187">
        <f t="shared" si="0"/>
        <v>47323.3500000001</v>
      </c>
      <c r="N6" s="192">
        <f>+N7+N19+N45</f>
        <v>142072.00666666668</v>
      </c>
      <c r="O6" s="437">
        <f t="shared" si="0"/>
        <v>393562.90470706968</v>
      </c>
      <c r="P6" s="435">
        <f t="shared" si="0"/>
        <v>0</v>
      </c>
      <c r="Q6" s="42">
        <f t="shared" ref="Q6:Q11" si="1">+SUM(E6:P6)</f>
        <v>8834954.5545244124</v>
      </c>
      <c r="R6" s="42">
        <f t="shared" si="0"/>
        <v>8105462.894059089</v>
      </c>
      <c r="S6" s="42">
        <f t="shared" si="0"/>
        <v>729491.66046531871</v>
      </c>
      <c r="T6" s="42">
        <f t="shared" si="0"/>
        <v>2631788.2207180625</v>
      </c>
      <c r="U6" s="71"/>
      <c r="V6" s="87"/>
      <c r="W6" s="135">
        <f>+W8+W19+W45</f>
        <v>4796751.2054863488</v>
      </c>
      <c r="X6" s="1"/>
      <c r="Z6" s="1"/>
    </row>
    <row r="7" spans="1:26" s="141" customFormat="1" ht="12" customHeight="1" x14ac:dyDescent="0.25">
      <c r="A7" s="70" t="s">
        <v>12</v>
      </c>
      <c r="B7" s="52" t="s">
        <v>30</v>
      </c>
      <c r="C7" s="9" t="s">
        <v>1</v>
      </c>
      <c r="D7" s="78"/>
      <c r="E7" s="110">
        <f t="shared" ref="E7:T7" si="2">+E8+E12</f>
        <v>107639.42</v>
      </c>
      <c r="F7" s="82">
        <f t="shared" si="2"/>
        <v>1889784.2200000002</v>
      </c>
      <c r="G7" s="82">
        <f t="shared" si="2"/>
        <v>264452.69999999995</v>
      </c>
      <c r="H7" s="82">
        <f t="shared" si="2"/>
        <v>40211.920000000006</v>
      </c>
      <c r="I7" s="82">
        <f t="shared" si="2"/>
        <v>623613.9</v>
      </c>
      <c r="J7" s="187">
        <f t="shared" si="2"/>
        <v>1074900.3999999999</v>
      </c>
      <c r="K7" s="187">
        <f t="shared" si="2"/>
        <v>959888.7</v>
      </c>
      <c r="L7" s="187">
        <f t="shared" si="2"/>
        <v>3304.3700000001104</v>
      </c>
      <c r="M7" s="187">
        <f t="shared" si="2"/>
        <v>19348.399999999998</v>
      </c>
      <c r="N7" s="192">
        <f>+N8+N12</f>
        <v>110713.16000000002</v>
      </c>
      <c r="O7" s="437">
        <f t="shared" si="2"/>
        <v>149620.34</v>
      </c>
      <c r="P7" s="435">
        <f t="shared" si="2"/>
        <v>0</v>
      </c>
      <c r="Q7" s="42">
        <f t="shared" si="1"/>
        <v>5243477.53</v>
      </c>
      <c r="R7" s="42">
        <f t="shared" si="2"/>
        <v>4810529.8440366965</v>
      </c>
      <c r="S7" s="42">
        <f t="shared" si="2"/>
        <v>432947.68596330308</v>
      </c>
      <c r="T7" s="44">
        <f t="shared" si="2"/>
        <v>2534039.2886363636</v>
      </c>
      <c r="U7" s="1"/>
      <c r="V7" s="61"/>
      <c r="W7" s="13"/>
      <c r="X7" s="1"/>
      <c r="Z7" s="1"/>
    </row>
    <row r="8" spans="1:26" ht="12" customHeight="1" x14ac:dyDescent="0.25">
      <c r="A8" s="70" t="s">
        <v>52</v>
      </c>
      <c r="B8" s="52" t="s">
        <v>31</v>
      </c>
      <c r="C8" s="8" t="s">
        <v>11</v>
      </c>
      <c r="D8" s="79"/>
      <c r="E8" s="79">
        <f t="shared" ref="E8:L8" si="3">+SUM(E9:E11)</f>
        <v>0</v>
      </c>
      <c r="F8" s="219">
        <f t="shared" si="3"/>
        <v>0</v>
      </c>
      <c r="G8" s="79">
        <f t="shared" si="3"/>
        <v>0</v>
      </c>
      <c r="H8" s="79">
        <f t="shared" si="3"/>
        <v>0</v>
      </c>
      <c r="I8" s="126">
        <f t="shared" si="3"/>
        <v>623613.9</v>
      </c>
      <c r="J8" s="126">
        <f t="shared" si="3"/>
        <v>1074900.3999999999</v>
      </c>
      <c r="K8" s="79">
        <f t="shared" si="3"/>
        <v>0</v>
      </c>
      <c r="L8" s="79">
        <f t="shared" si="3"/>
        <v>0</v>
      </c>
      <c r="M8" s="79">
        <f t="shared" ref="M8:T8" si="4">+SUM(M9:M11)</f>
        <v>0</v>
      </c>
      <c r="N8" s="79">
        <f t="shared" si="4"/>
        <v>0</v>
      </c>
      <c r="O8" s="438">
        <f t="shared" si="4"/>
        <v>0</v>
      </c>
      <c r="P8" s="436">
        <f t="shared" si="4"/>
        <v>0</v>
      </c>
      <c r="Q8" s="43">
        <f t="shared" si="1"/>
        <v>1698514.2999999998</v>
      </c>
      <c r="R8" s="43">
        <f t="shared" si="4"/>
        <v>1558270</v>
      </c>
      <c r="S8" s="43">
        <f t="shared" si="4"/>
        <v>140244.30000000013</v>
      </c>
      <c r="T8" s="45">
        <f t="shared" si="4"/>
        <v>630878</v>
      </c>
      <c r="U8" s="71"/>
      <c r="V8" s="134"/>
      <c r="W8" s="105">
        <f>+SUM(W9:W18)</f>
        <v>1220443.1800000002</v>
      </c>
      <c r="Y8" s="138"/>
    </row>
    <row r="9" spans="1:26" s="141" customFormat="1" ht="12" customHeight="1" x14ac:dyDescent="0.25">
      <c r="A9" s="46" t="s">
        <v>13</v>
      </c>
      <c r="B9" s="53" t="s">
        <v>47</v>
      </c>
      <c r="C9" s="37" t="s">
        <v>50</v>
      </c>
      <c r="D9" s="10">
        <v>3.5</v>
      </c>
      <c r="E9" s="122"/>
      <c r="F9" s="17"/>
      <c r="G9" s="13"/>
      <c r="H9" s="13"/>
      <c r="I9" s="127">
        <v>449970.5</v>
      </c>
      <c r="J9" s="127">
        <f>764396.5+30016</f>
        <v>794412.5</v>
      </c>
      <c r="K9" s="36"/>
      <c r="L9" s="36"/>
      <c r="M9" s="36"/>
      <c r="N9" s="127"/>
      <c r="O9" s="362"/>
      <c r="P9" s="355"/>
      <c r="Q9" s="24">
        <f t="shared" si="1"/>
        <v>1244383</v>
      </c>
      <c r="R9" s="5">
        <f t="shared" ref="R9:R11" si="5">+Q9/1.09</f>
        <v>1141635.7798165136</v>
      </c>
      <c r="S9" s="5">
        <f t="shared" ref="S9:S11" si="6">+Q9-R9</f>
        <v>102747.22018348635</v>
      </c>
      <c r="T9" s="21">
        <f>Q9/D9</f>
        <v>355538</v>
      </c>
      <c r="U9" s="71"/>
      <c r="V9" s="61"/>
      <c r="W9" s="13"/>
      <c r="X9" s="2"/>
      <c r="Z9" s="1"/>
    </row>
    <row r="10" spans="1:26" s="141" customFormat="1" ht="12" customHeight="1" x14ac:dyDescent="0.25">
      <c r="A10" s="54" t="s">
        <v>49</v>
      </c>
      <c r="B10" s="55" t="s">
        <v>48</v>
      </c>
      <c r="C10" s="27" t="s">
        <v>51</v>
      </c>
      <c r="D10" s="38">
        <f t="shared" ref="D10" si="7">+D9*0.5</f>
        <v>1.75</v>
      </c>
      <c r="E10" s="122"/>
      <c r="F10" s="17"/>
      <c r="G10" s="13"/>
      <c r="H10" s="13"/>
      <c r="I10" s="127">
        <v>167520.5</v>
      </c>
      <c r="J10" s="127">
        <f>259435.75+8699.25</f>
        <v>268135</v>
      </c>
      <c r="K10" s="143"/>
      <c r="L10" s="143"/>
      <c r="M10" s="143"/>
      <c r="N10" s="127"/>
      <c r="O10" s="17"/>
      <c r="P10" s="350"/>
      <c r="Q10" s="24">
        <f t="shared" si="1"/>
        <v>435655.5</v>
      </c>
      <c r="R10" s="5">
        <f t="shared" si="5"/>
        <v>399683.94495412841</v>
      </c>
      <c r="S10" s="5">
        <f t="shared" si="6"/>
        <v>35971.555045871588</v>
      </c>
      <c r="T10" s="21">
        <f>Q10/D10</f>
        <v>248946</v>
      </c>
      <c r="U10" s="71"/>
      <c r="V10" s="61">
        <v>1.75</v>
      </c>
      <c r="W10" s="13">
        <f>+T10*V10</f>
        <v>435655.5</v>
      </c>
      <c r="X10" s="1"/>
      <c r="Z10" s="1"/>
    </row>
    <row r="11" spans="1:26" ht="12" customHeight="1" x14ac:dyDescent="0.25">
      <c r="A11" s="54" t="s">
        <v>185</v>
      </c>
      <c r="B11" s="111" t="s">
        <v>186</v>
      </c>
      <c r="C11" s="27" t="s">
        <v>187</v>
      </c>
      <c r="D11" s="50">
        <v>0.7</v>
      </c>
      <c r="E11" s="216"/>
      <c r="F11" s="220"/>
      <c r="G11" s="214"/>
      <c r="H11" s="215"/>
      <c r="I11" s="2">
        <v>6122.9</v>
      </c>
      <c r="J11" s="144">
        <f>12004.3+348.6</f>
        <v>12352.9</v>
      </c>
      <c r="K11" s="144"/>
      <c r="L11" s="144"/>
      <c r="M11" s="144"/>
      <c r="N11" s="144"/>
      <c r="O11" s="18"/>
      <c r="P11" s="350"/>
      <c r="Q11" s="24">
        <f t="shared" si="1"/>
        <v>18475.8</v>
      </c>
      <c r="R11" s="243">
        <f t="shared" si="5"/>
        <v>16950.275229357798</v>
      </c>
      <c r="S11" s="243">
        <f t="shared" si="6"/>
        <v>1525.5247706422015</v>
      </c>
      <c r="T11" s="244">
        <f>Q11/D11</f>
        <v>26394</v>
      </c>
      <c r="U11" s="71"/>
      <c r="V11" s="107">
        <v>2.8</v>
      </c>
      <c r="W11" s="13">
        <f>+T11*V11</f>
        <v>73903.199999999997</v>
      </c>
      <c r="X11" s="2"/>
      <c r="Y11" s="138"/>
      <c r="Z11" s="2"/>
    </row>
    <row r="12" spans="1:26" s="141" customFormat="1" ht="12" customHeight="1" x14ac:dyDescent="0.25">
      <c r="A12" s="70" t="s">
        <v>14</v>
      </c>
      <c r="B12" s="52" t="s">
        <v>32</v>
      </c>
      <c r="C12" s="8" t="s">
        <v>46</v>
      </c>
      <c r="D12" s="79"/>
      <c r="E12" s="129">
        <f t="shared" ref="E12:T12" si="8">+SUM(E13:E18)</f>
        <v>107639.42</v>
      </c>
      <c r="F12" s="84">
        <f t="shared" si="8"/>
        <v>1889784.2200000002</v>
      </c>
      <c r="G12" s="84">
        <f t="shared" si="8"/>
        <v>264452.69999999995</v>
      </c>
      <c r="H12" s="84">
        <f t="shared" si="8"/>
        <v>40211.920000000006</v>
      </c>
      <c r="I12" s="84">
        <f t="shared" si="8"/>
        <v>0</v>
      </c>
      <c r="J12" s="74">
        <f t="shared" si="8"/>
        <v>0</v>
      </c>
      <c r="K12" s="101">
        <f t="shared" si="8"/>
        <v>959888.7</v>
      </c>
      <c r="L12" s="101">
        <f t="shared" si="8"/>
        <v>3304.3700000001104</v>
      </c>
      <c r="M12" s="101">
        <f t="shared" si="8"/>
        <v>19348.399999999998</v>
      </c>
      <c r="N12" s="101">
        <f t="shared" ref="N12" si="9">+SUM(N13:N18)</f>
        <v>110713.16000000002</v>
      </c>
      <c r="O12" s="101">
        <f t="shared" ref="O12" si="10">+SUM(O13:O18)</f>
        <v>149620.34</v>
      </c>
      <c r="P12" s="74">
        <f t="shared" si="8"/>
        <v>0</v>
      </c>
      <c r="Q12" s="43">
        <f t="shared" ref="Q12" si="11">+SUM(Q13:Q18)</f>
        <v>3544963.23</v>
      </c>
      <c r="R12" s="43">
        <f t="shared" si="8"/>
        <v>3252259.8440366969</v>
      </c>
      <c r="S12" s="43">
        <f t="shared" si="8"/>
        <v>292703.38596330292</v>
      </c>
      <c r="T12" s="45">
        <f t="shared" si="8"/>
        <v>1903161.2886363636</v>
      </c>
      <c r="U12" s="71"/>
      <c r="V12" s="61"/>
      <c r="W12" s="13"/>
      <c r="X12" s="1"/>
      <c r="Z12" s="1"/>
    </row>
    <row r="13" spans="1:26" ht="14.4" x14ac:dyDescent="0.3">
      <c r="A13" s="58" t="s">
        <v>53</v>
      </c>
      <c r="B13" s="53" t="s">
        <v>145</v>
      </c>
      <c r="C13" s="59" t="s">
        <v>54</v>
      </c>
      <c r="D13" s="60">
        <v>2.2000000000000002</v>
      </c>
      <c r="E13" s="130">
        <v>84163.199999999997</v>
      </c>
      <c r="F13" s="13">
        <v>1405239</v>
      </c>
      <c r="G13" s="13">
        <v>188823.8</v>
      </c>
      <c r="H13" s="13">
        <v>28778.199999999997</v>
      </c>
      <c r="I13" s="13"/>
      <c r="J13" s="33"/>
      <c r="K13" s="36">
        <v>736078.2</v>
      </c>
      <c r="L13" s="305">
        <v>2436.9600000000792</v>
      </c>
      <c r="M13" s="308">
        <v>12753.4</v>
      </c>
      <c r="N13" s="127">
        <v>97246.6</v>
      </c>
      <c r="O13" s="361">
        <f>130849.4+2.2</f>
        <v>130851.59999999999</v>
      </c>
      <c r="P13" s="164"/>
      <c r="Q13" s="24">
        <f t="shared" ref="Q13:Q18" si="12">+SUM(E13:P13)</f>
        <v>2686370.96</v>
      </c>
      <c r="R13" s="5">
        <f t="shared" ref="R13:R18" si="13">+Q13/1.09</f>
        <v>2464560.5137614678</v>
      </c>
      <c r="S13" s="5">
        <f t="shared" ref="S13:S18" si="14">+Q13-R13</f>
        <v>221810.4462385322</v>
      </c>
      <c r="T13" s="21">
        <f t="shared" ref="T13:T18" si="15">Q13/D13</f>
        <v>1221077.709090909</v>
      </c>
      <c r="U13" s="2"/>
      <c r="V13" s="61"/>
      <c r="W13" s="13"/>
    </row>
    <row r="14" spans="1:26" ht="14.4" x14ac:dyDescent="0.3">
      <c r="A14" s="58" t="s">
        <v>55</v>
      </c>
      <c r="B14" s="53" t="s">
        <v>139</v>
      </c>
      <c r="C14" s="59" t="s">
        <v>92</v>
      </c>
      <c r="D14" s="60">
        <v>1.1000000000000001</v>
      </c>
      <c r="E14" s="130">
        <v>22093.5</v>
      </c>
      <c r="F14" s="13">
        <v>454180.1</v>
      </c>
      <c r="G14" s="13">
        <v>70645.3</v>
      </c>
      <c r="H14" s="13">
        <v>11059.400000000001</v>
      </c>
      <c r="I14" s="13"/>
      <c r="J14" s="33"/>
      <c r="K14" s="36">
        <v>77379.5</v>
      </c>
      <c r="L14" s="306">
        <v>267.30000000001746</v>
      </c>
      <c r="M14" s="13">
        <v>6404.2</v>
      </c>
      <c r="N14" s="127">
        <v>2965.6000000000008</v>
      </c>
      <c r="O14" s="96">
        <v>9775.7000000000007</v>
      </c>
      <c r="P14" s="164"/>
      <c r="Q14" s="24">
        <f t="shared" si="12"/>
        <v>654770.6</v>
      </c>
      <c r="R14" s="5">
        <f t="shared" si="13"/>
        <v>600706.97247706412</v>
      </c>
      <c r="S14" s="5">
        <f t="shared" si="14"/>
        <v>54063.627522935858</v>
      </c>
      <c r="T14" s="21">
        <f t="shared" si="15"/>
        <v>595245.99999999988</v>
      </c>
      <c r="U14" s="71"/>
      <c r="V14" s="107">
        <v>1.1000000000000001</v>
      </c>
      <c r="W14" s="13">
        <f t="shared" ref="W14:W15" si="16">+T14*V14</f>
        <v>654770.6</v>
      </c>
    </row>
    <row r="15" spans="1:26" ht="14.4" x14ac:dyDescent="0.3">
      <c r="A15" s="58" t="s">
        <v>56</v>
      </c>
      <c r="B15" s="53" t="s">
        <v>140</v>
      </c>
      <c r="C15" s="59" t="s">
        <v>93</v>
      </c>
      <c r="D15" s="62">
        <v>0.44</v>
      </c>
      <c r="E15" s="130">
        <v>214.72</v>
      </c>
      <c r="F15" s="13">
        <v>4854.08</v>
      </c>
      <c r="G15" s="13">
        <v>701.36</v>
      </c>
      <c r="H15" s="13">
        <v>131.12</v>
      </c>
      <c r="I15" s="13"/>
      <c r="J15" s="33"/>
      <c r="K15" s="36">
        <v>1227.1600000000001</v>
      </c>
      <c r="L15" s="306">
        <v>6.9100000000003092</v>
      </c>
      <c r="M15" s="13">
        <v>48.4</v>
      </c>
      <c r="N15" s="127">
        <v>550.87999999999988</v>
      </c>
      <c r="O15" s="96">
        <v>161.04</v>
      </c>
      <c r="P15" s="164"/>
      <c r="Q15" s="24">
        <f t="shared" si="12"/>
        <v>7895.67</v>
      </c>
      <c r="R15" s="5">
        <f t="shared" si="13"/>
        <v>7243.7339449541278</v>
      </c>
      <c r="S15" s="5">
        <f t="shared" si="14"/>
        <v>651.93605504587231</v>
      </c>
      <c r="T15" s="21">
        <f t="shared" si="15"/>
        <v>17944.704545454544</v>
      </c>
      <c r="U15" s="71"/>
      <c r="V15" s="61">
        <v>1.76</v>
      </c>
      <c r="W15" s="13">
        <f t="shared" si="16"/>
        <v>31582.679999999997</v>
      </c>
    </row>
    <row r="16" spans="1:26" ht="14.4" x14ac:dyDescent="0.3">
      <c r="A16" s="58" t="s">
        <v>57</v>
      </c>
      <c r="B16" s="53" t="s">
        <v>192</v>
      </c>
      <c r="C16" s="59" t="s">
        <v>58</v>
      </c>
      <c r="D16" s="62">
        <v>3.2</v>
      </c>
      <c r="E16" s="130">
        <v>899.2</v>
      </c>
      <c r="F16" s="13">
        <v>21056</v>
      </c>
      <c r="G16" s="13">
        <v>3372.8</v>
      </c>
      <c r="H16" s="13">
        <v>140.80000000000001</v>
      </c>
      <c r="I16" s="13"/>
      <c r="J16" s="33"/>
      <c r="K16" s="36">
        <v>129987.2</v>
      </c>
      <c r="L16" s="306">
        <v>518.00000000001455</v>
      </c>
      <c r="M16" s="13">
        <v>89.6</v>
      </c>
      <c r="N16" s="127">
        <v>9228.7999999999993</v>
      </c>
      <c r="O16" s="96">
        <v>8137.6</v>
      </c>
      <c r="P16" s="164"/>
      <c r="Q16" s="24">
        <f t="shared" si="12"/>
        <v>173430</v>
      </c>
      <c r="R16" s="5">
        <f t="shared" si="13"/>
        <v>159110.09174311926</v>
      </c>
      <c r="S16" s="5">
        <f t="shared" si="14"/>
        <v>14319.908256880735</v>
      </c>
      <c r="T16" s="21">
        <f t="shared" si="15"/>
        <v>54196.875</v>
      </c>
      <c r="U16" s="71"/>
      <c r="V16" s="61"/>
      <c r="W16" s="13"/>
    </row>
    <row r="17" spans="1:26" ht="14.4" x14ac:dyDescent="0.3">
      <c r="A17" s="58" t="s">
        <v>59</v>
      </c>
      <c r="B17" s="53" t="s">
        <v>193</v>
      </c>
      <c r="C17" s="59" t="s">
        <v>94</v>
      </c>
      <c r="D17" s="62">
        <v>1.6</v>
      </c>
      <c r="E17" s="130">
        <v>256</v>
      </c>
      <c r="F17" s="13">
        <v>4307.2</v>
      </c>
      <c r="G17" s="13">
        <v>892.8</v>
      </c>
      <c r="H17" s="13">
        <v>102.4</v>
      </c>
      <c r="I17" s="13"/>
      <c r="J17" s="33"/>
      <c r="K17" s="36">
        <v>14905.6</v>
      </c>
      <c r="L17" s="306">
        <v>75.199999999998909</v>
      </c>
      <c r="M17" s="13">
        <v>52.8</v>
      </c>
      <c r="N17" s="127">
        <v>531.20000000000005</v>
      </c>
      <c r="O17" s="96">
        <v>694.4</v>
      </c>
      <c r="P17" s="164"/>
      <c r="Q17" s="24">
        <f t="shared" si="12"/>
        <v>21817.599999999999</v>
      </c>
      <c r="R17" s="5">
        <f t="shared" si="13"/>
        <v>20016.146788990824</v>
      </c>
      <c r="S17" s="5">
        <f t="shared" si="14"/>
        <v>1801.453211009175</v>
      </c>
      <c r="T17" s="21">
        <f t="shared" si="15"/>
        <v>13635.999999999998</v>
      </c>
      <c r="U17" s="71"/>
      <c r="V17" s="107">
        <v>1.6</v>
      </c>
      <c r="W17" s="13">
        <f t="shared" ref="W17:W18" si="17">+T17*V17</f>
        <v>21817.599999999999</v>
      </c>
    </row>
    <row r="18" spans="1:26" ht="14.4" x14ac:dyDescent="0.3">
      <c r="A18" s="241" t="s">
        <v>60</v>
      </c>
      <c r="B18" s="53" t="s">
        <v>194</v>
      </c>
      <c r="C18" s="63" t="s">
        <v>95</v>
      </c>
      <c r="D18" s="63">
        <v>0.64</v>
      </c>
      <c r="E18" s="131">
        <v>12.8</v>
      </c>
      <c r="F18" s="13">
        <v>147.84</v>
      </c>
      <c r="G18" s="13">
        <v>16.64</v>
      </c>
      <c r="H18" s="14">
        <v>0</v>
      </c>
      <c r="I18" s="14"/>
      <c r="J18" s="76"/>
      <c r="K18" s="144">
        <v>311.04000000000002</v>
      </c>
      <c r="L18" s="307">
        <v>0</v>
      </c>
      <c r="M18" s="14"/>
      <c r="N18" s="127">
        <v>190.07999999999998</v>
      </c>
      <c r="O18" s="148"/>
      <c r="P18" s="164"/>
      <c r="Q18" s="24">
        <f t="shared" si="12"/>
        <v>678.40000000000009</v>
      </c>
      <c r="R18" s="5">
        <f t="shared" si="13"/>
        <v>622.38532110091751</v>
      </c>
      <c r="S18" s="5">
        <f t="shared" si="14"/>
        <v>56.014678899082583</v>
      </c>
      <c r="T18" s="22">
        <f t="shared" si="15"/>
        <v>1060.0000000000002</v>
      </c>
      <c r="U18" s="71"/>
      <c r="V18" s="61">
        <v>2.56</v>
      </c>
      <c r="W18" s="13">
        <f t="shared" si="17"/>
        <v>2713.6000000000008</v>
      </c>
    </row>
    <row r="19" spans="1:26" ht="12" customHeight="1" x14ac:dyDescent="0.25">
      <c r="A19" s="70" t="s">
        <v>15</v>
      </c>
      <c r="B19" s="52" t="s">
        <v>33</v>
      </c>
      <c r="C19" s="9" t="s">
        <v>141</v>
      </c>
      <c r="D19" s="78"/>
      <c r="E19" s="118">
        <f>+SUM(E20:E44)</f>
        <v>146508.04735159801</v>
      </c>
      <c r="F19" s="118">
        <f t="shared" ref="F19:T19" si="18">+SUM(F20:F44)</f>
        <v>2511579.9879908543</v>
      </c>
      <c r="G19" s="118">
        <f t="shared" si="18"/>
        <v>371294.07808219217</v>
      </c>
      <c r="H19" s="118">
        <f t="shared" si="18"/>
        <v>65423.769726027393</v>
      </c>
      <c r="I19" s="118">
        <f t="shared" si="18"/>
        <v>0</v>
      </c>
      <c r="J19" s="118">
        <f t="shared" si="18"/>
        <v>0</v>
      </c>
      <c r="K19" s="118">
        <f t="shared" si="18"/>
        <v>0</v>
      </c>
      <c r="L19" s="118">
        <f t="shared" si="18"/>
        <v>0</v>
      </c>
      <c r="M19" s="118">
        <f t="shared" si="18"/>
        <v>27009.6500000001</v>
      </c>
      <c r="N19" s="475">
        <f t="shared" ref="N19" si="19">+SUM(N20:N44)</f>
        <v>26463.066666666662</v>
      </c>
      <c r="O19" s="118">
        <f>+SUM(O20:O44)</f>
        <v>226700.50470706972</v>
      </c>
      <c r="P19" s="118">
        <f t="shared" si="18"/>
        <v>0</v>
      </c>
      <c r="Q19" s="42">
        <f>+SUM(Q20:Q44)</f>
        <v>3374979.1045244075</v>
      </c>
      <c r="R19" s="118">
        <f t="shared" si="18"/>
        <v>3096311.1050682645</v>
      </c>
      <c r="S19" s="118">
        <f t="shared" si="18"/>
        <v>278667.99945614405</v>
      </c>
      <c r="T19" s="253">
        <f t="shared" si="18"/>
        <v>66307.732081698719</v>
      </c>
      <c r="U19" s="71"/>
      <c r="V19" s="61"/>
      <c r="W19" s="105">
        <f>+SUM(W20:W43)</f>
        <v>3250896.7454863479</v>
      </c>
    </row>
    <row r="20" spans="1:26" ht="14.4" x14ac:dyDescent="0.3">
      <c r="A20" s="68" t="s">
        <v>61</v>
      </c>
      <c r="B20" s="69" t="s">
        <v>117</v>
      </c>
      <c r="C20" s="90" t="s">
        <v>62</v>
      </c>
      <c r="D20" s="91">
        <v>100</v>
      </c>
      <c r="E20" s="119">
        <v>92946.666666666599</v>
      </c>
      <c r="F20" s="92">
        <v>1446599.999999987</v>
      </c>
      <c r="G20" s="92">
        <v>203033.33333333378</v>
      </c>
      <c r="H20" s="92">
        <v>35976.666666666672</v>
      </c>
      <c r="I20" s="23"/>
      <c r="J20" s="34"/>
      <c r="K20" s="34"/>
      <c r="L20" s="34"/>
      <c r="M20" s="34">
        <v>15616.666666666701</v>
      </c>
      <c r="N20" s="127">
        <v>17349.999999999996</v>
      </c>
      <c r="O20" s="483">
        <f>125563.336548157-100</f>
        <v>125463.33654815701</v>
      </c>
      <c r="P20" s="356"/>
      <c r="Q20" s="24">
        <f t="shared" ref="Q20:Q44" si="20">+SUM(E20:P20)</f>
        <v>1936986.6698814777</v>
      </c>
      <c r="R20" s="99">
        <f t="shared" ref="R20:R44" si="21">+Q20/1.09</f>
        <v>1777051.9907169519</v>
      </c>
      <c r="S20" s="24">
        <f>+Q20-R20</f>
        <v>159934.67916452582</v>
      </c>
      <c r="T20" s="94">
        <f t="shared" ref="T20:T43" si="22">Q20/D20</f>
        <v>19369.866698814778</v>
      </c>
      <c r="U20" s="41"/>
      <c r="V20" s="61"/>
      <c r="W20" s="106"/>
      <c r="X20"/>
      <c r="Y20" s="142"/>
      <c r="Z20"/>
    </row>
    <row r="21" spans="1:26" ht="14.4" x14ac:dyDescent="0.3">
      <c r="A21" s="46" t="s">
        <v>63</v>
      </c>
      <c r="B21" s="53" t="s">
        <v>116</v>
      </c>
      <c r="C21" s="59" t="s">
        <v>64</v>
      </c>
      <c r="D21" s="60">
        <v>50</v>
      </c>
      <c r="E21" s="120">
        <v>18201.666666666664</v>
      </c>
      <c r="F21" s="48">
        <v>401879.99999999924</v>
      </c>
      <c r="G21" s="48">
        <v>57223.333333333299</v>
      </c>
      <c r="H21" s="48">
        <v>13933.333333333332</v>
      </c>
      <c r="I21" s="13"/>
      <c r="J21" s="33"/>
      <c r="K21" s="33"/>
      <c r="L21" s="33"/>
      <c r="M21" s="33">
        <v>6376.6666666666997</v>
      </c>
      <c r="N21" s="127">
        <v>243.33333333333331</v>
      </c>
      <c r="O21" s="17">
        <v>7058.3334814453128</v>
      </c>
      <c r="P21" s="357"/>
      <c r="Q21" s="24">
        <f t="shared" si="20"/>
        <v>504916.66681477788</v>
      </c>
      <c r="R21" s="5">
        <f t="shared" si="21"/>
        <v>463226.2998300714</v>
      </c>
      <c r="S21" s="5">
        <f t="shared" ref="S21:S44" si="23">+Q21-R21</f>
        <v>41690.366984706488</v>
      </c>
      <c r="T21" s="21">
        <f t="shared" si="22"/>
        <v>10098.333336295558</v>
      </c>
      <c r="U21" s="41"/>
      <c r="V21" s="61">
        <v>50</v>
      </c>
      <c r="W21" s="13">
        <f t="shared" ref="W21:W22" si="24">+T21*V21</f>
        <v>504916.66681477788</v>
      </c>
      <c r="Y21" s="142"/>
    </row>
    <row r="22" spans="1:26" ht="14.4" x14ac:dyDescent="0.3">
      <c r="A22" s="46" t="s">
        <v>65</v>
      </c>
      <c r="B22" s="53" t="s">
        <v>115</v>
      </c>
      <c r="C22" s="59" t="s">
        <v>66</v>
      </c>
      <c r="D22" s="60">
        <v>20</v>
      </c>
      <c r="E22" s="120">
        <v>24814.666666666599</v>
      </c>
      <c r="F22" s="95">
        <v>485592.67</v>
      </c>
      <c r="G22" s="95">
        <v>83701.333333333299</v>
      </c>
      <c r="H22" s="95">
        <v>6683.333333333333</v>
      </c>
      <c r="I22" s="13"/>
      <c r="J22" s="33"/>
      <c r="K22" s="33"/>
      <c r="L22" s="33"/>
      <c r="M22" s="33">
        <v>2910.6666666667002</v>
      </c>
      <c r="N22" s="127">
        <v>5799.9999999999982</v>
      </c>
      <c r="O22" s="17">
        <v>50437.997999114988</v>
      </c>
      <c r="P22" s="355"/>
      <c r="Q22" s="24">
        <f t="shared" si="20"/>
        <v>659940.66799911496</v>
      </c>
      <c r="R22" s="5">
        <f t="shared" si="21"/>
        <v>605450.15412762831</v>
      </c>
      <c r="S22" s="5">
        <f t="shared" si="23"/>
        <v>54490.513871486648</v>
      </c>
      <c r="T22" s="21">
        <f t="shared" si="22"/>
        <v>32997.033399955748</v>
      </c>
      <c r="U22" s="41"/>
      <c r="V22" s="61">
        <v>80</v>
      </c>
      <c r="W22" s="13">
        <f t="shared" si="24"/>
        <v>2639762.6719964598</v>
      </c>
      <c r="X22" s="112"/>
      <c r="Y22" s="142"/>
    </row>
    <row r="23" spans="1:26" ht="14.4" x14ac:dyDescent="0.3">
      <c r="A23" s="46" t="s">
        <v>67</v>
      </c>
      <c r="B23" s="53" t="s">
        <v>118</v>
      </c>
      <c r="C23" s="59" t="s">
        <v>68</v>
      </c>
      <c r="D23" s="60">
        <v>90</v>
      </c>
      <c r="E23" s="120">
        <v>8775</v>
      </c>
      <c r="F23" s="95">
        <v>148713</v>
      </c>
      <c r="G23" s="95">
        <v>23628</v>
      </c>
      <c r="H23" s="95">
        <v>6768</v>
      </c>
      <c r="I23" s="13"/>
      <c r="J23" s="33"/>
      <c r="K23" s="33"/>
      <c r="L23" s="33"/>
      <c r="M23" s="33">
        <v>1761</v>
      </c>
      <c r="N23" s="127">
        <v>2448</v>
      </c>
      <c r="O23" s="400">
        <v>33537</v>
      </c>
      <c r="P23" s="357"/>
      <c r="Q23" s="24">
        <f t="shared" si="20"/>
        <v>225630</v>
      </c>
      <c r="R23" s="5">
        <f t="shared" si="21"/>
        <v>206999.99999999997</v>
      </c>
      <c r="S23" s="5">
        <f t="shared" si="23"/>
        <v>18630.000000000029</v>
      </c>
      <c r="T23" s="21">
        <f t="shared" si="22"/>
        <v>2507</v>
      </c>
      <c r="U23" s="41"/>
      <c r="V23" s="61"/>
      <c r="W23" s="13"/>
      <c r="Y23" s="142"/>
    </row>
    <row r="24" spans="1:26" ht="14.4" x14ac:dyDescent="0.3">
      <c r="A24" s="46" t="s">
        <v>69</v>
      </c>
      <c r="B24" s="53" t="s">
        <v>119</v>
      </c>
      <c r="C24" s="59" t="s">
        <v>70</v>
      </c>
      <c r="D24" s="60">
        <v>45</v>
      </c>
      <c r="E24" s="120">
        <v>682.5</v>
      </c>
      <c r="F24" s="95">
        <v>10020</v>
      </c>
      <c r="G24" s="95">
        <v>1308</v>
      </c>
      <c r="H24" s="95">
        <v>565.5</v>
      </c>
      <c r="I24" s="13"/>
      <c r="J24" s="33"/>
      <c r="K24" s="33"/>
      <c r="L24" s="33"/>
      <c r="M24" s="33">
        <v>66</v>
      </c>
      <c r="N24" s="127">
        <v>0</v>
      </c>
      <c r="O24" s="17">
        <v>1111.5</v>
      </c>
      <c r="P24" s="357"/>
      <c r="Q24" s="24">
        <f t="shared" si="20"/>
        <v>13753.5</v>
      </c>
      <c r="R24" s="5">
        <f t="shared" si="21"/>
        <v>12617.889908256881</v>
      </c>
      <c r="S24" s="5">
        <f t="shared" si="23"/>
        <v>1135.6100917431195</v>
      </c>
      <c r="T24" s="21">
        <f t="shared" si="22"/>
        <v>305.63333333333333</v>
      </c>
      <c r="U24" s="35"/>
      <c r="V24" s="61">
        <v>45</v>
      </c>
      <c r="W24" s="13">
        <f t="shared" ref="W24:W25" si="25">+T24*V24</f>
        <v>13753.5</v>
      </c>
      <c r="Y24" s="142"/>
    </row>
    <row r="25" spans="1:26" ht="14.4" x14ac:dyDescent="0.3">
      <c r="A25" s="46" t="s">
        <v>71</v>
      </c>
      <c r="B25" s="53" t="s">
        <v>120</v>
      </c>
      <c r="C25" s="59" t="s">
        <v>72</v>
      </c>
      <c r="D25" s="60">
        <v>18</v>
      </c>
      <c r="E25" s="120">
        <v>705.6</v>
      </c>
      <c r="F25" s="95">
        <v>8312.4</v>
      </c>
      <c r="G25" s="95">
        <v>1383.6</v>
      </c>
      <c r="H25" s="95">
        <v>171</v>
      </c>
      <c r="I25" s="13"/>
      <c r="J25" s="33"/>
      <c r="K25" s="33"/>
      <c r="L25" s="33"/>
      <c r="M25" s="33">
        <v>63.6</v>
      </c>
      <c r="N25" s="127">
        <v>382.19999999999993</v>
      </c>
      <c r="O25" s="17">
        <v>3130.2</v>
      </c>
      <c r="P25" s="357"/>
      <c r="Q25" s="24">
        <f t="shared" si="20"/>
        <v>14148.600000000002</v>
      </c>
      <c r="R25" s="5">
        <f t="shared" si="21"/>
        <v>12980.366972477066</v>
      </c>
      <c r="S25" s="5">
        <f t="shared" si="23"/>
        <v>1168.233027522936</v>
      </c>
      <c r="T25" s="21">
        <f t="shared" si="22"/>
        <v>786.03333333333342</v>
      </c>
      <c r="U25" s="35"/>
      <c r="V25" s="61">
        <v>72</v>
      </c>
      <c r="W25" s="13">
        <f t="shared" si="25"/>
        <v>56594.400000000009</v>
      </c>
      <c r="Y25" s="142"/>
    </row>
    <row r="26" spans="1:26" ht="14.4" x14ac:dyDescent="0.3">
      <c r="A26" s="46" t="s">
        <v>73</v>
      </c>
      <c r="B26" s="53" t="s">
        <v>121</v>
      </c>
      <c r="C26" s="59" t="s">
        <v>96</v>
      </c>
      <c r="D26" s="60">
        <v>300</v>
      </c>
      <c r="E26" s="120">
        <v>76.666666666666657</v>
      </c>
      <c r="F26" s="95">
        <v>2999.9999999999995</v>
      </c>
      <c r="G26" s="95">
        <v>146.66666666666666</v>
      </c>
      <c r="H26" s="95">
        <v>216.66666666666652</v>
      </c>
      <c r="I26" s="13"/>
      <c r="J26" s="33"/>
      <c r="K26" s="33"/>
      <c r="L26" s="33"/>
      <c r="M26" s="33"/>
      <c r="N26" s="127">
        <v>33.333333333333329</v>
      </c>
      <c r="O26" s="17">
        <v>1503.33</v>
      </c>
      <c r="P26" s="357"/>
      <c r="Q26" s="24">
        <f t="shared" si="20"/>
        <v>4976.663333333332</v>
      </c>
      <c r="R26" s="5">
        <f t="shared" si="21"/>
        <v>4565.7461773700288</v>
      </c>
      <c r="S26" s="5">
        <f t="shared" si="23"/>
        <v>410.91715596330323</v>
      </c>
      <c r="T26" s="21">
        <f t="shared" si="22"/>
        <v>16.588877777777775</v>
      </c>
      <c r="U26" s="35"/>
      <c r="V26" s="61"/>
      <c r="W26" s="13"/>
      <c r="Y26" s="142"/>
    </row>
    <row r="27" spans="1:26" ht="14.4" x14ac:dyDescent="0.3">
      <c r="A27" s="46" t="s">
        <v>74</v>
      </c>
      <c r="B27" s="53" t="s">
        <v>122</v>
      </c>
      <c r="C27" s="59" t="s">
        <v>97</v>
      </c>
      <c r="D27" s="60">
        <v>150</v>
      </c>
      <c r="E27" s="120">
        <v>25</v>
      </c>
      <c r="F27" s="95">
        <v>2476.666666666667</v>
      </c>
      <c r="G27" s="95">
        <v>205</v>
      </c>
      <c r="H27" s="95">
        <v>505</v>
      </c>
      <c r="I27" s="13"/>
      <c r="J27" s="33"/>
      <c r="K27" s="33"/>
      <c r="L27" s="33"/>
      <c r="M27" s="33">
        <v>125</v>
      </c>
      <c r="N27" s="127">
        <v>30.000000000000007</v>
      </c>
      <c r="O27" s="17">
        <v>446.66667938232422</v>
      </c>
      <c r="P27" s="357"/>
      <c r="Q27" s="24">
        <f t="shared" si="20"/>
        <v>3813.3333460489912</v>
      </c>
      <c r="R27" s="5">
        <f t="shared" si="21"/>
        <v>3498.4709596779735</v>
      </c>
      <c r="S27" s="5">
        <f t="shared" si="23"/>
        <v>314.86238637101769</v>
      </c>
      <c r="T27" s="21">
        <f t="shared" si="22"/>
        <v>25.422222306993273</v>
      </c>
      <c r="U27" s="35"/>
      <c r="V27" s="61">
        <v>150</v>
      </c>
      <c r="W27" s="13">
        <f t="shared" ref="W27:W43" si="26">+T27*V27</f>
        <v>3813.3333460489912</v>
      </c>
      <c r="Y27" s="142"/>
    </row>
    <row r="28" spans="1:26" ht="14.4" x14ac:dyDescent="0.3">
      <c r="A28" s="46" t="s">
        <v>75</v>
      </c>
      <c r="B28" s="53" t="s">
        <v>123</v>
      </c>
      <c r="C28" s="59" t="s">
        <v>98</v>
      </c>
      <c r="D28" s="60">
        <v>60</v>
      </c>
      <c r="E28" s="120">
        <v>161.33000000000001</v>
      </c>
      <c r="F28" s="95">
        <v>3241.33</v>
      </c>
      <c r="G28" s="95">
        <v>455.33333333333297</v>
      </c>
      <c r="H28" s="95">
        <v>133.33000000000001</v>
      </c>
      <c r="I28" s="13"/>
      <c r="J28" s="33"/>
      <c r="K28" s="33"/>
      <c r="L28" s="33"/>
      <c r="M28" s="33">
        <v>42</v>
      </c>
      <c r="N28" s="127">
        <v>91.999999999999986</v>
      </c>
      <c r="O28" s="17">
        <v>2388.67</v>
      </c>
      <c r="P28" s="357"/>
      <c r="Q28" s="24">
        <f t="shared" si="20"/>
        <v>6513.9933333333329</v>
      </c>
      <c r="R28" s="5">
        <f t="shared" si="21"/>
        <v>5976.1406727828735</v>
      </c>
      <c r="S28" s="5">
        <f t="shared" si="23"/>
        <v>537.8526605504594</v>
      </c>
      <c r="T28" s="21">
        <f t="shared" si="22"/>
        <v>108.56655555555555</v>
      </c>
      <c r="U28" s="35"/>
      <c r="V28" s="61">
        <v>240</v>
      </c>
      <c r="W28" s="13">
        <f t="shared" si="26"/>
        <v>26055.973333333332</v>
      </c>
      <c r="Y28" s="142"/>
    </row>
    <row r="29" spans="1:26" ht="14.4" x14ac:dyDescent="0.3">
      <c r="A29" s="46" t="s">
        <v>76</v>
      </c>
      <c r="B29" s="53" t="s">
        <v>124</v>
      </c>
      <c r="C29" s="59" t="s">
        <v>180</v>
      </c>
      <c r="D29" s="60">
        <v>270</v>
      </c>
      <c r="E29" s="120"/>
      <c r="F29" s="95">
        <v>186</v>
      </c>
      <c r="G29" s="95">
        <v>60</v>
      </c>
      <c r="H29" s="95">
        <v>45</v>
      </c>
      <c r="I29" s="13"/>
      <c r="J29" s="33"/>
      <c r="K29" s="33"/>
      <c r="L29" s="33"/>
      <c r="M29" s="33"/>
      <c r="N29" s="127">
        <v>0</v>
      </c>
      <c r="O29" s="17">
        <v>756</v>
      </c>
      <c r="P29" s="357"/>
      <c r="Q29" s="24">
        <f t="shared" si="20"/>
        <v>1047</v>
      </c>
      <c r="R29" s="5">
        <f t="shared" si="21"/>
        <v>960.55045871559628</v>
      </c>
      <c r="S29" s="5">
        <f t="shared" si="23"/>
        <v>86.449541284403722</v>
      </c>
      <c r="T29" s="21">
        <f t="shared" si="22"/>
        <v>3.8777777777777778</v>
      </c>
      <c r="U29" s="35"/>
      <c r="V29" s="61"/>
      <c r="W29" s="13"/>
      <c r="Y29" s="142"/>
    </row>
    <row r="30" spans="1:26" ht="14.4" x14ac:dyDescent="0.3">
      <c r="A30" s="46" t="s">
        <v>77</v>
      </c>
      <c r="B30" s="53" t="s">
        <v>125</v>
      </c>
      <c r="C30" s="59" t="s">
        <v>181</v>
      </c>
      <c r="D30" s="60">
        <v>135</v>
      </c>
      <c r="E30" s="120"/>
      <c r="F30" s="95">
        <v>0</v>
      </c>
      <c r="G30" s="95">
        <v>46.5</v>
      </c>
      <c r="H30" s="95">
        <v>0</v>
      </c>
      <c r="I30" s="13"/>
      <c r="J30" s="33"/>
      <c r="K30" s="33"/>
      <c r="L30" s="33"/>
      <c r="M30" s="33"/>
      <c r="N30" s="127">
        <v>0</v>
      </c>
      <c r="O30" s="17">
        <v>36</v>
      </c>
      <c r="P30" s="357"/>
      <c r="Q30" s="24">
        <f t="shared" si="20"/>
        <v>82.5</v>
      </c>
      <c r="R30" s="5">
        <f t="shared" si="21"/>
        <v>75.688073394495405</v>
      </c>
      <c r="S30" s="5">
        <f t="shared" si="23"/>
        <v>6.8119266055045955</v>
      </c>
      <c r="T30" s="21">
        <f t="shared" si="22"/>
        <v>0.61111111111111116</v>
      </c>
      <c r="U30" s="35"/>
      <c r="V30" s="61">
        <v>135</v>
      </c>
      <c r="W30" s="13">
        <f t="shared" si="26"/>
        <v>82.5</v>
      </c>
      <c r="Y30" s="142"/>
    </row>
    <row r="31" spans="1:26" ht="14.4" x14ac:dyDescent="0.3">
      <c r="A31" s="46" t="s">
        <v>78</v>
      </c>
      <c r="B31" s="53" t="s">
        <v>126</v>
      </c>
      <c r="C31" s="59" t="s">
        <v>182</v>
      </c>
      <c r="D31" s="60">
        <v>54</v>
      </c>
      <c r="E31" s="120">
        <v>22.8</v>
      </c>
      <c r="F31" s="95">
        <v>141</v>
      </c>
      <c r="G31" s="95">
        <v>10.8</v>
      </c>
      <c r="H31" s="95">
        <v>31.199999999999989</v>
      </c>
      <c r="I31" s="13"/>
      <c r="J31" s="33"/>
      <c r="K31" s="33"/>
      <c r="L31" s="33"/>
      <c r="M31" s="33"/>
      <c r="N31" s="127">
        <v>16.199999999999996</v>
      </c>
      <c r="O31" s="17">
        <v>168</v>
      </c>
      <c r="P31" s="357"/>
      <c r="Q31" s="24">
        <f t="shared" si="20"/>
        <v>390</v>
      </c>
      <c r="R31" s="5">
        <f t="shared" si="21"/>
        <v>357.79816513761466</v>
      </c>
      <c r="S31" s="5">
        <f t="shared" si="23"/>
        <v>32.20183486238534</v>
      </c>
      <c r="T31" s="21">
        <f t="shared" si="22"/>
        <v>7.2222222222222223</v>
      </c>
      <c r="U31" s="35"/>
      <c r="V31" s="61">
        <v>216</v>
      </c>
      <c r="W31" s="13">
        <f t="shared" si="26"/>
        <v>1560</v>
      </c>
      <c r="Y31" s="142"/>
    </row>
    <row r="32" spans="1:26" ht="14.4" x14ac:dyDescent="0.3">
      <c r="A32" s="46" t="s">
        <v>79</v>
      </c>
      <c r="B32" s="53" t="s">
        <v>127</v>
      </c>
      <c r="C32" s="59" t="s">
        <v>102</v>
      </c>
      <c r="D32" s="60">
        <v>600</v>
      </c>
      <c r="E32" s="120"/>
      <c r="F32" s="95">
        <v>279.99999999999994</v>
      </c>
      <c r="G32" s="95">
        <v>20</v>
      </c>
      <c r="H32" s="95">
        <v>53.333333333333258</v>
      </c>
      <c r="I32" s="13"/>
      <c r="J32" s="33"/>
      <c r="K32" s="33"/>
      <c r="L32" s="33"/>
      <c r="M32" s="33"/>
      <c r="N32" s="127">
        <v>0</v>
      </c>
      <c r="O32" s="17">
        <v>100</v>
      </c>
      <c r="P32" s="357"/>
      <c r="Q32" s="24">
        <f t="shared" si="20"/>
        <v>453.3333333333332</v>
      </c>
      <c r="R32" s="5">
        <f t="shared" si="21"/>
        <v>415.90214067278271</v>
      </c>
      <c r="S32" s="5">
        <f t="shared" si="23"/>
        <v>37.431192660550494</v>
      </c>
      <c r="T32" s="21">
        <f t="shared" si="22"/>
        <v>0.75555555555555531</v>
      </c>
      <c r="U32" s="35"/>
      <c r="V32" s="61"/>
      <c r="W32" s="13"/>
      <c r="Y32" s="142"/>
    </row>
    <row r="33" spans="1:26" ht="14.4" x14ac:dyDescent="0.3">
      <c r="A33" s="46" t="s">
        <v>80</v>
      </c>
      <c r="B33" s="53" t="s">
        <v>128</v>
      </c>
      <c r="C33" s="59" t="s">
        <v>103</v>
      </c>
      <c r="D33" s="60">
        <v>300</v>
      </c>
      <c r="E33" s="120">
        <v>48.333333333333329</v>
      </c>
      <c r="F33" s="95">
        <v>238.33333333333331</v>
      </c>
      <c r="G33" s="95">
        <v>21.666666666666664</v>
      </c>
      <c r="H33" s="95">
        <v>40</v>
      </c>
      <c r="I33" s="13"/>
      <c r="J33" s="33"/>
      <c r="K33" s="33"/>
      <c r="L33" s="33"/>
      <c r="M33" s="33"/>
      <c r="N33" s="127">
        <v>0</v>
      </c>
      <c r="O33" s="17">
        <v>0</v>
      </c>
      <c r="P33" s="357"/>
      <c r="Q33" s="24">
        <f t="shared" si="20"/>
        <v>348.33333333333331</v>
      </c>
      <c r="R33" s="5">
        <f t="shared" si="21"/>
        <v>319.57186544342505</v>
      </c>
      <c r="S33" s="5">
        <f t="shared" si="23"/>
        <v>28.761467889908261</v>
      </c>
      <c r="T33" s="21">
        <f t="shared" si="22"/>
        <v>1.161111111111111</v>
      </c>
      <c r="U33" s="35"/>
      <c r="V33" s="61">
        <v>300</v>
      </c>
      <c r="W33" s="13">
        <f t="shared" si="26"/>
        <v>348.33333333333331</v>
      </c>
      <c r="Y33" s="142"/>
    </row>
    <row r="34" spans="1:26" ht="14.4" x14ac:dyDescent="0.3">
      <c r="A34" s="46" t="s">
        <v>81</v>
      </c>
      <c r="B34" s="53" t="s">
        <v>129</v>
      </c>
      <c r="C34" s="59" t="s">
        <v>104</v>
      </c>
      <c r="D34" s="60">
        <v>120</v>
      </c>
      <c r="E34" s="120">
        <v>34.666666666666671</v>
      </c>
      <c r="F34" s="95">
        <v>286</v>
      </c>
      <c r="G34" s="95">
        <v>1.3333333333333335</v>
      </c>
      <c r="H34" s="95">
        <v>18.666666666666686</v>
      </c>
      <c r="I34" s="13"/>
      <c r="J34" s="33"/>
      <c r="K34" s="33"/>
      <c r="L34" s="33"/>
      <c r="M34" s="33"/>
      <c r="N34" s="127">
        <v>65.333333333333329</v>
      </c>
      <c r="O34" s="17">
        <v>422.67</v>
      </c>
      <c r="P34" s="357"/>
      <c r="Q34" s="24">
        <f t="shared" si="20"/>
        <v>828.67000000000007</v>
      </c>
      <c r="R34" s="5">
        <f t="shared" si="21"/>
        <v>760.24770642201838</v>
      </c>
      <c r="S34" s="5">
        <f t="shared" si="23"/>
        <v>68.422293577981691</v>
      </c>
      <c r="T34" s="21">
        <f t="shared" si="22"/>
        <v>6.9055833333333343</v>
      </c>
      <c r="U34" s="35"/>
      <c r="V34" s="61">
        <v>480</v>
      </c>
      <c r="W34" s="13">
        <f t="shared" si="26"/>
        <v>3314.6800000000003</v>
      </c>
      <c r="Y34" s="142"/>
    </row>
    <row r="35" spans="1:26" ht="14.4" x14ac:dyDescent="0.3">
      <c r="A35" s="46" t="s">
        <v>82</v>
      </c>
      <c r="B35" s="53" t="s">
        <v>130</v>
      </c>
      <c r="C35" s="59" t="s">
        <v>105</v>
      </c>
      <c r="D35" s="60">
        <v>540</v>
      </c>
      <c r="E35" s="120"/>
      <c r="F35" s="95">
        <v>6</v>
      </c>
      <c r="G35" s="95"/>
      <c r="H35" s="95">
        <v>81</v>
      </c>
      <c r="I35" s="13"/>
      <c r="J35" s="33"/>
      <c r="K35" s="33"/>
      <c r="L35" s="33"/>
      <c r="M35" s="33">
        <v>36</v>
      </c>
      <c r="N35" s="127">
        <v>0</v>
      </c>
      <c r="O35" s="17"/>
      <c r="P35" s="357"/>
      <c r="Q35" s="24">
        <f t="shared" si="20"/>
        <v>123</v>
      </c>
      <c r="R35" s="5">
        <f t="shared" si="21"/>
        <v>112.8440366972477</v>
      </c>
      <c r="S35" s="5">
        <f t="shared" si="23"/>
        <v>10.155963302752298</v>
      </c>
      <c r="T35" s="21">
        <f t="shared" si="22"/>
        <v>0.22777777777777777</v>
      </c>
      <c r="U35" s="35"/>
      <c r="V35" s="61"/>
      <c r="W35" s="13"/>
      <c r="Y35" s="142"/>
    </row>
    <row r="36" spans="1:26" ht="14.4" x14ac:dyDescent="0.3">
      <c r="A36" s="46" t="s">
        <v>83</v>
      </c>
      <c r="B36" s="53" t="s">
        <v>131</v>
      </c>
      <c r="C36" s="59" t="s">
        <v>106</v>
      </c>
      <c r="D36" s="60">
        <v>270</v>
      </c>
      <c r="E36" s="120"/>
      <c r="F36" s="95">
        <v>70.5</v>
      </c>
      <c r="G36" s="95"/>
      <c r="H36" s="95">
        <v>0</v>
      </c>
      <c r="I36" s="13"/>
      <c r="J36" s="33"/>
      <c r="K36" s="33"/>
      <c r="L36" s="33"/>
      <c r="M36" s="33"/>
      <c r="N36" s="127">
        <v>0</v>
      </c>
      <c r="O36" s="17"/>
      <c r="P36" s="357"/>
      <c r="Q36" s="24">
        <f t="shared" si="20"/>
        <v>70.5</v>
      </c>
      <c r="R36" s="5">
        <f t="shared" si="21"/>
        <v>64.678899082568805</v>
      </c>
      <c r="S36" s="5">
        <f t="shared" si="23"/>
        <v>5.8211009174311954</v>
      </c>
      <c r="T36" s="21">
        <f t="shared" si="22"/>
        <v>0.26111111111111113</v>
      </c>
      <c r="U36" s="35"/>
      <c r="V36" s="61">
        <v>270</v>
      </c>
      <c r="W36" s="13">
        <f t="shared" si="26"/>
        <v>70.5</v>
      </c>
      <c r="Y36" s="142"/>
    </row>
    <row r="37" spans="1:26" ht="14.4" x14ac:dyDescent="0.3">
      <c r="A37" s="46" t="s">
        <v>84</v>
      </c>
      <c r="B37" s="53" t="s">
        <v>132</v>
      </c>
      <c r="C37" s="59" t="s">
        <v>107</v>
      </c>
      <c r="D37" s="60">
        <v>108</v>
      </c>
      <c r="E37" s="120"/>
      <c r="F37" s="95">
        <v>0</v>
      </c>
      <c r="G37" s="95"/>
      <c r="H37" s="95">
        <v>0</v>
      </c>
      <c r="I37" s="13"/>
      <c r="J37" s="33"/>
      <c r="K37" s="33"/>
      <c r="L37" s="33"/>
      <c r="M37" s="33"/>
      <c r="N37" s="127">
        <v>0</v>
      </c>
      <c r="O37" s="17">
        <v>52.8</v>
      </c>
      <c r="P37" s="357"/>
      <c r="Q37" s="24">
        <f t="shared" si="20"/>
        <v>52.8</v>
      </c>
      <c r="R37" s="5">
        <f t="shared" si="21"/>
        <v>48.440366972477058</v>
      </c>
      <c r="S37" s="5">
        <f t="shared" si="23"/>
        <v>4.3596330275229391</v>
      </c>
      <c r="T37" s="21">
        <f t="shared" si="22"/>
        <v>0.48888888888888887</v>
      </c>
      <c r="U37" s="35"/>
      <c r="V37" s="61">
        <v>432</v>
      </c>
      <c r="W37" s="13">
        <f t="shared" si="26"/>
        <v>211.2</v>
      </c>
      <c r="Y37" s="142"/>
    </row>
    <row r="38" spans="1:26" ht="14.4" x14ac:dyDescent="0.3">
      <c r="A38" s="46" t="s">
        <v>85</v>
      </c>
      <c r="B38" s="53" t="s">
        <v>133</v>
      </c>
      <c r="C38" s="59" t="s">
        <v>108</v>
      </c>
      <c r="D38" s="60">
        <v>900</v>
      </c>
      <c r="E38" s="120"/>
      <c r="F38" s="95">
        <v>13.333333333333332</v>
      </c>
      <c r="G38" s="95"/>
      <c r="H38" s="95">
        <v>0</v>
      </c>
      <c r="I38" s="13"/>
      <c r="J38" s="33"/>
      <c r="K38" s="33"/>
      <c r="L38" s="33"/>
      <c r="M38" s="33"/>
      <c r="N38" s="127">
        <v>0</v>
      </c>
      <c r="O38" s="17"/>
      <c r="P38" s="357"/>
      <c r="Q38" s="24">
        <f t="shared" si="20"/>
        <v>13.333333333333332</v>
      </c>
      <c r="R38" s="5">
        <f t="shared" si="21"/>
        <v>12.232415902140671</v>
      </c>
      <c r="S38" s="5">
        <f t="shared" si="23"/>
        <v>1.1009174311926611</v>
      </c>
      <c r="T38" s="21">
        <f t="shared" si="22"/>
        <v>1.4814814814814814E-2</v>
      </c>
      <c r="U38" s="35"/>
      <c r="V38" s="61"/>
      <c r="W38" s="13"/>
      <c r="Y38" s="142"/>
    </row>
    <row r="39" spans="1:26" ht="14.4" x14ac:dyDescent="0.3">
      <c r="A39" s="46" t="s">
        <v>86</v>
      </c>
      <c r="B39" s="53" t="s">
        <v>134</v>
      </c>
      <c r="C39" s="59" t="s">
        <v>109</v>
      </c>
      <c r="D39" s="60">
        <v>450</v>
      </c>
      <c r="E39" s="120"/>
      <c r="F39" s="95">
        <v>0</v>
      </c>
      <c r="G39" s="95"/>
      <c r="H39" s="95">
        <v>45</v>
      </c>
      <c r="I39" s="13"/>
      <c r="J39" s="33"/>
      <c r="K39" s="33"/>
      <c r="L39" s="33"/>
      <c r="M39" s="33"/>
      <c r="N39" s="127">
        <v>0</v>
      </c>
      <c r="O39" s="17"/>
      <c r="P39" s="357"/>
      <c r="Q39" s="24">
        <f t="shared" si="20"/>
        <v>45</v>
      </c>
      <c r="R39" s="5">
        <f t="shared" si="21"/>
        <v>41.284403669724767</v>
      </c>
      <c r="S39" s="5">
        <f t="shared" si="23"/>
        <v>3.7155963302752326</v>
      </c>
      <c r="T39" s="21">
        <f t="shared" si="22"/>
        <v>0.1</v>
      </c>
      <c r="U39" s="35"/>
      <c r="V39" s="61">
        <v>450</v>
      </c>
      <c r="W39" s="13">
        <f t="shared" si="26"/>
        <v>45</v>
      </c>
      <c r="Y39" s="142"/>
    </row>
    <row r="40" spans="1:26" ht="14.4" x14ac:dyDescent="0.3">
      <c r="A40" s="46" t="s">
        <v>87</v>
      </c>
      <c r="B40" s="53" t="s">
        <v>135</v>
      </c>
      <c r="C40" s="59" t="s">
        <v>110</v>
      </c>
      <c r="D40" s="60">
        <v>180</v>
      </c>
      <c r="E40" s="120"/>
      <c r="F40" s="250">
        <v>45.33</v>
      </c>
      <c r="G40" s="250"/>
      <c r="H40" s="95">
        <v>0</v>
      </c>
      <c r="I40" s="13"/>
      <c r="J40" s="33"/>
      <c r="K40" s="33"/>
      <c r="L40" s="33"/>
      <c r="M40" s="33"/>
      <c r="N40" s="127">
        <v>2.666666666666667</v>
      </c>
      <c r="O40" s="17">
        <v>25.999998931884765</v>
      </c>
      <c r="P40" s="357"/>
      <c r="Q40" s="24">
        <f t="shared" si="20"/>
        <v>73.996665598551431</v>
      </c>
      <c r="R40" s="5">
        <f t="shared" si="21"/>
        <v>67.886849172982963</v>
      </c>
      <c r="S40" s="5">
        <f t="shared" si="23"/>
        <v>6.1098164255684679</v>
      </c>
      <c r="T40" s="21">
        <f t="shared" si="22"/>
        <v>0.41109258665861909</v>
      </c>
      <c r="U40" s="35"/>
      <c r="V40" s="61">
        <v>720</v>
      </c>
      <c r="W40" s="13">
        <f t="shared" si="26"/>
        <v>295.98666239420572</v>
      </c>
      <c r="Y40" s="142"/>
    </row>
    <row r="41" spans="1:26" ht="14.4" x14ac:dyDescent="0.3">
      <c r="A41" s="46" t="s">
        <v>88</v>
      </c>
      <c r="B41" s="53" t="s">
        <v>136</v>
      </c>
      <c r="C41" s="59" t="s">
        <v>111</v>
      </c>
      <c r="D41" s="60">
        <v>810</v>
      </c>
      <c r="E41" s="120"/>
      <c r="F41" s="95"/>
      <c r="G41" s="95"/>
      <c r="H41" s="95">
        <v>0</v>
      </c>
      <c r="I41" s="13"/>
      <c r="J41" s="33"/>
      <c r="K41" s="33"/>
      <c r="L41" s="33"/>
      <c r="M41" s="33"/>
      <c r="N41" s="127">
        <v>0</v>
      </c>
      <c r="O41" s="17">
        <v>42</v>
      </c>
      <c r="P41" s="357"/>
      <c r="Q41" s="24">
        <f t="shared" si="20"/>
        <v>42</v>
      </c>
      <c r="R41" s="5">
        <f t="shared" si="21"/>
        <v>38.532110091743114</v>
      </c>
      <c r="S41" s="5">
        <f t="shared" si="23"/>
        <v>3.4678899082568861</v>
      </c>
      <c r="T41" s="21">
        <f t="shared" si="22"/>
        <v>5.185185185185185E-2</v>
      </c>
      <c r="U41" s="71"/>
      <c r="V41" s="61"/>
      <c r="W41" s="13"/>
      <c r="Y41" s="142"/>
    </row>
    <row r="42" spans="1:26" ht="14.4" x14ac:dyDescent="0.3">
      <c r="A42" s="46" t="s">
        <v>89</v>
      </c>
      <c r="B42" s="53" t="s">
        <v>137</v>
      </c>
      <c r="C42" s="59" t="s">
        <v>112</v>
      </c>
      <c r="D42" s="60">
        <v>405</v>
      </c>
      <c r="E42" s="120"/>
      <c r="F42" s="95"/>
      <c r="G42" s="95"/>
      <c r="H42" s="95">
        <v>0</v>
      </c>
      <c r="I42" s="13"/>
      <c r="J42" s="33"/>
      <c r="K42" s="33"/>
      <c r="L42" s="33"/>
      <c r="M42" s="33"/>
      <c r="N42" s="127">
        <v>0</v>
      </c>
      <c r="O42" s="17"/>
      <c r="P42" s="357"/>
      <c r="Q42" s="24">
        <f t="shared" si="20"/>
        <v>0</v>
      </c>
      <c r="R42" s="5">
        <f t="shared" si="21"/>
        <v>0</v>
      </c>
      <c r="S42" s="5">
        <f t="shared" si="23"/>
        <v>0</v>
      </c>
      <c r="T42" s="21">
        <f t="shared" si="22"/>
        <v>0</v>
      </c>
      <c r="U42" s="71"/>
      <c r="V42" s="61">
        <v>405</v>
      </c>
      <c r="W42" s="13">
        <f t="shared" si="26"/>
        <v>0</v>
      </c>
      <c r="Y42" s="142"/>
    </row>
    <row r="43" spans="1:26" ht="14.4" x14ac:dyDescent="0.3">
      <c r="A43" s="54" t="s">
        <v>90</v>
      </c>
      <c r="B43" s="55" t="s">
        <v>138</v>
      </c>
      <c r="C43" s="245" t="s">
        <v>113</v>
      </c>
      <c r="D43" s="246">
        <v>162</v>
      </c>
      <c r="E43" s="249"/>
      <c r="F43" s="250"/>
      <c r="G43" s="250"/>
      <c r="H43" s="250">
        <v>0</v>
      </c>
      <c r="I43" s="25"/>
      <c r="J43" s="239"/>
      <c r="K43" s="239"/>
      <c r="L43" s="239"/>
      <c r="M43" s="239"/>
      <c r="N43" s="221">
        <v>0</v>
      </c>
      <c r="O43" s="17">
        <v>18</v>
      </c>
      <c r="P43" s="358"/>
      <c r="Q43" s="24">
        <f t="shared" si="20"/>
        <v>18</v>
      </c>
      <c r="R43" s="26">
        <f t="shared" si="21"/>
        <v>16.513761467889907</v>
      </c>
      <c r="S43" s="26">
        <f t="shared" si="23"/>
        <v>1.486238532110093</v>
      </c>
      <c r="T43" s="39">
        <f t="shared" si="22"/>
        <v>0.1111111111111111</v>
      </c>
      <c r="U43" s="71"/>
      <c r="V43" s="61">
        <v>648</v>
      </c>
      <c r="W43" s="13">
        <f t="shared" si="26"/>
        <v>72</v>
      </c>
      <c r="Y43" s="142"/>
    </row>
    <row r="44" spans="1:26" x14ac:dyDescent="0.25">
      <c r="A44" s="47" t="s">
        <v>201</v>
      </c>
      <c r="B44" s="56" t="s">
        <v>200</v>
      </c>
      <c r="C44" s="66" t="s">
        <v>202</v>
      </c>
      <c r="D44" s="67">
        <v>10</v>
      </c>
      <c r="E44" s="124">
        <v>13.150684931506847</v>
      </c>
      <c r="F44" s="124">
        <v>477.42465753425</v>
      </c>
      <c r="G44" s="124">
        <v>49.178082191780831</v>
      </c>
      <c r="H44" s="124">
        <v>156.7397260273965</v>
      </c>
      <c r="I44" s="124"/>
      <c r="J44" s="124"/>
      <c r="K44" s="124"/>
      <c r="L44" s="124"/>
      <c r="M44" s="124">
        <v>12.05</v>
      </c>
      <c r="N44" s="124">
        <v>0</v>
      </c>
      <c r="O44" s="148">
        <v>2.0000000381469727</v>
      </c>
      <c r="P44" s="352"/>
      <c r="Q44" s="24">
        <f t="shared" si="20"/>
        <v>710.54315072308111</v>
      </c>
      <c r="R44" s="124">
        <f t="shared" si="21"/>
        <v>651.87445020466157</v>
      </c>
      <c r="S44" s="6">
        <f t="shared" si="23"/>
        <v>58.668700518419541</v>
      </c>
      <c r="T44" s="22">
        <f>+Q44/D44</f>
        <v>71.054315072308114</v>
      </c>
      <c r="U44" s="71"/>
      <c r="V44" s="61"/>
      <c r="W44" s="13"/>
      <c r="X44" s="2"/>
      <c r="Y44" s="1"/>
    </row>
    <row r="45" spans="1:26" ht="12" customHeight="1" x14ac:dyDescent="0.25">
      <c r="A45" s="70" t="s">
        <v>16</v>
      </c>
      <c r="B45" s="52" t="s">
        <v>34</v>
      </c>
      <c r="C45" s="80" t="s">
        <v>91</v>
      </c>
      <c r="D45" s="78"/>
      <c r="E45" s="204">
        <f>+SUM(E46:E54)</f>
        <v>9120.85</v>
      </c>
      <c r="F45" s="82">
        <f>+SUM(F46:F54)</f>
        <v>158532.47999999998</v>
      </c>
      <c r="G45" s="82">
        <f>+SUM(G46:G54)</f>
        <v>22167.98</v>
      </c>
      <c r="H45" s="82">
        <f>+SUM(H46:H54)</f>
        <v>3573.4699999999993</v>
      </c>
      <c r="I45" s="82">
        <f t="shared" ref="I45:T45" si="27">+SUM(I46:I54)</f>
        <v>0</v>
      </c>
      <c r="J45" s="82">
        <f t="shared" si="27"/>
        <v>0</v>
      </c>
      <c r="K45" s="100">
        <f t="shared" si="27"/>
        <v>0</v>
      </c>
      <c r="L45" s="100">
        <f t="shared" si="27"/>
        <v>0</v>
      </c>
      <c r="M45" s="100">
        <f t="shared" si="27"/>
        <v>965.3</v>
      </c>
      <c r="N45" s="100">
        <f t="shared" si="27"/>
        <v>4895.78</v>
      </c>
      <c r="O45" s="426">
        <f t="shared" si="27"/>
        <v>17242.060000000001</v>
      </c>
      <c r="P45" s="100">
        <f t="shared" si="27"/>
        <v>0</v>
      </c>
      <c r="Q45" s="42">
        <f>+SUM(Q46:Q54)</f>
        <v>216497.91999999998</v>
      </c>
      <c r="R45" s="82">
        <f t="shared" si="27"/>
        <v>198621.94495412841</v>
      </c>
      <c r="S45" s="82">
        <f t="shared" si="27"/>
        <v>17875.975045871572</v>
      </c>
      <c r="T45" s="19">
        <f t="shared" si="27"/>
        <v>31441.200000000001</v>
      </c>
      <c r="U45" s="71"/>
      <c r="V45" s="61"/>
      <c r="W45" s="105">
        <f>+SUM(W46:W69)</f>
        <v>325411.28000000003</v>
      </c>
    </row>
    <row r="46" spans="1:26" ht="12" customHeight="1" x14ac:dyDescent="0.3">
      <c r="A46" s="65" t="s">
        <v>17</v>
      </c>
      <c r="B46" s="86" t="s">
        <v>35</v>
      </c>
      <c r="C46" s="30" t="s">
        <v>2</v>
      </c>
      <c r="D46" s="29">
        <v>12</v>
      </c>
      <c r="E46" s="127">
        <v>912</v>
      </c>
      <c r="F46" s="92">
        <v>15300</v>
      </c>
      <c r="G46" s="28">
        <v>2172</v>
      </c>
      <c r="H46" s="524">
        <v>312</v>
      </c>
      <c r="I46" s="525"/>
      <c r="J46" s="526"/>
      <c r="K46" s="526"/>
      <c r="L46" s="526"/>
      <c r="M46" s="526">
        <v>84</v>
      </c>
      <c r="N46" s="127">
        <v>720</v>
      </c>
      <c r="O46" s="483">
        <f>1692-12</f>
        <v>1680</v>
      </c>
      <c r="P46" s="434"/>
      <c r="Q46" s="24">
        <f t="shared" ref="Q46:Q54" si="28">+SUM(E46:P46)</f>
        <v>21180</v>
      </c>
      <c r="R46" s="99">
        <f t="shared" ref="R46:R54" si="29">+Q46/1.09</f>
        <v>19431.192660550456</v>
      </c>
      <c r="S46" s="64">
        <f t="shared" ref="S46:S54" si="30">+Q46-R46</f>
        <v>1748.8073394495441</v>
      </c>
      <c r="T46" s="85">
        <f t="shared" ref="T46:T54" si="31">Q46/D46</f>
        <v>1765</v>
      </c>
      <c r="U46" s="71"/>
      <c r="V46" s="61"/>
      <c r="W46" s="13"/>
      <c r="X46"/>
      <c r="Y46" s="142"/>
      <c r="Z46"/>
    </row>
    <row r="47" spans="1:26" ht="12" customHeight="1" x14ac:dyDescent="0.3">
      <c r="A47" s="46" t="s">
        <v>18</v>
      </c>
      <c r="B47" s="53" t="s">
        <v>35</v>
      </c>
      <c r="C47" s="11" t="s">
        <v>3</v>
      </c>
      <c r="D47" s="10">
        <v>6</v>
      </c>
      <c r="E47" s="123">
        <v>204</v>
      </c>
      <c r="F47" s="48">
        <v>1662</v>
      </c>
      <c r="G47" s="17">
        <v>240</v>
      </c>
      <c r="H47" s="524">
        <v>30</v>
      </c>
      <c r="I47" s="17"/>
      <c r="J47" s="36"/>
      <c r="K47" s="36"/>
      <c r="L47" s="36"/>
      <c r="M47" s="36">
        <v>24</v>
      </c>
      <c r="N47" s="127">
        <v>126</v>
      </c>
      <c r="O47" s="17">
        <v>186</v>
      </c>
      <c r="P47" s="355"/>
      <c r="Q47" s="24">
        <f t="shared" si="28"/>
        <v>2472</v>
      </c>
      <c r="R47" s="5">
        <f t="shared" si="29"/>
        <v>2267.8899082568805</v>
      </c>
      <c r="S47" s="5">
        <f t="shared" si="30"/>
        <v>204.11009174311948</v>
      </c>
      <c r="T47" s="31">
        <f t="shared" si="31"/>
        <v>412</v>
      </c>
      <c r="U47" s="71"/>
      <c r="V47" s="61">
        <v>6</v>
      </c>
      <c r="W47" s="13">
        <f t="shared" ref="W47:W48" si="32">+T47*V47</f>
        <v>2472</v>
      </c>
      <c r="Y47" s="142"/>
    </row>
    <row r="48" spans="1:26" ht="12" customHeight="1" x14ac:dyDescent="0.3">
      <c r="A48" s="46" t="s">
        <v>19</v>
      </c>
      <c r="B48" s="53" t="s">
        <v>35</v>
      </c>
      <c r="C48" s="11" t="s">
        <v>4</v>
      </c>
      <c r="D48" s="10">
        <v>2.4</v>
      </c>
      <c r="E48" s="123">
        <v>1867.2</v>
      </c>
      <c r="F48" s="96">
        <v>38136</v>
      </c>
      <c r="G48" s="17">
        <v>5940</v>
      </c>
      <c r="H48" s="524">
        <v>220.8</v>
      </c>
      <c r="I48" s="17"/>
      <c r="J48" s="36"/>
      <c r="K48" s="36"/>
      <c r="L48" s="36"/>
      <c r="M48" s="36">
        <v>247.2</v>
      </c>
      <c r="N48" s="127">
        <v>1003.1999999999998</v>
      </c>
      <c r="O48" s="17">
        <v>2176.8000000000002</v>
      </c>
      <c r="P48" s="355"/>
      <c r="Q48" s="24">
        <f t="shared" si="28"/>
        <v>49591.199999999997</v>
      </c>
      <c r="R48" s="5">
        <f t="shared" si="29"/>
        <v>45496.513761467882</v>
      </c>
      <c r="S48" s="5">
        <f t="shared" si="30"/>
        <v>4094.6862385321147</v>
      </c>
      <c r="T48" s="31">
        <f t="shared" si="31"/>
        <v>20663</v>
      </c>
      <c r="U48" s="71"/>
      <c r="V48" s="61">
        <v>9.6</v>
      </c>
      <c r="W48" s="13">
        <f t="shared" si="32"/>
        <v>198364.79999999999</v>
      </c>
      <c r="Y48" s="142"/>
    </row>
    <row r="49" spans="1:25" ht="12" customHeight="1" x14ac:dyDescent="0.3">
      <c r="A49" s="46" t="s">
        <v>20</v>
      </c>
      <c r="B49" s="53" t="s">
        <v>35</v>
      </c>
      <c r="C49" s="11" t="s">
        <v>5</v>
      </c>
      <c r="D49" s="10">
        <v>21</v>
      </c>
      <c r="E49" s="123">
        <v>1057</v>
      </c>
      <c r="F49" s="17">
        <v>17626</v>
      </c>
      <c r="G49" s="17">
        <v>2359</v>
      </c>
      <c r="H49" s="527">
        <v>672</v>
      </c>
      <c r="I49" s="17"/>
      <c r="J49" s="36"/>
      <c r="K49" s="36"/>
      <c r="L49" s="36"/>
      <c r="M49" s="36">
        <v>84</v>
      </c>
      <c r="N49" s="127">
        <v>525</v>
      </c>
      <c r="O49" s="468">
        <f>2233-21</f>
        <v>2212</v>
      </c>
      <c r="P49" s="355"/>
      <c r="Q49" s="24">
        <f t="shared" si="28"/>
        <v>24535</v>
      </c>
      <c r="R49" s="5">
        <f t="shared" si="29"/>
        <v>22509.174311926603</v>
      </c>
      <c r="S49" s="5">
        <f t="shared" si="30"/>
        <v>2025.825688073397</v>
      </c>
      <c r="T49" s="31">
        <f t="shared" si="31"/>
        <v>1168.3333333333333</v>
      </c>
      <c r="U49" s="71"/>
      <c r="V49" s="61"/>
      <c r="W49" s="13"/>
      <c r="Y49" s="142"/>
    </row>
    <row r="50" spans="1:25" ht="12" customHeight="1" x14ac:dyDescent="0.3">
      <c r="A50" s="46" t="s">
        <v>21</v>
      </c>
      <c r="B50" s="53" t="s">
        <v>35</v>
      </c>
      <c r="C50" s="11" t="s">
        <v>6</v>
      </c>
      <c r="D50" s="10">
        <v>10.5</v>
      </c>
      <c r="E50" s="123">
        <v>115.5</v>
      </c>
      <c r="F50" s="17">
        <v>1281</v>
      </c>
      <c r="G50" s="17">
        <v>290.5</v>
      </c>
      <c r="H50" s="527">
        <v>42</v>
      </c>
      <c r="I50" s="17"/>
      <c r="J50" s="36"/>
      <c r="K50" s="36"/>
      <c r="L50" s="36"/>
      <c r="M50" s="36">
        <v>21</v>
      </c>
      <c r="N50" s="127">
        <v>52.5</v>
      </c>
      <c r="O50" s="17">
        <v>126</v>
      </c>
      <c r="P50" s="355"/>
      <c r="Q50" s="24">
        <f t="shared" si="28"/>
        <v>1928.5</v>
      </c>
      <c r="R50" s="5">
        <f t="shared" si="29"/>
        <v>1769.2660550458713</v>
      </c>
      <c r="S50" s="5">
        <f t="shared" si="30"/>
        <v>159.23394495412867</v>
      </c>
      <c r="T50" s="21">
        <f t="shared" si="31"/>
        <v>183.66666666666666</v>
      </c>
      <c r="U50" s="71"/>
      <c r="V50" s="61">
        <v>10.5</v>
      </c>
      <c r="W50" s="13">
        <f t="shared" ref="W50:W51" si="33">+T50*V50</f>
        <v>1928.5</v>
      </c>
      <c r="Y50" s="142"/>
    </row>
    <row r="51" spans="1:25" ht="12" customHeight="1" x14ac:dyDescent="0.3">
      <c r="A51" s="46" t="s">
        <v>22</v>
      </c>
      <c r="B51" s="53" t="s">
        <v>35</v>
      </c>
      <c r="C51" s="11" t="s">
        <v>7</v>
      </c>
      <c r="D51" s="10">
        <v>4.2</v>
      </c>
      <c r="E51" s="123">
        <v>490</v>
      </c>
      <c r="F51" s="17">
        <v>8608.6</v>
      </c>
      <c r="G51" s="17">
        <v>1101.8</v>
      </c>
      <c r="H51" s="527">
        <v>137.20000000000002</v>
      </c>
      <c r="I51" s="17"/>
      <c r="J51" s="36"/>
      <c r="K51" s="36"/>
      <c r="L51" s="36"/>
      <c r="M51" s="36">
        <v>33.6</v>
      </c>
      <c r="N51" s="127">
        <v>415.8</v>
      </c>
      <c r="O51" s="17">
        <v>1346.8</v>
      </c>
      <c r="P51" s="355"/>
      <c r="Q51" s="24">
        <f t="shared" si="28"/>
        <v>12133.8</v>
      </c>
      <c r="R51" s="5">
        <f t="shared" si="29"/>
        <v>11131.926605504586</v>
      </c>
      <c r="S51" s="5">
        <f t="shared" si="30"/>
        <v>1001.8733944954129</v>
      </c>
      <c r="T51" s="21">
        <f t="shared" si="31"/>
        <v>2888.9999999999995</v>
      </c>
      <c r="U51" s="71"/>
      <c r="V51" s="61">
        <v>16.8</v>
      </c>
      <c r="W51" s="13">
        <f t="shared" si="33"/>
        <v>48535.199999999997</v>
      </c>
      <c r="Y51" s="142"/>
    </row>
    <row r="52" spans="1:25" ht="12" customHeight="1" x14ac:dyDescent="0.3">
      <c r="A52" s="46" t="s">
        <v>23</v>
      </c>
      <c r="B52" s="53" t="s">
        <v>35</v>
      </c>
      <c r="C52" s="11" t="s">
        <v>8</v>
      </c>
      <c r="D52" s="10">
        <v>41</v>
      </c>
      <c r="E52" s="123">
        <v>3685.9</v>
      </c>
      <c r="F52" s="17">
        <v>60134.7</v>
      </c>
      <c r="G52" s="17">
        <v>7757.2</v>
      </c>
      <c r="H52" s="527">
        <v>1750.7</v>
      </c>
      <c r="I52" s="17"/>
      <c r="J52" s="36"/>
      <c r="K52" s="36"/>
      <c r="L52" s="36"/>
      <c r="M52" s="36">
        <v>287</v>
      </c>
      <c r="N52" s="127">
        <v>1578.4999999999998</v>
      </c>
      <c r="O52" s="17">
        <v>6596.9</v>
      </c>
      <c r="P52" s="355"/>
      <c r="Q52" s="24">
        <f t="shared" si="28"/>
        <v>81790.899999999994</v>
      </c>
      <c r="R52" s="5">
        <f t="shared" si="29"/>
        <v>75037.522935779809</v>
      </c>
      <c r="S52" s="5">
        <f t="shared" si="30"/>
        <v>6753.3770642201853</v>
      </c>
      <c r="T52" s="21">
        <f t="shared" si="31"/>
        <v>1994.8999999999999</v>
      </c>
      <c r="U52" s="71"/>
      <c r="V52" s="61"/>
      <c r="W52" s="13"/>
      <c r="Y52" s="142"/>
    </row>
    <row r="53" spans="1:25" ht="12" customHeight="1" x14ac:dyDescent="0.3">
      <c r="A53" s="46" t="s">
        <v>24</v>
      </c>
      <c r="B53" s="53" t="s">
        <v>35</v>
      </c>
      <c r="C53" s="11" t="s">
        <v>9</v>
      </c>
      <c r="D53" s="10">
        <v>20.5</v>
      </c>
      <c r="E53" s="123">
        <v>223.45</v>
      </c>
      <c r="F53" s="17">
        <v>4387</v>
      </c>
      <c r="G53" s="17">
        <v>688.8</v>
      </c>
      <c r="H53" s="527">
        <v>141.44999999999999</v>
      </c>
      <c r="I53" s="17"/>
      <c r="J53" s="36"/>
      <c r="K53" s="36"/>
      <c r="L53" s="36"/>
      <c r="M53" s="36">
        <v>69.7</v>
      </c>
      <c r="N53" s="127">
        <v>20.500000000000004</v>
      </c>
      <c r="O53" s="17">
        <v>254.2</v>
      </c>
      <c r="P53" s="355"/>
      <c r="Q53" s="24">
        <f t="shared" si="28"/>
        <v>5785.0999999999995</v>
      </c>
      <c r="R53" s="5">
        <f t="shared" si="29"/>
        <v>5307.4311926605496</v>
      </c>
      <c r="S53" s="5">
        <f t="shared" si="30"/>
        <v>477.66880733944981</v>
      </c>
      <c r="T53" s="21">
        <f t="shared" si="31"/>
        <v>282.2</v>
      </c>
      <c r="U53" s="71"/>
      <c r="V53" s="61">
        <v>20.5</v>
      </c>
      <c r="W53" s="13">
        <f t="shared" ref="W53:W54" si="34">+T53*V53</f>
        <v>5785.0999999999995</v>
      </c>
      <c r="Y53" s="142"/>
    </row>
    <row r="54" spans="1:25" ht="12" customHeight="1" x14ac:dyDescent="0.3">
      <c r="A54" s="47" t="s">
        <v>25</v>
      </c>
      <c r="B54" s="56" t="s">
        <v>35</v>
      </c>
      <c r="C54" s="12" t="s">
        <v>10</v>
      </c>
      <c r="D54" s="7">
        <v>8.1999999999999993</v>
      </c>
      <c r="E54" s="124">
        <v>565.79999999999995</v>
      </c>
      <c r="F54" s="18">
        <v>11397.18</v>
      </c>
      <c r="G54" s="18">
        <v>1618.68</v>
      </c>
      <c r="H54" s="528">
        <v>267.31999999999994</v>
      </c>
      <c r="I54" s="18"/>
      <c r="J54" s="144"/>
      <c r="K54" s="144"/>
      <c r="L54" s="144"/>
      <c r="M54" s="144">
        <v>114.8</v>
      </c>
      <c r="N54" s="124">
        <v>454.27999999999986</v>
      </c>
      <c r="O54" s="18">
        <v>2663.36</v>
      </c>
      <c r="P54" s="360"/>
      <c r="Q54" s="359">
        <f t="shared" si="28"/>
        <v>17081.419999999998</v>
      </c>
      <c r="R54" s="6">
        <f t="shared" si="29"/>
        <v>15671.027522935778</v>
      </c>
      <c r="S54" s="6">
        <f t="shared" si="30"/>
        <v>1410.3924770642207</v>
      </c>
      <c r="T54" s="22">
        <f t="shared" si="31"/>
        <v>2083.1</v>
      </c>
      <c r="U54" s="35"/>
      <c r="V54" s="61">
        <v>32.799999999999997</v>
      </c>
      <c r="W54" s="13">
        <f t="shared" si="34"/>
        <v>68325.679999999993</v>
      </c>
      <c r="Y54" s="142"/>
    </row>
    <row r="55" spans="1:25" x14ac:dyDescent="0.25"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6" spans="1:25" x14ac:dyDescent="0.25">
      <c r="E56" s="2"/>
      <c r="F56" s="2"/>
      <c r="G56" s="2"/>
      <c r="H56" s="2"/>
      <c r="I56" s="2"/>
      <c r="J56" s="2"/>
      <c r="K56" s="2"/>
      <c r="L56" s="2"/>
      <c r="M56" s="2"/>
      <c r="N56" s="2"/>
      <c r="Q56" s="2"/>
      <c r="R56" s="2"/>
      <c r="S56" s="2"/>
    </row>
    <row r="58" spans="1:25" x14ac:dyDescent="0.25">
      <c r="O58" s="137"/>
      <c r="P58" s="137"/>
    </row>
    <row r="74" spans="2:2" x14ac:dyDescent="0.25">
      <c r="B74" s="1"/>
    </row>
  </sheetData>
  <mergeCells count="19">
    <mergeCell ref="M4:M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L4"/>
    <mergeCell ref="W4:W5"/>
    <mergeCell ref="N4:N5"/>
    <mergeCell ref="O4:P4"/>
    <mergeCell ref="Q4:Q5"/>
    <mergeCell ref="R4:R5"/>
    <mergeCell ref="S4:S5"/>
    <mergeCell ref="T4:T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3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zoomScaleNormal="100" workbookViewId="0">
      <pane xSplit="4" ySplit="4" topLeftCell="L12" activePane="bottomRight" state="frozen"/>
      <selection pane="topRight" activeCell="E1" sqref="E1"/>
      <selection pane="bottomLeft" activeCell="A5" sqref="A5"/>
      <selection pane="bottomRight" activeCell="N19" sqref="N19"/>
    </sheetView>
  </sheetViews>
  <sheetFormatPr defaultColWidth="8.88671875" defaultRowHeight="13.2" outlineLevelCol="1" x14ac:dyDescent="0.25"/>
  <cols>
    <col min="1" max="1" width="11.33203125" style="1" customWidth="1"/>
    <col min="2" max="2" width="5.5546875" style="3" customWidth="1"/>
    <col min="3" max="3" width="47" style="1" customWidth="1"/>
    <col min="4" max="4" width="9.88671875" style="4" customWidth="1"/>
    <col min="5" max="5" width="14.33203125" style="4" customWidth="1"/>
    <col min="6" max="6" width="12.44140625" style="1" customWidth="1"/>
    <col min="7" max="7" width="11.33203125" style="1" customWidth="1"/>
    <col min="8" max="8" width="14.109375" style="1" customWidth="1"/>
    <col min="9" max="9" width="15.33203125" style="1" customWidth="1"/>
    <col min="10" max="10" width="15.109375" style="1" customWidth="1"/>
    <col min="11" max="12" width="12.109375" style="1" customWidth="1"/>
    <col min="13" max="13" width="13" style="1" customWidth="1"/>
    <col min="14" max="14" width="12.33203125" style="1" customWidth="1"/>
    <col min="15" max="15" width="12.109375" style="1" customWidth="1"/>
    <col min="16" max="16" width="11.6640625" style="1" hidden="1" customWidth="1" outlineLevel="1"/>
    <col min="17" max="17" width="12.33203125" style="1" bestFit="1" customWidth="1" collapsed="1"/>
    <col min="18" max="19" width="12.33203125" style="1" customWidth="1"/>
    <col min="20" max="20" width="11.33203125" style="1" customWidth="1" outlineLevel="1"/>
    <col min="21" max="21" width="3.109375" style="1" customWidth="1"/>
    <col min="22" max="22" width="5.109375" style="1" customWidth="1"/>
    <col min="23" max="23" width="13.33203125" style="2" customWidth="1"/>
    <col min="24" max="24" width="17.33203125" style="1" customWidth="1"/>
    <col min="25" max="16384" width="8.88671875" style="1"/>
  </cols>
  <sheetData>
    <row r="1" spans="1:23" ht="15.6" customHeight="1" x14ac:dyDescent="0.3">
      <c r="A1" s="40" t="s">
        <v>560</v>
      </c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"/>
    </row>
    <row r="2" spans="1:23" ht="18" customHeight="1" x14ac:dyDescent="0.25">
      <c r="A2" s="198" t="s">
        <v>168</v>
      </c>
      <c r="D2" s="3"/>
      <c r="E2" s="4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39"/>
      <c r="R2" s="2"/>
      <c r="S2" s="2"/>
    </row>
    <row r="3" spans="1:23" ht="16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3" ht="22.95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586</v>
      </c>
      <c r="M4" s="575"/>
      <c r="N4" s="575"/>
      <c r="O4" s="587"/>
      <c r="P4" s="600"/>
      <c r="Q4" s="597"/>
      <c r="R4" s="597"/>
      <c r="S4" s="597"/>
      <c r="T4" s="597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03">
        <f t="shared" ref="E5:L5" si="0">+E6+E18+E44</f>
        <v>139466.76292237447</v>
      </c>
      <c r="F5" s="187">
        <f t="shared" si="0"/>
        <v>2111796.0430136798</v>
      </c>
      <c r="G5" s="82">
        <f t="shared" si="0"/>
        <v>300514.71520547947</v>
      </c>
      <c r="H5" s="82">
        <f t="shared" si="0"/>
        <v>54619.09913242008</v>
      </c>
      <c r="I5" s="82">
        <f t="shared" si="0"/>
        <v>0</v>
      </c>
      <c r="J5" s="82">
        <f t="shared" si="0"/>
        <v>0</v>
      </c>
      <c r="K5" s="100">
        <f t="shared" si="0"/>
        <v>0</v>
      </c>
      <c r="L5" s="100">
        <f t="shared" si="0"/>
        <v>0</v>
      </c>
      <c r="M5" s="192">
        <f>+M6+M18+M44</f>
        <v>36015.174383561629</v>
      </c>
      <c r="N5" s="192">
        <f>+N6+N18+N44</f>
        <v>22488.589315068493</v>
      </c>
      <c r="O5" s="145">
        <f>+O6+O18+O44</f>
        <v>251396.25361437991</v>
      </c>
      <c r="P5" s="435">
        <f>+P6+P18+P44</f>
        <v>0</v>
      </c>
      <c r="Q5" s="42">
        <f t="shared" ref="Q5:Q10" si="1">+SUM(E5:P5)</f>
        <v>2916296.6375869638</v>
      </c>
      <c r="R5" s="42">
        <f>+R6+R18+R44</f>
        <v>2675501.5023733606</v>
      </c>
      <c r="S5" s="42">
        <f>+S6+S18+S44</f>
        <v>240795.13521360274</v>
      </c>
      <c r="T5" s="44">
        <f>+T6+T18+T44</f>
        <v>53595.567894308493</v>
      </c>
      <c r="U5" s="71"/>
      <c r="V5" s="87"/>
      <c r="W5" s="135">
        <f>+W7+W18+W44</f>
        <v>2363319.4369573672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00">
        <f t="shared" ref="E6:L6" si="2">+E7+E11</f>
        <v>0</v>
      </c>
      <c r="F6" s="187">
        <f t="shared" si="2"/>
        <v>0</v>
      </c>
      <c r="G6" s="82">
        <f t="shared" si="2"/>
        <v>0</v>
      </c>
      <c r="H6" s="82">
        <f t="shared" si="2"/>
        <v>0</v>
      </c>
      <c r="I6" s="82">
        <f t="shared" si="2"/>
        <v>0</v>
      </c>
      <c r="J6" s="82">
        <f t="shared" si="2"/>
        <v>0</v>
      </c>
      <c r="K6" s="100">
        <f t="shared" si="2"/>
        <v>0</v>
      </c>
      <c r="L6" s="100">
        <f t="shared" si="2"/>
        <v>0</v>
      </c>
      <c r="M6" s="192">
        <f>+M7+M11</f>
        <v>0</v>
      </c>
      <c r="N6" s="192">
        <f>+N7+N11</f>
        <v>0</v>
      </c>
      <c r="O6" s="145">
        <f>+O7+O11</f>
        <v>0</v>
      </c>
      <c r="P6" s="435">
        <f>+P7+P11</f>
        <v>0</v>
      </c>
      <c r="Q6" s="42">
        <f t="shared" si="1"/>
        <v>0</v>
      </c>
      <c r="R6" s="42">
        <f>+R7+R11</f>
        <v>0</v>
      </c>
      <c r="S6" s="42">
        <f>+S7+S11</f>
        <v>0</v>
      </c>
      <c r="T6" s="44">
        <f>+T7+T11</f>
        <v>0</v>
      </c>
      <c r="V6" s="61"/>
      <c r="W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79">
        <f t="shared" si="3"/>
        <v>0</v>
      </c>
      <c r="G7" s="79">
        <f t="shared" si="3"/>
        <v>0</v>
      </c>
      <c r="H7" s="79">
        <f t="shared" si="3"/>
        <v>0</v>
      </c>
      <c r="I7" s="79">
        <f t="shared" si="3"/>
        <v>0</v>
      </c>
      <c r="J7" s="126">
        <f t="shared" si="3"/>
        <v>0</v>
      </c>
      <c r="K7" s="126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479">
        <f t="shared" si="4"/>
        <v>0</v>
      </c>
      <c r="P7" s="436">
        <f t="shared" si="4"/>
        <v>0</v>
      </c>
      <c r="Q7" s="43">
        <f t="shared" si="1"/>
        <v>0</v>
      </c>
      <c r="R7" s="354">
        <f t="shared" si="4"/>
        <v>0</v>
      </c>
      <c r="S7" s="354">
        <f t="shared" si="4"/>
        <v>0</v>
      </c>
      <c r="T7" s="240">
        <f t="shared" si="4"/>
        <v>0</v>
      </c>
      <c r="U7" s="71"/>
      <c r="V7" s="134"/>
      <c r="W7" s="105">
        <f>+SUM(W8:W17)</f>
        <v>0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88"/>
      <c r="P8" s="164"/>
      <c r="Q8" s="24">
        <f t="shared" si="1"/>
        <v>0</v>
      </c>
      <c r="R8" s="127">
        <f t="shared" ref="R8:R53" si="5">+Q8/1.09</f>
        <v>0</v>
      </c>
      <c r="S8" s="24">
        <f t="shared" ref="S8:S17" si="6">+Q8-R8</f>
        <v>0</v>
      </c>
      <c r="T8" s="94">
        <f>+Q8/D8</f>
        <v>0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88"/>
      <c r="P9" s="164"/>
      <c r="Q9" s="24">
        <f t="shared" si="1"/>
        <v>0</v>
      </c>
      <c r="R9" s="127">
        <f t="shared" si="5"/>
        <v>0</v>
      </c>
      <c r="S9" s="26">
        <f t="shared" si="6"/>
        <v>0</v>
      </c>
      <c r="T9" s="94">
        <f>+Q9/D9</f>
        <v>0</v>
      </c>
      <c r="U9" s="71"/>
      <c r="V9" s="61">
        <v>1.75</v>
      </c>
      <c r="W9" s="13">
        <f>+T9*V9</f>
        <v>0</v>
      </c>
    </row>
    <row r="10" spans="1:23" ht="12" customHeight="1" x14ac:dyDescent="0.25">
      <c r="A10" s="54" t="s">
        <v>185</v>
      </c>
      <c r="B10" s="111" t="s">
        <v>186</v>
      </c>
      <c r="C10" s="27" t="s">
        <v>187</v>
      </c>
      <c r="D10" s="50">
        <v>0.7</v>
      </c>
      <c r="E10" s="216"/>
      <c r="F10" s="220"/>
      <c r="G10" s="214"/>
      <c r="H10" s="215"/>
      <c r="I10" s="214"/>
      <c r="J10" s="2"/>
      <c r="K10" s="144"/>
      <c r="L10" s="144"/>
      <c r="M10" s="144"/>
      <c r="N10" s="144"/>
      <c r="O10" s="18"/>
      <c r="P10" s="350"/>
      <c r="Q10" s="24">
        <f t="shared" si="1"/>
        <v>0</v>
      </c>
      <c r="R10" s="26">
        <f t="shared" si="5"/>
        <v>0</v>
      </c>
      <c r="S10" s="26">
        <f t="shared" si="6"/>
        <v>0</v>
      </c>
      <c r="T10" s="39">
        <f>Q10/D10</f>
        <v>0</v>
      </c>
      <c r="U10" s="71"/>
      <c r="V10" s="107">
        <v>2.8</v>
      </c>
      <c r="W10" s="13">
        <f>+T10*V10</f>
        <v>0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0</v>
      </c>
      <c r="F11" s="84">
        <f t="shared" si="8"/>
        <v>0</v>
      </c>
      <c r="G11" s="84">
        <f t="shared" si="8"/>
        <v>0</v>
      </c>
      <c r="H11" s="84">
        <f t="shared" si="8"/>
        <v>0</v>
      </c>
      <c r="I11" s="84">
        <f t="shared" si="8"/>
        <v>0</v>
      </c>
      <c r="J11" s="74">
        <f t="shared" si="8"/>
        <v>0</v>
      </c>
      <c r="K11" s="101">
        <f t="shared" si="8"/>
        <v>0</v>
      </c>
      <c r="L11" s="101">
        <f t="shared" si="8"/>
        <v>0</v>
      </c>
      <c r="M11" s="101">
        <f t="shared" si="8"/>
        <v>0</v>
      </c>
      <c r="N11" s="101">
        <f t="shared" ref="N11" si="9">+SUM(N12:N17)</f>
        <v>0</v>
      </c>
      <c r="O11" s="476">
        <f t="shared" si="8"/>
        <v>0</v>
      </c>
      <c r="P11" s="74">
        <f t="shared" si="8"/>
        <v>0</v>
      </c>
      <c r="Q11" s="43">
        <f t="shared" si="8"/>
        <v>0</v>
      </c>
      <c r="R11" s="72">
        <f t="shared" si="8"/>
        <v>0</v>
      </c>
      <c r="S11" s="43">
        <f t="shared" si="8"/>
        <v>0</v>
      </c>
      <c r="T11" s="45">
        <f t="shared" si="8"/>
        <v>0</v>
      </c>
      <c r="U11" s="71"/>
      <c r="V11" s="61"/>
      <c r="W11" s="13"/>
    </row>
    <row r="12" spans="1:23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88"/>
      <c r="P12" s="164"/>
      <c r="Q12" s="24">
        <f t="shared" ref="Q12:Q17" si="10">+SUM(E12:P12)</f>
        <v>0</v>
      </c>
      <c r="R12" s="127">
        <f t="shared" si="5"/>
        <v>0</v>
      </c>
      <c r="S12" s="5">
        <f t="shared" si="6"/>
        <v>0</v>
      </c>
      <c r="T12" s="94">
        <f t="shared" ref="T12:T17" si="11">+Q12/D12</f>
        <v>0</v>
      </c>
      <c r="U12" s="71"/>
      <c r="V12" s="61"/>
      <c r="W12" s="13"/>
    </row>
    <row r="13" spans="1:23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88"/>
      <c r="P13" s="164"/>
      <c r="Q13" s="24">
        <f t="shared" si="10"/>
        <v>0</v>
      </c>
      <c r="R13" s="127">
        <f t="shared" si="5"/>
        <v>0</v>
      </c>
      <c r="S13" s="5">
        <f t="shared" si="6"/>
        <v>0</v>
      </c>
      <c r="T13" s="94">
        <f t="shared" si="11"/>
        <v>0</v>
      </c>
      <c r="U13" s="71"/>
      <c r="V13" s="107">
        <v>1.1000000000000001</v>
      </c>
      <c r="W13" s="13">
        <f t="shared" ref="W13:W14" si="12">+T13*V13</f>
        <v>0</v>
      </c>
    </row>
    <row r="14" spans="1:23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88"/>
      <c r="P14" s="164"/>
      <c r="Q14" s="24">
        <f t="shared" si="10"/>
        <v>0</v>
      </c>
      <c r="R14" s="127">
        <f t="shared" si="5"/>
        <v>0</v>
      </c>
      <c r="S14" s="5">
        <f t="shared" si="6"/>
        <v>0</v>
      </c>
      <c r="T14" s="94">
        <f t="shared" si="11"/>
        <v>0</v>
      </c>
      <c r="U14" s="71"/>
      <c r="V14" s="61">
        <v>1.76</v>
      </c>
      <c r="W14" s="13">
        <f t="shared" si="12"/>
        <v>0</v>
      </c>
    </row>
    <row r="15" spans="1:23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88"/>
      <c r="P15" s="164"/>
      <c r="Q15" s="24">
        <f t="shared" si="10"/>
        <v>0</v>
      </c>
      <c r="R15" s="127">
        <f t="shared" si="5"/>
        <v>0</v>
      </c>
      <c r="S15" s="5">
        <f t="shared" si="6"/>
        <v>0</v>
      </c>
      <c r="T15" s="94">
        <f t="shared" si="11"/>
        <v>0</v>
      </c>
      <c r="U15" s="71"/>
      <c r="V15" s="61"/>
      <c r="W15" s="13"/>
    </row>
    <row r="16" spans="1:23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88"/>
      <c r="P16" s="164"/>
      <c r="Q16" s="24">
        <f t="shared" si="10"/>
        <v>0</v>
      </c>
      <c r="R16" s="127">
        <f t="shared" si="5"/>
        <v>0</v>
      </c>
      <c r="S16" s="5">
        <f t="shared" si="6"/>
        <v>0</v>
      </c>
      <c r="T16" s="94">
        <f t="shared" si="11"/>
        <v>0</v>
      </c>
      <c r="U16" s="71"/>
      <c r="V16" s="61">
        <v>1.6</v>
      </c>
      <c r="W16" s="13">
        <f t="shared" ref="W16:W17" si="13">+T16*V16</f>
        <v>0</v>
      </c>
    </row>
    <row r="17" spans="1:24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88"/>
      <c r="P17" s="164"/>
      <c r="Q17" s="24">
        <f t="shared" si="10"/>
        <v>0</v>
      </c>
      <c r="R17" s="127">
        <f t="shared" si="5"/>
        <v>0</v>
      </c>
      <c r="S17" s="5">
        <f t="shared" si="6"/>
        <v>0</v>
      </c>
      <c r="T17" s="94">
        <f t="shared" si="11"/>
        <v>0</v>
      </c>
      <c r="U17" s="71"/>
      <c r="V17" s="61">
        <v>2.56</v>
      </c>
      <c r="W17" s="13">
        <f t="shared" si="13"/>
        <v>0</v>
      </c>
    </row>
    <row r="18" spans="1:24" ht="12" customHeight="1" x14ac:dyDescent="0.25">
      <c r="A18" s="70" t="s">
        <v>15</v>
      </c>
      <c r="B18" s="52" t="s">
        <v>33</v>
      </c>
      <c r="C18" s="9" t="s">
        <v>141</v>
      </c>
      <c r="D18" s="78"/>
      <c r="E18" s="204">
        <f>+SUM(E19:E43)</f>
        <v>139045.78292237446</v>
      </c>
      <c r="F18" s="231">
        <f t="shared" ref="F18:P18" si="14">+SUM(F19:F43)</f>
        <v>2104287.0030136798</v>
      </c>
      <c r="G18" s="231">
        <f t="shared" si="14"/>
        <v>299570.34520547948</v>
      </c>
      <c r="H18" s="231">
        <f t="shared" si="14"/>
        <v>54345.049132420078</v>
      </c>
      <c r="I18" s="231">
        <f t="shared" si="14"/>
        <v>0</v>
      </c>
      <c r="J18" s="231">
        <f t="shared" si="14"/>
        <v>0</v>
      </c>
      <c r="K18" s="231">
        <f t="shared" si="14"/>
        <v>0</v>
      </c>
      <c r="L18" s="231">
        <f t="shared" si="14"/>
        <v>0</v>
      </c>
      <c r="M18" s="231">
        <f t="shared" si="14"/>
        <v>35942.434383561631</v>
      </c>
      <c r="N18" s="231">
        <f t="shared" si="14"/>
        <v>22429.549315068492</v>
      </c>
      <c r="O18" s="477">
        <f t="shared" si="14"/>
        <v>250307.36361437989</v>
      </c>
      <c r="P18" s="478">
        <f t="shared" si="14"/>
        <v>0</v>
      </c>
      <c r="Q18" s="42">
        <f>+SUM(Q19:Q43)</f>
        <v>2905927.527586964</v>
      </c>
      <c r="R18" s="42">
        <f t="shared" ref="R18:T18" si="15">+SUM(R19:R43)</f>
        <v>2665988.5574192321</v>
      </c>
      <c r="S18" s="42">
        <f t="shared" si="15"/>
        <v>239938.97016773117</v>
      </c>
      <c r="T18" s="42">
        <f t="shared" si="15"/>
        <v>53185.03456097516</v>
      </c>
      <c r="U18" s="71"/>
      <c r="V18" s="61"/>
      <c r="W18" s="105">
        <f>+SUM(W19:W42)</f>
        <v>2358063.3469573674</v>
      </c>
    </row>
    <row r="19" spans="1:24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v>87643.33</v>
      </c>
      <c r="F19" s="127">
        <v>1236059.9999999811</v>
      </c>
      <c r="G19" s="127">
        <v>170340</v>
      </c>
      <c r="H19" s="127">
        <v>27313.333333333332</v>
      </c>
      <c r="I19" s="127"/>
      <c r="J19" s="127"/>
      <c r="K19" s="127"/>
      <c r="L19" s="127"/>
      <c r="M19" s="127">
        <v>21863.333333333328</v>
      </c>
      <c r="N19" s="127">
        <v>13353.333333333334</v>
      </c>
      <c r="O19" s="188">
        <v>124083.33700500488</v>
      </c>
      <c r="P19" s="164"/>
      <c r="Q19" s="24">
        <f t="shared" ref="Q19:Q43" si="16">+SUM(E19:P19)</f>
        <v>1680656.667004986</v>
      </c>
      <c r="R19" s="127">
        <f t="shared" si="5"/>
        <v>1541886.8504632898</v>
      </c>
      <c r="S19" s="24">
        <f>+Q19-R19</f>
        <v>138769.8165416962</v>
      </c>
      <c r="T19" s="94">
        <f t="shared" ref="T19:T43" si="17">+Q19/D19</f>
        <v>16806.566670049859</v>
      </c>
      <c r="U19" s="71"/>
      <c r="V19" s="61"/>
      <c r="W19" s="106"/>
      <c r="X19" s="2"/>
    </row>
    <row r="20" spans="1:24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v>14503.333333333336</v>
      </c>
      <c r="F20" s="127">
        <v>334215.00000000058</v>
      </c>
      <c r="G20" s="127">
        <v>48333.333333333343</v>
      </c>
      <c r="H20" s="127">
        <v>10460</v>
      </c>
      <c r="I20" s="127"/>
      <c r="J20" s="127"/>
      <c r="K20" s="127"/>
      <c r="L20" s="127"/>
      <c r="M20" s="127">
        <v>7831.6666666666661</v>
      </c>
      <c r="N20" s="127">
        <v>168.33333333333331</v>
      </c>
      <c r="O20" s="188">
        <v>6731.66683303833</v>
      </c>
      <c r="P20" s="164"/>
      <c r="Q20" s="24">
        <f>+SUM(E20:P20)</f>
        <v>422243.33349970554</v>
      </c>
      <c r="R20" s="127">
        <f t="shared" si="5"/>
        <v>387379.20504560135</v>
      </c>
      <c r="S20" s="5">
        <f t="shared" ref="S20:S43" si="18">+Q20-R20</f>
        <v>34864.128454104182</v>
      </c>
      <c r="T20" s="94">
        <f t="shared" si="17"/>
        <v>8444.8666699941114</v>
      </c>
      <c r="U20" s="71"/>
      <c r="V20" s="61">
        <v>50</v>
      </c>
      <c r="W20" s="13">
        <f t="shared" ref="W20:W21" si="19">+T20*V20</f>
        <v>422243.33349970559</v>
      </c>
      <c r="X20" s="2"/>
    </row>
    <row r="21" spans="1:24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v>20932</v>
      </c>
      <c r="F21" s="127">
        <v>316261.33</v>
      </c>
      <c r="G21" s="127">
        <v>50012</v>
      </c>
      <c r="H21" s="127">
        <v>4921.333333333333</v>
      </c>
      <c r="I21" s="17"/>
      <c r="J21" s="127"/>
      <c r="K21" s="127"/>
      <c r="L21" s="127"/>
      <c r="M21" s="127">
        <v>3120.67</v>
      </c>
      <c r="N21" s="127">
        <v>4566</v>
      </c>
      <c r="O21" s="188">
        <v>37230.666683303803</v>
      </c>
      <c r="P21" s="164"/>
      <c r="Q21" s="24">
        <f>+SUM(E21:P21)</f>
        <v>437044.00001663715</v>
      </c>
      <c r="R21" s="127">
        <f t="shared" si="5"/>
        <v>400957.79818040103</v>
      </c>
      <c r="S21" s="5">
        <f t="shared" si="18"/>
        <v>36086.201836236112</v>
      </c>
      <c r="T21" s="94">
        <f t="shared" si="17"/>
        <v>21852.200000831857</v>
      </c>
      <c r="U21" s="71"/>
      <c r="V21" s="61">
        <v>80</v>
      </c>
      <c r="W21" s="13">
        <f t="shared" si="19"/>
        <v>1748176.0000665486</v>
      </c>
      <c r="X21" s="2"/>
    </row>
    <row r="22" spans="1:24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v>13221</v>
      </c>
      <c r="F22" s="127">
        <v>166590</v>
      </c>
      <c r="G22" s="127">
        <v>24537</v>
      </c>
      <c r="H22" s="127">
        <v>5496</v>
      </c>
      <c r="I22" s="96"/>
      <c r="J22" s="127"/>
      <c r="K22" s="127"/>
      <c r="L22" s="127"/>
      <c r="M22" s="127">
        <v>2343</v>
      </c>
      <c r="N22" s="127">
        <v>2757</v>
      </c>
      <c r="O22" s="188">
        <v>52293</v>
      </c>
      <c r="P22" s="164"/>
      <c r="Q22" s="24">
        <f t="shared" si="16"/>
        <v>267237</v>
      </c>
      <c r="R22" s="127">
        <f t="shared" si="5"/>
        <v>245171.5596330275</v>
      </c>
      <c r="S22" s="5">
        <f t="shared" si="18"/>
        <v>22065.4403669725</v>
      </c>
      <c r="T22" s="94">
        <f t="shared" si="17"/>
        <v>2969.3</v>
      </c>
      <c r="U22" s="71"/>
      <c r="V22" s="61"/>
      <c r="W22" s="13"/>
      <c r="X22" s="2"/>
    </row>
    <row r="23" spans="1:24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386">
        <v>468</v>
      </c>
      <c r="F23" s="127">
        <v>9690</v>
      </c>
      <c r="G23" s="127">
        <v>1320</v>
      </c>
      <c r="H23" s="127">
        <v>409.5</v>
      </c>
      <c r="I23" s="127"/>
      <c r="J23" s="127"/>
      <c r="K23" s="127"/>
      <c r="L23" s="127"/>
      <c r="M23" s="127">
        <v>87</v>
      </c>
      <c r="N23" s="127">
        <v>58.5</v>
      </c>
      <c r="O23" s="188">
        <v>2083.5</v>
      </c>
      <c r="P23" s="164"/>
      <c r="Q23" s="24">
        <f t="shared" si="16"/>
        <v>14116.5</v>
      </c>
      <c r="R23" s="127">
        <f t="shared" si="5"/>
        <v>12950.91743119266</v>
      </c>
      <c r="S23" s="5">
        <f t="shared" si="18"/>
        <v>1165.5825688073401</v>
      </c>
      <c r="T23" s="94">
        <f t="shared" si="17"/>
        <v>313.7</v>
      </c>
      <c r="U23" s="71"/>
      <c r="V23" s="61">
        <v>45</v>
      </c>
      <c r="W23" s="13">
        <f t="shared" ref="W23:W24" si="20">+T23*V23</f>
        <v>14116.5</v>
      </c>
      <c r="X23" s="2"/>
    </row>
    <row r="24" spans="1:24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v>673.2</v>
      </c>
      <c r="F24" s="127">
        <v>5719.2</v>
      </c>
      <c r="G24" s="127">
        <v>808.2</v>
      </c>
      <c r="H24" s="127">
        <v>201.00000000000003</v>
      </c>
      <c r="I24" s="127"/>
      <c r="J24" s="127"/>
      <c r="K24" s="127"/>
      <c r="L24" s="127"/>
      <c r="M24" s="127">
        <v>54.6</v>
      </c>
      <c r="N24" s="127">
        <v>229.19999999999996</v>
      </c>
      <c r="O24" s="188">
        <v>2475.6</v>
      </c>
      <c r="P24" s="164"/>
      <c r="Q24" s="24">
        <f t="shared" si="16"/>
        <v>10161</v>
      </c>
      <c r="R24" s="127">
        <f t="shared" si="5"/>
        <v>9322.0183486238529</v>
      </c>
      <c r="S24" s="5">
        <f t="shared" si="18"/>
        <v>838.98165137614706</v>
      </c>
      <c r="T24" s="94">
        <f t="shared" si="17"/>
        <v>564.5</v>
      </c>
      <c r="U24" s="71"/>
      <c r="V24" s="61">
        <v>72</v>
      </c>
      <c r="W24" s="13">
        <f t="shared" si="20"/>
        <v>40644</v>
      </c>
      <c r="X24" s="2"/>
    </row>
    <row r="25" spans="1:24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v>136.66666666666663</v>
      </c>
      <c r="F25" s="127">
        <v>4133.333333333333</v>
      </c>
      <c r="G25" s="127">
        <v>93.3333333333333</v>
      </c>
      <c r="H25" s="127">
        <f>103.333333333333+43.33+203.33</f>
        <v>349.993333333333</v>
      </c>
      <c r="I25" s="127"/>
      <c r="J25" s="127"/>
      <c r="K25" s="127"/>
      <c r="L25" s="127"/>
      <c r="M25" s="127"/>
      <c r="N25" s="127">
        <v>413.33333333333331</v>
      </c>
      <c r="O25" s="188">
        <v>6313.333653564453</v>
      </c>
      <c r="P25" s="164"/>
      <c r="Q25" s="24">
        <f t="shared" si="16"/>
        <v>11439.993653564452</v>
      </c>
      <c r="R25" s="127">
        <f t="shared" si="5"/>
        <v>10495.407021618763</v>
      </c>
      <c r="S25" s="5">
        <f t="shared" si="18"/>
        <v>944.58663194568908</v>
      </c>
      <c r="T25" s="94">
        <f t="shared" si="17"/>
        <v>38.133312178548174</v>
      </c>
      <c r="U25" s="71"/>
      <c r="V25" s="61"/>
      <c r="W25" s="13"/>
      <c r="X25" s="2"/>
    </row>
    <row r="26" spans="1:24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/>
      <c r="F26" s="127">
        <v>3934.9999999999986</v>
      </c>
      <c r="G26" s="127">
        <v>374.99999999999994</v>
      </c>
      <c r="H26" s="127">
        <f>465+101.67+51.67</f>
        <v>618.33999999999992</v>
      </c>
      <c r="I26" s="127"/>
      <c r="J26" s="127"/>
      <c r="K26" s="127"/>
      <c r="L26" s="127"/>
      <c r="M26" s="127">
        <v>196.66666666666663</v>
      </c>
      <c r="N26" s="127">
        <v>0</v>
      </c>
      <c r="O26" s="188">
        <v>796.66671142578127</v>
      </c>
      <c r="P26" s="164"/>
      <c r="Q26" s="24">
        <f t="shared" si="16"/>
        <v>5921.6733780924469</v>
      </c>
      <c r="R26" s="127">
        <f t="shared" si="5"/>
        <v>5432.7278698095843</v>
      </c>
      <c r="S26" s="5">
        <f t="shared" si="18"/>
        <v>488.94550828286265</v>
      </c>
      <c r="T26" s="94">
        <f t="shared" si="17"/>
        <v>39.477822520616314</v>
      </c>
      <c r="U26" s="71"/>
      <c r="V26" s="61">
        <v>150</v>
      </c>
      <c r="W26" s="13">
        <f t="shared" ref="W26:W42" si="21">+T26*V26</f>
        <v>5921.6733780924469</v>
      </c>
      <c r="X26" s="2"/>
    </row>
    <row r="27" spans="1:24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v>498.67</v>
      </c>
      <c r="F27" s="127">
        <v>8434.67</v>
      </c>
      <c r="G27" s="127">
        <v>1237.3333333333301</v>
      </c>
      <c r="H27" s="127">
        <f>186+336+387.33</f>
        <v>909.32999999999993</v>
      </c>
      <c r="I27" s="127"/>
      <c r="J27" s="127"/>
      <c r="K27" s="127"/>
      <c r="L27" s="127"/>
      <c r="M27" s="127">
        <v>277.33</v>
      </c>
      <c r="N27" s="127">
        <v>477.33333333333337</v>
      </c>
      <c r="O27" s="188">
        <v>7598</v>
      </c>
      <c r="P27" s="164"/>
      <c r="Q27" s="24">
        <f t="shared" si="16"/>
        <v>19432.666666666664</v>
      </c>
      <c r="R27" s="127">
        <f t="shared" si="5"/>
        <v>17828.134556574922</v>
      </c>
      <c r="S27" s="5">
        <f t="shared" si="18"/>
        <v>1604.5321100917427</v>
      </c>
      <c r="T27" s="94">
        <f t="shared" si="17"/>
        <v>323.87777777777774</v>
      </c>
      <c r="U27" s="71"/>
      <c r="V27" s="61">
        <v>240</v>
      </c>
      <c r="W27" s="13">
        <f t="shared" si="21"/>
        <v>77730.666666666657</v>
      </c>
      <c r="X27" s="2"/>
    </row>
    <row r="28" spans="1:24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7">
        <v>186</v>
      </c>
      <c r="F28" s="127">
        <v>972</v>
      </c>
      <c r="G28" s="127">
        <v>81</v>
      </c>
      <c r="H28" s="127">
        <f>93+93</f>
        <v>186</v>
      </c>
      <c r="I28" s="127"/>
      <c r="J28" s="127"/>
      <c r="K28" s="127"/>
      <c r="L28" s="127"/>
      <c r="M28" s="127"/>
      <c r="N28" s="127">
        <v>93</v>
      </c>
      <c r="O28" s="188">
        <v>2730</v>
      </c>
      <c r="P28" s="164"/>
      <c r="Q28" s="24">
        <f t="shared" si="16"/>
        <v>4248</v>
      </c>
      <c r="R28" s="127">
        <f t="shared" si="5"/>
        <v>3897.2477064220179</v>
      </c>
      <c r="S28" s="5">
        <f t="shared" si="18"/>
        <v>350.75229357798207</v>
      </c>
      <c r="T28" s="94">
        <f t="shared" si="17"/>
        <v>15.733333333333333</v>
      </c>
      <c r="U28" s="71"/>
      <c r="V28" s="61"/>
      <c r="W28" s="13"/>
      <c r="X28" s="2"/>
    </row>
    <row r="29" spans="1:24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7">
        <v>30</v>
      </c>
      <c r="F29" s="127">
        <v>84</v>
      </c>
      <c r="G29" s="127">
        <v>0</v>
      </c>
      <c r="H29" s="127">
        <v>1.5</v>
      </c>
      <c r="I29" s="127"/>
      <c r="J29" s="127"/>
      <c r="K29" s="127"/>
      <c r="L29" s="127"/>
      <c r="M29" s="127"/>
      <c r="N29" s="127">
        <v>0</v>
      </c>
      <c r="O29" s="188">
        <v>46.5</v>
      </c>
      <c r="P29" s="164"/>
      <c r="Q29" s="24">
        <f t="shared" si="16"/>
        <v>162</v>
      </c>
      <c r="R29" s="127">
        <f t="shared" si="5"/>
        <v>148.62385321100916</v>
      </c>
      <c r="S29" s="5">
        <f t="shared" si="18"/>
        <v>13.376146788990837</v>
      </c>
      <c r="T29" s="94">
        <f t="shared" si="17"/>
        <v>1.2</v>
      </c>
      <c r="U29" s="71"/>
      <c r="V29" s="61">
        <v>135</v>
      </c>
      <c r="W29" s="13">
        <f t="shared" si="21"/>
        <v>162</v>
      </c>
      <c r="X29" s="2"/>
    </row>
    <row r="30" spans="1:24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7">
        <v>74.400000000000006</v>
      </c>
      <c r="F30" s="127">
        <v>166.8</v>
      </c>
      <c r="G30" s="127">
        <v>37.200000000000003</v>
      </c>
      <c r="H30" s="127">
        <f>37.2+0.6+36.6</f>
        <v>74.400000000000006</v>
      </c>
      <c r="I30" s="127"/>
      <c r="J30" s="127"/>
      <c r="K30" s="127"/>
      <c r="L30" s="127"/>
      <c r="M30" s="127"/>
      <c r="N30" s="127">
        <v>75</v>
      </c>
      <c r="O30" s="188">
        <f>1007.4-7.8</f>
        <v>999.6</v>
      </c>
      <c r="P30" s="164"/>
      <c r="Q30" s="24">
        <f t="shared" si="16"/>
        <v>1427.4</v>
      </c>
      <c r="R30" s="127">
        <f t="shared" si="5"/>
        <v>1309.5412844036698</v>
      </c>
      <c r="S30" s="5">
        <f t="shared" si="18"/>
        <v>117.85871559633028</v>
      </c>
      <c r="T30" s="94">
        <f t="shared" si="17"/>
        <v>26.433333333333334</v>
      </c>
      <c r="U30" s="71"/>
      <c r="V30" s="61">
        <v>216</v>
      </c>
      <c r="W30" s="13">
        <f t="shared" si="21"/>
        <v>5709.6</v>
      </c>
      <c r="X30" s="2"/>
    </row>
    <row r="31" spans="1:24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v>103.33333333333331</v>
      </c>
      <c r="F31" s="127">
        <v>513.33333333333326</v>
      </c>
      <c r="G31" s="127">
        <v>103.33333333333331</v>
      </c>
      <c r="H31" s="127">
        <f>103.333333333333+103.33</f>
        <v>206.66333333333301</v>
      </c>
      <c r="I31" s="127"/>
      <c r="J31" s="127"/>
      <c r="K31" s="127"/>
      <c r="L31" s="127"/>
      <c r="M31" s="127"/>
      <c r="N31" s="127">
        <v>0</v>
      </c>
      <c r="O31" s="188">
        <v>206.66667968749999</v>
      </c>
      <c r="P31" s="164"/>
      <c r="Q31" s="24">
        <f t="shared" si="16"/>
        <v>1133.3300130208327</v>
      </c>
      <c r="R31" s="127">
        <f t="shared" si="5"/>
        <v>1039.7523055236995</v>
      </c>
      <c r="S31" s="5">
        <f t="shared" si="18"/>
        <v>93.577707497133133</v>
      </c>
      <c r="T31" s="94">
        <f t="shared" si="17"/>
        <v>1.888883355034721</v>
      </c>
      <c r="U31" s="71"/>
      <c r="V31" s="61"/>
      <c r="W31" s="13"/>
      <c r="X31" s="2"/>
    </row>
    <row r="32" spans="1:24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/>
      <c r="F32" s="127">
        <v>358.33333333333326</v>
      </c>
      <c r="G32" s="127">
        <v>139.99999999999997</v>
      </c>
      <c r="H32" s="127">
        <f>51.6666666666667+51.67+51.67</f>
        <v>155.00666666666672</v>
      </c>
      <c r="I32" s="127"/>
      <c r="J32" s="127"/>
      <c r="K32" s="127"/>
      <c r="L32" s="127"/>
      <c r="M32" s="127"/>
      <c r="N32" s="127">
        <v>0</v>
      </c>
      <c r="O32" s="188">
        <v>206.66667968749999</v>
      </c>
      <c r="P32" s="164"/>
      <c r="Q32" s="24">
        <f t="shared" si="16"/>
        <v>860.00667968749985</v>
      </c>
      <c r="R32" s="127">
        <f t="shared" si="5"/>
        <v>788.99695384174288</v>
      </c>
      <c r="S32" s="5">
        <f t="shared" si="18"/>
        <v>71.009725845756975</v>
      </c>
      <c r="T32" s="94">
        <f t="shared" si="17"/>
        <v>2.866688932291666</v>
      </c>
      <c r="U32" s="71"/>
      <c r="V32" s="61">
        <v>300</v>
      </c>
      <c r="W32" s="13">
        <f t="shared" si="21"/>
        <v>860.00667968749985</v>
      </c>
      <c r="X32" s="2"/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v>182.67</v>
      </c>
      <c r="F33" s="127">
        <v>1438.67</v>
      </c>
      <c r="G33" s="127">
        <v>162.66666666666669</v>
      </c>
      <c r="H33" s="127">
        <f>20.6666666666667+20.67+41.33+41.33</f>
        <v>123.9966666666667</v>
      </c>
      <c r="I33" s="127"/>
      <c r="J33" s="127"/>
      <c r="K33" s="127"/>
      <c r="L33" s="127"/>
      <c r="M33" s="127">
        <v>41.333333333333343</v>
      </c>
      <c r="N33" s="127">
        <v>82.666666666666671</v>
      </c>
      <c r="O33" s="188">
        <v>2134</v>
      </c>
      <c r="P33" s="164"/>
      <c r="Q33" s="24">
        <f t="shared" si="16"/>
        <v>4166.003333333334</v>
      </c>
      <c r="R33" s="127">
        <f t="shared" si="5"/>
        <v>3822.0214067278289</v>
      </c>
      <c r="S33" s="5">
        <f t="shared" si="18"/>
        <v>343.98192660550512</v>
      </c>
      <c r="T33" s="94">
        <f t="shared" si="17"/>
        <v>34.71669444444445</v>
      </c>
      <c r="U33" s="71"/>
      <c r="V33" s="61">
        <v>480</v>
      </c>
      <c r="W33" s="13">
        <f t="shared" si="21"/>
        <v>16664.013333333336</v>
      </c>
      <c r="X33" s="2"/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/>
      <c r="F34" s="127">
        <v>0</v>
      </c>
      <c r="G34" s="127"/>
      <c r="H34" s="127"/>
      <c r="I34" s="127"/>
      <c r="J34" s="127"/>
      <c r="K34" s="127"/>
      <c r="L34" s="127"/>
      <c r="M34" s="127"/>
      <c r="N34" s="127">
        <v>0</v>
      </c>
      <c r="O34" s="188">
        <v>930</v>
      </c>
      <c r="P34" s="164"/>
      <c r="Q34" s="24">
        <f t="shared" si="16"/>
        <v>930</v>
      </c>
      <c r="R34" s="127">
        <f t="shared" si="5"/>
        <v>853.21100917431181</v>
      </c>
      <c r="S34" s="5">
        <f t="shared" si="18"/>
        <v>76.788990825688188</v>
      </c>
      <c r="T34" s="94">
        <f t="shared" si="17"/>
        <v>1.7222222222222223</v>
      </c>
      <c r="U34" s="71"/>
      <c r="V34" s="61"/>
      <c r="W34" s="13"/>
      <c r="X34" s="2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/>
      <c r="F35" s="127">
        <v>0</v>
      </c>
      <c r="G35" s="127"/>
      <c r="H35" s="127"/>
      <c r="I35" s="127"/>
      <c r="J35" s="127"/>
      <c r="K35" s="127"/>
      <c r="L35" s="127"/>
      <c r="M35" s="127"/>
      <c r="N35" s="127">
        <v>0</v>
      </c>
      <c r="O35" s="188"/>
      <c r="P35" s="164"/>
      <c r="Q35" s="24">
        <f t="shared" si="16"/>
        <v>0</v>
      </c>
      <c r="R35" s="127">
        <f t="shared" si="5"/>
        <v>0</v>
      </c>
      <c r="S35" s="5">
        <f t="shared" si="18"/>
        <v>0</v>
      </c>
      <c r="T35" s="94">
        <f t="shared" si="17"/>
        <v>0</v>
      </c>
      <c r="U35" s="71"/>
      <c r="V35" s="61">
        <v>270</v>
      </c>
      <c r="W35" s="13">
        <f t="shared" si="21"/>
        <v>0</v>
      </c>
      <c r="X35" s="2"/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v>74.400000000000006</v>
      </c>
      <c r="F36" s="127">
        <v>74.400000000000006</v>
      </c>
      <c r="G36" s="127"/>
      <c r="H36" s="127">
        <v>18.600000000000001</v>
      </c>
      <c r="I36" s="127"/>
      <c r="J36" s="127"/>
      <c r="K36" s="127"/>
      <c r="L36" s="127"/>
      <c r="M36" s="127"/>
      <c r="N36" s="127">
        <v>18.600000000000001</v>
      </c>
      <c r="O36" s="188">
        <v>111.6</v>
      </c>
      <c r="P36" s="164"/>
      <c r="Q36" s="24">
        <f t="shared" si="16"/>
        <v>297.60000000000002</v>
      </c>
      <c r="R36" s="127">
        <f t="shared" si="5"/>
        <v>273.02752293577981</v>
      </c>
      <c r="S36" s="5">
        <f t="shared" si="18"/>
        <v>24.572477064220209</v>
      </c>
      <c r="T36" s="94">
        <f t="shared" si="17"/>
        <v>2.755555555555556</v>
      </c>
      <c r="U36" s="71"/>
      <c r="V36" s="61">
        <v>432</v>
      </c>
      <c r="W36" s="13">
        <f t="shared" si="21"/>
        <v>1190.4000000000001</v>
      </c>
      <c r="X36" s="2"/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/>
      <c r="F37" s="127">
        <v>206.66666666666663</v>
      </c>
      <c r="G37" s="127"/>
      <c r="H37" s="127">
        <v>206.67</v>
      </c>
      <c r="I37" s="127"/>
      <c r="J37" s="127"/>
      <c r="K37" s="127"/>
      <c r="L37" s="127"/>
      <c r="M37" s="127"/>
      <c r="N37" s="127">
        <v>0</v>
      </c>
      <c r="O37" s="188">
        <v>103.33333984375</v>
      </c>
      <c r="P37" s="164"/>
      <c r="Q37" s="24">
        <f t="shared" si="16"/>
        <v>516.67000651041656</v>
      </c>
      <c r="R37" s="127">
        <f t="shared" si="5"/>
        <v>474.00918028478577</v>
      </c>
      <c r="S37" s="5">
        <f t="shared" si="18"/>
        <v>42.660826225630785</v>
      </c>
      <c r="T37" s="94">
        <f t="shared" si="17"/>
        <v>0.57407778501157392</v>
      </c>
      <c r="U37" s="71"/>
      <c r="V37" s="61"/>
      <c r="W37" s="13"/>
      <c r="X37" s="2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/>
      <c r="F38" s="127">
        <v>258.33333333333326</v>
      </c>
      <c r="G38" s="127"/>
      <c r="H38" s="127"/>
      <c r="I38" s="127"/>
      <c r="J38" s="127"/>
      <c r="K38" s="127"/>
      <c r="L38" s="127"/>
      <c r="M38" s="127"/>
      <c r="N38" s="127">
        <v>0</v>
      </c>
      <c r="O38" s="188"/>
      <c r="P38" s="164"/>
      <c r="Q38" s="24">
        <f t="shared" si="16"/>
        <v>258.33333333333326</v>
      </c>
      <c r="R38" s="127">
        <f t="shared" si="5"/>
        <v>237.00305810397546</v>
      </c>
      <c r="S38" s="5">
        <f t="shared" si="18"/>
        <v>21.330275229357795</v>
      </c>
      <c r="T38" s="94">
        <f t="shared" si="17"/>
        <v>0.57407407407407396</v>
      </c>
      <c r="U38" s="71"/>
      <c r="V38" s="61">
        <v>450</v>
      </c>
      <c r="W38" s="13">
        <f t="shared" si="21"/>
        <v>258.33333333333326</v>
      </c>
      <c r="X38" s="2"/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v>144.66999999999999</v>
      </c>
      <c r="F39" s="127">
        <v>2252.67</v>
      </c>
      <c r="G39" s="127">
        <v>310</v>
      </c>
      <c r="H39" s="127">
        <f>20.67+20.67+41.33+144.67+41.33</f>
        <v>268.66999999999996</v>
      </c>
      <c r="I39" s="127"/>
      <c r="J39" s="127"/>
      <c r="K39" s="127"/>
      <c r="L39" s="127"/>
      <c r="M39" s="127">
        <v>82.67</v>
      </c>
      <c r="N39" s="127">
        <v>62</v>
      </c>
      <c r="O39" s="188">
        <v>2332</v>
      </c>
      <c r="P39" s="164"/>
      <c r="Q39" s="24">
        <f t="shared" si="16"/>
        <v>5452.68</v>
      </c>
      <c r="R39" s="127">
        <f t="shared" si="5"/>
        <v>5002.45871559633</v>
      </c>
      <c r="S39" s="5">
        <f t="shared" si="18"/>
        <v>450.22128440367032</v>
      </c>
      <c r="T39" s="94">
        <f t="shared" si="17"/>
        <v>30.292666666666669</v>
      </c>
      <c r="U39" s="71"/>
      <c r="V39" s="61">
        <v>720</v>
      </c>
      <c r="W39" s="13">
        <f t="shared" si="21"/>
        <v>21810.720000000001</v>
      </c>
      <c r="X39" s="2"/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/>
      <c r="F40" s="127"/>
      <c r="G40" s="127"/>
      <c r="H40" s="127"/>
      <c r="I40" s="127"/>
      <c r="J40" s="127"/>
      <c r="K40" s="127"/>
      <c r="L40" s="127"/>
      <c r="M40" s="127"/>
      <c r="N40" s="127">
        <v>0</v>
      </c>
      <c r="O40" s="188">
        <v>453</v>
      </c>
      <c r="P40" s="164"/>
      <c r="Q40" s="24">
        <f t="shared" si="16"/>
        <v>453</v>
      </c>
      <c r="R40" s="127">
        <f t="shared" si="5"/>
        <v>415.59633027522932</v>
      </c>
      <c r="S40" s="5">
        <f t="shared" si="18"/>
        <v>37.40366972477068</v>
      </c>
      <c r="T40" s="94">
        <f t="shared" si="17"/>
        <v>0.55925925925925923</v>
      </c>
      <c r="U40" s="71"/>
      <c r="V40" s="61"/>
      <c r="W40" s="13"/>
      <c r="X40" s="2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/>
      <c r="F41" s="127"/>
      <c r="G41" s="127"/>
      <c r="H41" s="127"/>
      <c r="I41" s="127"/>
      <c r="J41" s="127"/>
      <c r="K41" s="127"/>
      <c r="L41" s="127"/>
      <c r="M41" s="127"/>
      <c r="N41" s="127">
        <v>0</v>
      </c>
      <c r="O41" s="188">
        <v>46.5</v>
      </c>
      <c r="P41" s="164"/>
      <c r="Q41" s="24">
        <f t="shared" si="16"/>
        <v>46.5</v>
      </c>
      <c r="R41" s="127">
        <f t="shared" si="5"/>
        <v>42.660550458715591</v>
      </c>
      <c r="S41" s="5">
        <f t="shared" si="18"/>
        <v>3.8394495412844094</v>
      </c>
      <c r="T41" s="94">
        <f t="shared" si="17"/>
        <v>0.11481481481481481</v>
      </c>
      <c r="U41" s="71"/>
      <c r="V41" s="61">
        <v>405</v>
      </c>
      <c r="W41" s="13">
        <f t="shared" si="21"/>
        <v>46.5</v>
      </c>
      <c r="X41" s="2"/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21"/>
      <c r="F42" s="221">
        <v>167.4</v>
      </c>
      <c r="G42" s="221"/>
      <c r="H42" s="221">
        <v>18.600000000000001</v>
      </c>
      <c r="I42" s="221"/>
      <c r="J42" s="221"/>
      <c r="K42" s="221"/>
      <c r="L42" s="221"/>
      <c r="M42" s="221"/>
      <c r="N42" s="221">
        <v>74.400000000000006</v>
      </c>
      <c r="O42" s="480">
        <v>372</v>
      </c>
      <c r="P42" s="351"/>
      <c r="Q42" s="24">
        <f t="shared" si="16"/>
        <v>632.4</v>
      </c>
      <c r="R42" s="221">
        <f t="shared" si="5"/>
        <v>580.18348623853205</v>
      </c>
      <c r="S42" s="26">
        <f t="shared" si="18"/>
        <v>52.216513761467922</v>
      </c>
      <c r="T42" s="244">
        <f t="shared" si="17"/>
        <v>3.9037037037037035</v>
      </c>
      <c r="U42" s="71"/>
      <c r="V42" s="61">
        <v>648</v>
      </c>
      <c r="W42" s="13">
        <f t="shared" si="21"/>
        <v>2529.6</v>
      </c>
      <c r="X42" s="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174.10958904109597</v>
      </c>
      <c r="F43" s="124">
        <v>12755.863013698365</v>
      </c>
      <c r="G43" s="124">
        <v>1679.9452054794506</v>
      </c>
      <c r="H43" s="124">
        <f>71.3424657534244+1417.51+262.44+169.01+114.66+73.04+67.1+61.15+46.71+62.85+60.3</f>
        <v>2406.1124657534247</v>
      </c>
      <c r="I43" s="124"/>
      <c r="J43" s="124"/>
      <c r="K43" s="124"/>
      <c r="L43" s="124"/>
      <c r="M43" s="124">
        <v>44.164383561643824</v>
      </c>
      <c r="N43" s="124">
        <v>0.84931506849315075</v>
      </c>
      <c r="O43" s="148">
        <v>29.726028823852538</v>
      </c>
      <c r="P43" s="352"/>
      <c r="Q43" s="24">
        <f t="shared" si="16"/>
        <v>17090.770001426328</v>
      </c>
      <c r="R43" s="124">
        <f t="shared" si="5"/>
        <v>15679.605505895714</v>
      </c>
      <c r="S43" s="6">
        <f t="shared" si="18"/>
        <v>1411.1644955306147</v>
      </c>
      <c r="T43" s="22">
        <f t="shared" si="17"/>
        <v>1709.0770001426329</v>
      </c>
      <c r="U43" s="71"/>
      <c r="V43" s="61"/>
      <c r="W43" s="13"/>
      <c r="X43" s="2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420.97999999999996</v>
      </c>
      <c r="F44" s="82">
        <f>+SUM(F45:F53)</f>
        <v>7509.04</v>
      </c>
      <c r="G44" s="82">
        <f t="shared" ref="G44:T44" si="22">+SUM(G45:G53)</f>
        <v>944.36999999999989</v>
      </c>
      <c r="H44" s="82">
        <f t="shared" si="22"/>
        <v>274.04999999999995</v>
      </c>
      <c r="I44" s="82">
        <f t="shared" si="22"/>
        <v>0</v>
      </c>
      <c r="J44" s="82">
        <f t="shared" si="22"/>
        <v>0</v>
      </c>
      <c r="K44" s="82">
        <f t="shared" si="22"/>
        <v>0</v>
      </c>
      <c r="L44" s="82">
        <f t="shared" si="22"/>
        <v>0</v>
      </c>
      <c r="M44" s="100">
        <f t="shared" si="22"/>
        <v>72.739999999999995</v>
      </c>
      <c r="N44" s="100">
        <f t="shared" si="22"/>
        <v>59.040000000000006</v>
      </c>
      <c r="O44" s="481">
        <f t="shared" si="22"/>
        <v>1088.8899999999999</v>
      </c>
      <c r="P44" s="100">
        <f t="shared" si="22"/>
        <v>0</v>
      </c>
      <c r="Q44" s="42">
        <f t="shared" si="22"/>
        <v>10369.11</v>
      </c>
      <c r="R44" s="82">
        <f t="shared" si="22"/>
        <v>9512.9449541284412</v>
      </c>
      <c r="S44" s="77">
        <f t="shared" si="22"/>
        <v>856.1650458715601</v>
      </c>
      <c r="T44" s="44">
        <f t="shared" si="22"/>
        <v>410.53333333333336</v>
      </c>
      <c r="U44" s="71"/>
      <c r="V44" s="61"/>
      <c r="W44" s="105">
        <f>+SUM(W45:W61)</f>
        <v>5256.09</v>
      </c>
      <c r="X44" s="2"/>
    </row>
    <row r="45" spans="1:25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88"/>
      <c r="P45" s="164"/>
      <c r="Q45" s="24">
        <f t="shared" ref="Q45:Q53" si="23">+SUM(E45:P45)</f>
        <v>0</v>
      </c>
      <c r="R45" s="127">
        <f t="shared" si="5"/>
        <v>0</v>
      </c>
      <c r="S45" s="24">
        <f t="shared" ref="S45:S53" si="24">+Q45-R45</f>
        <v>0</v>
      </c>
      <c r="T45" s="94">
        <f t="shared" ref="T45:T53" si="25">+Q45/D45</f>
        <v>0</v>
      </c>
      <c r="U45" s="71"/>
      <c r="V45" s="61"/>
      <c r="W45" s="13"/>
      <c r="X45" s="2"/>
      <c r="Y45" s="11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88"/>
      <c r="P46" s="164"/>
      <c r="Q46" s="24">
        <f t="shared" si="23"/>
        <v>0</v>
      </c>
      <c r="R46" s="127">
        <f t="shared" si="5"/>
        <v>0</v>
      </c>
      <c r="S46" s="5">
        <f t="shared" si="24"/>
        <v>0</v>
      </c>
      <c r="T46" s="94">
        <f t="shared" si="25"/>
        <v>0</v>
      </c>
      <c r="U46" s="71"/>
      <c r="V46" s="61">
        <v>6</v>
      </c>
      <c r="W46" s="13">
        <f t="shared" ref="W46:W47" si="26">+T46*V46</f>
        <v>0</v>
      </c>
      <c r="X46" s="2"/>
      <c r="Y46" s="11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88"/>
      <c r="P47" s="164"/>
      <c r="Q47" s="24">
        <f t="shared" si="23"/>
        <v>0</v>
      </c>
      <c r="R47" s="127">
        <f t="shared" si="5"/>
        <v>0</v>
      </c>
      <c r="S47" s="5">
        <f t="shared" si="24"/>
        <v>0</v>
      </c>
      <c r="T47" s="94">
        <f t="shared" si="25"/>
        <v>0</v>
      </c>
      <c r="U47" s="71"/>
      <c r="V47" s="61">
        <v>9.6</v>
      </c>
      <c r="W47" s="13">
        <f t="shared" si="26"/>
        <v>0</v>
      </c>
      <c r="X47" s="2"/>
      <c r="Y47" s="11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v>14</v>
      </c>
      <c r="F48" s="127">
        <v>259</v>
      </c>
      <c r="G48" s="127">
        <v>42</v>
      </c>
      <c r="H48" s="127"/>
      <c r="I48" s="127"/>
      <c r="J48" s="127"/>
      <c r="K48" s="127"/>
      <c r="L48" s="127"/>
      <c r="M48" s="127"/>
      <c r="N48" s="127"/>
      <c r="O48" s="188"/>
      <c r="P48" s="164"/>
      <c r="Q48" s="24">
        <f t="shared" si="23"/>
        <v>315</v>
      </c>
      <c r="R48" s="127">
        <f t="shared" si="5"/>
        <v>288.99082568807336</v>
      </c>
      <c r="S48" s="5">
        <f t="shared" si="24"/>
        <v>26.009174311926643</v>
      </c>
      <c r="T48" s="94">
        <f t="shared" si="25"/>
        <v>15</v>
      </c>
      <c r="U48" s="71"/>
      <c r="V48" s="61"/>
      <c r="W48" s="13"/>
      <c r="X48" s="2"/>
      <c r="Y48" s="11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v>7</v>
      </c>
      <c r="F49" s="127">
        <v>28</v>
      </c>
      <c r="G49" s="127">
        <v>7</v>
      </c>
      <c r="H49" s="127"/>
      <c r="I49" s="127"/>
      <c r="J49" s="127"/>
      <c r="K49" s="127"/>
      <c r="L49" s="127"/>
      <c r="M49" s="127"/>
      <c r="N49" s="127"/>
      <c r="O49" s="188">
        <v>10.5</v>
      </c>
      <c r="P49" s="164"/>
      <c r="Q49" s="24">
        <f t="shared" si="23"/>
        <v>52.5</v>
      </c>
      <c r="R49" s="127">
        <f t="shared" si="5"/>
        <v>48.165137614678898</v>
      </c>
      <c r="S49" s="5">
        <f t="shared" si="24"/>
        <v>4.3348623853211024</v>
      </c>
      <c r="T49" s="94">
        <f t="shared" si="25"/>
        <v>5</v>
      </c>
      <c r="U49" s="71"/>
      <c r="V49" s="61">
        <v>10.5</v>
      </c>
      <c r="W49" s="13">
        <f t="shared" ref="W49:W50" si="27">+T49*V49</f>
        <v>52.5</v>
      </c>
      <c r="X49" s="2"/>
      <c r="Y49" s="11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v>15.4</v>
      </c>
      <c r="F50" s="127">
        <v>127.4</v>
      </c>
      <c r="G50" s="127">
        <v>2.8</v>
      </c>
      <c r="H50" s="127">
        <v>1.4000000000000001</v>
      </c>
      <c r="I50" s="127"/>
      <c r="J50" s="127"/>
      <c r="K50" s="127"/>
      <c r="L50" s="127"/>
      <c r="M50" s="127">
        <v>1.4</v>
      </c>
      <c r="N50" s="127"/>
      <c r="O50" s="188">
        <v>21</v>
      </c>
      <c r="P50" s="164"/>
      <c r="Q50" s="24">
        <f t="shared" si="23"/>
        <v>169.40000000000003</v>
      </c>
      <c r="R50" s="127">
        <f t="shared" si="5"/>
        <v>155.41284403669727</v>
      </c>
      <c r="S50" s="5">
        <f t="shared" si="24"/>
        <v>13.987155963302769</v>
      </c>
      <c r="T50" s="94">
        <f t="shared" si="25"/>
        <v>40.333333333333343</v>
      </c>
      <c r="U50" s="71"/>
      <c r="V50" s="61">
        <v>16.8</v>
      </c>
      <c r="W50" s="13">
        <f t="shared" si="27"/>
        <v>677.60000000000014</v>
      </c>
      <c r="X50" s="2"/>
      <c r="Y50" s="11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v>344.4</v>
      </c>
      <c r="F51" s="127">
        <v>5764.6</v>
      </c>
      <c r="G51" s="127">
        <v>688.8</v>
      </c>
      <c r="H51" s="127">
        <v>266.5</v>
      </c>
      <c r="I51" s="127"/>
      <c r="J51" s="127"/>
      <c r="K51" s="127"/>
      <c r="L51" s="127"/>
      <c r="M51" s="127">
        <v>53.3</v>
      </c>
      <c r="N51" s="127">
        <v>36.900000000000006</v>
      </c>
      <c r="O51" s="188">
        <v>914.3</v>
      </c>
      <c r="P51" s="164"/>
      <c r="Q51" s="24">
        <f t="shared" si="23"/>
        <v>8068.8</v>
      </c>
      <c r="R51" s="127">
        <f t="shared" si="5"/>
        <v>7402.5688073394494</v>
      </c>
      <c r="S51" s="5">
        <f t="shared" si="24"/>
        <v>666.23119266055073</v>
      </c>
      <c r="T51" s="94">
        <f t="shared" si="25"/>
        <v>196.8</v>
      </c>
      <c r="U51" s="71"/>
      <c r="V51" s="61"/>
      <c r="W51" s="13"/>
      <c r="X51" s="2"/>
      <c r="Y51" s="11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4.0999999999999996</v>
      </c>
      <c r="F52" s="123">
        <v>709.3</v>
      </c>
      <c r="G52" s="123">
        <v>96.35</v>
      </c>
      <c r="H52" s="123">
        <v>6.1499999999999995</v>
      </c>
      <c r="I52" s="123"/>
      <c r="J52" s="123"/>
      <c r="K52" s="123"/>
      <c r="L52" s="127"/>
      <c r="M52" s="127">
        <v>12.3</v>
      </c>
      <c r="N52" s="127">
        <v>0</v>
      </c>
      <c r="O52" s="96">
        <v>14.35</v>
      </c>
      <c r="P52" s="164"/>
      <c r="Q52" s="24">
        <f t="shared" si="23"/>
        <v>842.55</v>
      </c>
      <c r="R52" s="127">
        <f t="shared" si="5"/>
        <v>772.98165137614671</v>
      </c>
      <c r="S52" s="5">
        <f t="shared" si="24"/>
        <v>69.56834862385324</v>
      </c>
      <c r="T52" s="94">
        <f t="shared" si="25"/>
        <v>41.099999999999994</v>
      </c>
      <c r="U52" s="71"/>
      <c r="V52" s="61">
        <v>20.5</v>
      </c>
      <c r="W52" s="13">
        <f t="shared" ref="W52:W53" si="28">+T52*V52</f>
        <v>842.54999999999984</v>
      </c>
      <c r="X52" s="2"/>
      <c r="Y52" s="11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v>36.08</v>
      </c>
      <c r="F53" s="199">
        <v>620.74</v>
      </c>
      <c r="G53" s="199">
        <v>107.42</v>
      </c>
      <c r="H53" s="199">
        <v>0</v>
      </c>
      <c r="I53" s="199"/>
      <c r="J53" s="199"/>
      <c r="K53" s="199"/>
      <c r="L53" s="199"/>
      <c r="M53" s="148">
        <v>5.74</v>
      </c>
      <c r="N53" s="148">
        <v>22.14</v>
      </c>
      <c r="O53" s="482">
        <v>128.74</v>
      </c>
      <c r="P53" s="353"/>
      <c r="Q53" s="359">
        <f t="shared" si="23"/>
        <v>920.86</v>
      </c>
      <c r="R53" s="140">
        <f t="shared" si="5"/>
        <v>844.82568807339442</v>
      </c>
      <c r="S53" s="6">
        <f t="shared" si="24"/>
        <v>76.034311926605596</v>
      </c>
      <c r="T53" s="22">
        <f t="shared" si="25"/>
        <v>112.30000000000001</v>
      </c>
      <c r="U53" s="71"/>
      <c r="V53" s="61">
        <v>32.799999999999997</v>
      </c>
      <c r="W53" s="13">
        <f t="shared" si="28"/>
        <v>3683.44</v>
      </c>
      <c r="X53" s="2"/>
      <c r="Y53" s="112"/>
    </row>
    <row r="54" spans="1:25" x14ac:dyDescent="0.25">
      <c r="F54" s="2"/>
      <c r="G54" s="2"/>
      <c r="H54" s="2"/>
      <c r="I54" s="2"/>
      <c r="J54" s="2"/>
      <c r="K54" s="2"/>
      <c r="L54" s="2"/>
      <c r="Q54" s="2"/>
      <c r="R54" s="2"/>
      <c r="S54" s="2"/>
      <c r="T54" s="2"/>
    </row>
    <row r="66" spans="2:2" x14ac:dyDescent="0.25">
      <c r="B66" s="1"/>
    </row>
  </sheetData>
  <mergeCells count="19"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  <mergeCell ref="W3:W4"/>
    <mergeCell ref="N3:N4"/>
    <mergeCell ref="O3:P4"/>
    <mergeCell ref="Q3:Q4"/>
    <mergeCell ref="R3:R4"/>
    <mergeCell ref="S3:S4"/>
    <mergeCell ref="T3:T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6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3"/>
  <sheetViews>
    <sheetView zoomScaleNormal="100" workbookViewId="0">
      <pane xSplit="4" ySplit="4" topLeftCell="M14" activePane="bottomRight" state="frozen"/>
      <selection pane="topRight" activeCell="E1" sqref="E1"/>
      <selection pane="bottomLeft" activeCell="A5" sqref="A5"/>
      <selection pane="bottomRight" activeCell="N19" sqref="N19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0.5546875" style="1" customWidth="1"/>
    <col min="4" max="4" width="8.33203125" style="4" customWidth="1"/>
    <col min="5" max="5" width="13.6640625" style="4" customWidth="1"/>
    <col min="6" max="6" width="13.33203125" style="1" customWidth="1"/>
    <col min="7" max="7" width="11.33203125" style="1" customWidth="1"/>
    <col min="8" max="8" width="14.332031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6640625" style="1" customWidth="1"/>
    <col min="15" max="15" width="13" style="1" customWidth="1"/>
    <col min="16" max="16" width="12.6640625" style="1" hidden="1" customWidth="1" outlineLevel="1"/>
    <col min="17" max="17" width="12.33203125" style="1" bestFit="1" customWidth="1" collapsed="1"/>
    <col min="18" max="19" width="12.33203125" style="1" customWidth="1"/>
    <col min="20" max="20" width="12.33203125" style="1" bestFit="1" customWidth="1"/>
    <col min="21" max="21" width="3.109375" style="1" customWidth="1"/>
    <col min="22" max="22" width="5.109375" style="1" customWidth="1"/>
    <col min="23" max="23" width="13.33203125" style="2" customWidth="1"/>
    <col min="24" max="24" width="11.33203125" style="1" bestFit="1" customWidth="1"/>
    <col min="25" max="25" width="8.88671875" style="141"/>
    <col min="26" max="16384" width="8.88671875" style="1"/>
  </cols>
  <sheetData>
    <row r="1" spans="1:24" ht="21.6" customHeight="1" x14ac:dyDescent="0.3">
      <c r="A1" s="40" t="s">
        <v>560</v>
      </c>
      <c r="F1" s="104"/>
      <c r="K1" s="2"/>
      <c r="L1" s="2"/>
      <c r="M1" s="2"/>
      <c r="N1" s="2"/>
      <c r="O1" s="2"/>
      <c r="P1" s="2"/>
    </row>
    <row r="2" spans="1:24" ht="18" customHeight="1" x14ac:dyDescent="0.25">
      <c r="A2" s="1" t="s">
        <v>169</v>
      </c>
      <c r="D2" s="3"/>
      <c r="E2" s="2"/>
      <c r="F2" s="2"/>
      <c r="G2" s="2"/>
      <c r="H2" s="2"/>
      <c r="I2" s="3"/>
      <c r="J2" s="3"/>
      <c r="M2" s="2"/>
      <c r="O2" s="104"/>
      <c r="R2" s="3"/>
      <c r="T2" s="3"/>
    </row>
    <row r="3" spans="1:24" ht="25.8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4" ht="25.8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586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17">
        <f t="shared" ref="E5:K5" si="0">+E6+E18+E44</f>
        <v>158762.19931506854</v>
      </c>
      <c r="F5" s="82">
        <f t="shared" si="0"/>
        <v>2076003.3320091462</v>
      </c>
      <c r="G5" s="82">
        <f t="shared" si="0"/>
        <v>275588.84525114112</v>
      </c>
      <c r="H5" s="82">
        <f t="shared" si="0"/>
        <v>64602.056940639275</v>
      </c>
      <c r="I5" s="82">
        <f t="shared" si="0"/>
        <v>0</v>
      </c>
      <c r="J5" s="187">
        <f t="shared" si="0"/>
        <v>0</v>
      </c>
      <c r="K5" s="187">
        <f t="shared" si="0"/>
        <v>0</v>
      </c>
      <c r="L5" s="187"/>
      <c r="M5" s="192">
        <f>+M6+M18+M44</f>
        <v>19747.849999999999</v>
      </c>
      <c r="N5" s="192">
        <f>+N6+N18+N44</f>
        <v>20203.153333333332</v>
      </c>
      <c r="O5" s="187">
        <f t="shared" ref="O5:T5" si="1">+O6+O18+O44</f>
        <v>203640.23874889372</v>
      </c>
      <c r="P5" s="77">
        <f t="shared" si="1"/>
        <v>0</v>
      </c>
      <c r="Q5" s="42">
        <f t="shared" ref="Q5:Q10" si="2">+SUM(E5:P5)</f>
        <v>2818547.6755982223</v>
      </c>
      <c r="R5" s="42">
        <f t="shared" si="1"/>
        <v>2585823.5555946981</v>
      </c>
      <c r="S5" s="42">
        <f t="shared" si="1"/>
        <v>232724.12000352301</v>
      </c>
      <c r="T5" s="42">
        <f t="shared" si="1"/>
        <v>49750.067920345129</v>
      </c>
      <c r="U5" s="71"/>
      <c r="V5" s="87"/>
      <c r="W5" s="135">
        <f>+W7+W18+W44</f>
        <v>1983834.2750041718</v>
      </c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10">
        <f t="shared" ref="E6:K6" si="3">+E7+E11</f>
        <v>0</v>
      </c>
      <c r="F6" s="82">
        <f t="shared" si="3"/>
        <v>0</v>
      </c>
      <c r="G6" s="82">
        <f t="shared" si="3"/>
        <v>0</v>
      </c>
      <c r="H6" s="82">
        <f t="shared" si="3"/>
        <v>0</v>
      </c>
      <c r="I6" s="82">
        <f t="shared" si="3"/>
        <v>0</v>
      </c>
      <c r="J6" s="187">
        <f t="shared" si="3"/>
        <v>0</v>
      </c>
      <c r="K6" s="187">
        <f t="shared" si="3"/>
        <v>0</v>
      </c>
      <c r="L6" s="187"/>
      <c r="M6" s="192">
        <f>+M7+M11</f>
        <v>0</v>
      </c>
      <c r="N6" s="192">
        <f>+N7+N11</f>
        <v>0</v>
      </c>
      <c r="O6" s="187">
        <f t="shared" ref="O6:T6" si="4">+O7+O11</f>
        <v>0</v>
      </c>
      <c r="P6" s="77">
        <f t="shared" si="4"/>
        <v>0</v>
      </c>
      <c r="Q6" s="42">
        <f t="shared" si="2"/>
        <v>0</v>
      </c>
      <c r="R6" s="42">
        <f t="shared" si="4"/>
        <v>0</v>
      </c>
      <c r="S6" s="42">
        <f t="shared" si="4"/>
        <v>0</v>
      </c>
      <c r="T6" s="44">
        <f t="shared" si="4"/>
        <v>0</v>
      </c>
      <c r="V6" s="61"/>
      <c r="W6" s="13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K7" si="5">+SUM(E8:E10)</f>
        <v>0</v>
      </c>
      <c r="F7" s="79">
        <f t="shared" si="5"/>
        <v>0</v>
      </c>
      <c r="G7" s="79">
        <f t="shared" si="5"/>
        <v>0</v>
      </c>
      <c r="H7" s="79">
        <f t="shared" si="5"/>
        <v>0</v>
      </c>
      <c r="I7" s="79">
        <f t="shared" si="5"/>
        <v>0</v>
      </c>
      <c r="J7" s="79">
        <f t="shared" si="5"/>
        <v>0</v>
      </c>
      <c r="K7" s="79">
        <f t="shared" si="5"/>
        <v>0</v>
      </c>
      <c r="L7" s="79"/>
      <c r="M7" s="79">
        <f t="shared" ref="M7" si="6">+SUM(M8:M10)</f>
        <v>0</v>
      </c>
      <c r="N7" s="79">
        <f t="shared" ref="N7:T7" si="7">+SUM(N8:N10)</f>
        <v>0</v>
      </c>
      <c r="O7" s="219">
        <f t="shared" si="7"/>
        <v>0</v>
      </c>
      <c r="P7" s="109">
        <f t="shared" si="7"/>
        <v>0</v>
      </c>
      <c r="Q7" s="43">
        <f t="shared" si="2"/>
        <v>0</v>
      </c>
      <c r="R7" s="79">
        <f t="shared" si="7"/>
        <v>0</v>
      </c>
      <c r="S7" s="79">
        <f t="shared" si="7"/>
        <v>0</v>
      </c>
      <c r="T7" s="226">
        <f t="shared" si="7"/>
        <v>0</v>
      </c>
      <c r="U7" s="71"/>
      <c r="V7" s="134"/>
      <c r="W7" s="105">
        <f>+SUM(W8:W17)</f>
        <v>0</v>
      </c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7"/>
      <c r="H8" s="13"/>
      <c r="I8" s="17"/>
      <c r="J8" s="36"/>
      <c r="K8" s="36"/>
      <c r="L8" s="36"/>
      <c r="M8" s="127"/>
      <c r="N8" s="127"/>
      <c r="O8" s="17"/>
      <c r="P8" s="355"/>
      <c r="Q8" s="24">
        <f t="shared" si="2"/>
        <v>0</v>
      </c>
      <c r="R8" s="5">
        <f t="shared" ref="R8:R10" si="8">+Q8/1.09</f>
        <v>0</v>
      </c>
      <c r="S8" s="5">
        <f t="shared" ref="S8:S10" si="9">+Q8-R8</f>
        <v>0</v>
      </c>
      <c r="T8" s="21">
        <f>Q8/D8</f>
        <v>0</v>
      </c>
      <c r="U8" s="71"/>
      <c r="V8" s="61"/>
      <c r="W8" s="13"/>
      <c r="X8" s="2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10">+D8*0.5</f>
        <v>1.75</v>
      </c>
      <c r="E9" s="128"/>
      <c r="F9" s="196"/>
      <c r="G9" s="196"/>
      <c r="H9" s="25"/>
      <c r="I9" s="196"/>
      <c r="J9" s="143"/>
      <c r="K9" s="143"/>
      <c r="L9" s="143"/>
      <c r="M9" s="127"/>
      <c r="N9" s="127"/>
      <c r="O9" s="196"/>
      <c r="P9" s="350"/>
      <c r="Q9" s="24">
        <f t="shared" si="2"/>
        <v>0</v>
      </c>
      <c r="R9" s="26">
        <f t="shared" si="8"/>
        <v>0</v>
      </c>
      <c r="S9" s="26">
        <f t="shared" si="9"/>
        <v>0</v>
      </c>
      <c r="T9" s="39">
        <f>Q9/D9</f>
        <v>0</v>
      </c>
      <c r="U9" s="71"/>
      <c r="V9" s="61">
        <v>1.75</v>
      </c>
      <c r="W9" s="13">
        <f>+T9*V9</f>
        <v>0</v>
      </c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8"/>
      <c r="G10" s="223"/>
      <c r="H10" s="223"/>
      <c r="I10" s="223"/>
      <c r="J10" s="224"/>
      <c r="K10" s="144"/>
      <c r="L10" s="144"/>
      <c r="M10" s="144"/>
      <c r="N10" s="144"/>
      <c r="O10" s="18"/>
      <c r="P10" s="360"/>
      <c r="Q10" s="24">
        <f t="shared" si="2"/>
        <v>0</v>
      </c>
      <c r="R10" s="6">
        <f t="shared" si="8"/>
        <v>0</v>
      </c>
      <c r="S10" s="6">
        <f t="shared" si="9"/>
        <v>0</v>
      </c>
      <c r="T10" s="22">
        <f>Q10/D10</f>
        <v>0</v>
      </c>
      <c r="U10" s="71"/>
      <c r="V10" s="107">
        <v>2.8</v>
      </c>
      <c r="W10" s="13">
        <f>+T10*V10</f>
        <v>0</v>
      </c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K11" si="11">+SUM(E12:E17)</f>
        <v>0</v>
      </c>
      <c r="F11" s="84">
        <f t="shared" si="11"/>
        <v>0</v>
      </c>
      <c r="G11" s="84">
        <f t="shared" si="11"/>
        <v>0</v>
      </c>
      <c r="H11" s="84">
        <f t="shared" si="11"/>
        <v>0</v>
      </c>
      <c r="I11" s="84">
        <f t="shared" si="11"/>
        <v>0</v>
      </c>
      <c r="J11" s="74">
        <f t="shared" si="11"/>
        <v>0</v>
      </c>
      <c r="K11" s="101">
        <f t="shared" si="11"/>
        <v>0</v>
      </c>
      <c r="L11" s="101"/>
      <c r="M11" s="101">
        <f t="shared" ref="M11" si="12">+SUM(M12:M17)</f>
        <v>0</v>
      </c>
      <c r="N11" s="101">
        <f t="shared" ref="N11:T11" si="13">+SUM(N12:N17)</f>
        <v>0</v>
      </c>
      <c r="O11" s="16">
        <f t="shared" si="13"/>
        <v>0</v>
      </c>
      <c r="P11" s="74">
        <f t="shared" si="13"/>
        <v>0</v>
      </c>
      <c r="Q11" s="43">
        <f t="shared" si="13"/>
        <v>0</v>
      </c>
      <c r="R11" s="43">
        <f t="shared" si="13"/>
        <v>0</v>
      </c>
      <c r="S11" s="43">
        <f t="shared" si="13"/>
        <v>0</v>
      </c>
      <c r="T11" s="45">
        <f t="shared" si="13"/>
        <v>0</v>
      </c>
      <c r="U11" s="71"/>
      <c r="V11" s="61"/>
      <c r="W11" s="13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30"/>
      <c r="F12" s="13"/>
      <c r="G12" s="13"/>
      <c r="H12" s="13"/>
      <c r="I12" s="13"/>
      <c r="J12" s="33"/>
      <c r="K12" s="33"/>
      <c r="L12" s="33"/>
      <c r="M12" s="127"/>
      <c r="N12" s="127"/>
      <c r="O12" s="13"/>
      <c r="P12" s="357"/>
      <c r="Q12" s="24">
        <f t="shared" ref="Q12:Q17" si="14">+SUM(E12:P12)</f>
        <v>0</v>
      </c>
      <c r="R12" s="5">
        <f t="shared" ref="R12:R17" si="15">+Q12/1.09</f>
        <v>0</v>
      </c>
      <c r="S12" s="5">
        <f t="shared" ref="S12:S17" si="16">+Q12-R12</f>
        <v>0</v>
      </c>
      <c r="T12" s="21">
        <f t="shared" ref="T12:T17" si="17">Q12/D12</f>
        <v>0</v>
      </c>
      <c r="U12" s="2"/>
      <c r="V12" s="61"/>
      <c r="W12" s="13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30"/>
      <c r="F13" s="13"/>
      <c r="G13" s="13"/>
      <c r="H13" s="13"/>
      <c r="I13" s="13"/>
      <c r="J13" s="33"/>
      <c r="K13" s="33"/>
      <c r="L13" s="33"/>
      <c r="M13" s="127"/>
      <c r="N13" s="127"/>
      <c r="O13" s="13"/>
      <c r="P13" s="357"/>
      <c r="Q13" s="24">
        <f t="shared" si="14"/>
        <v>0</v>
      </c>
      <c r="R13" s="5">
        <f t="shared" si="15"/>
        <v>0</v>
      </c>
      <c r="S13" s="5">
        <f t="shared" si="16"/>
        <v>0</v>
      </c>
      <c r="T13" s="21">
        <f t="shared" si="17"/>
        <v>0</v>
      </c>
      <c r="U13" s="71"/>
      <c r="V13" s="107">
        <v>1.1000000000000001</v>
      </c>
      <c r="W13" s="13">
        <f t="shared" ref="W13:W14" si="18">+T13*V13</f>
        <v>0</v>
      </c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30"/>
      <c r="F14" s="13"/>
      <c r="G14" s="13"/>
      <c r="H14" s="13"/>
      <c r="I14" s="13"/>
      <c r="J14" s="33"/>
      <c r="K14" s="33"/>
      <c r="L14" s="33"/>
      <c r="M14" s="127"/>
      <c r="N14" s="127"/>
      <c r="O14" s="13"/>
      <c r="P14" s="357"/>
      <c r="Q14" s="24">
        <f t="shared" si="14"/>
        <v>0</v>
      </c>
      <c r="R14" s="5">
        <f t="shared" si="15"/>
        <v>0</v>
      </c>
      <c r="S14" s="5">
        <f t="shared" si="16"/>
        <v>0</v>
      </c>
      <c r="T14" s="21">
        <f t="shared" si="17"/>
        <v>0</v>
      </c>
      <c r="U14" s="71"/>
      <c r="V14" s="61">
        <v>1.76</v>
      </c>
      <c r="W14" s="13">
        <f t="shared" si="18"/>
        <v>0</v>
      </c>
    </row>
    <row r="15" spans="1:24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30"/>
      <c r="F15" s="13"/>
      <c r="G15" s="13"/>
      <c r="H15" s="13"/>
      <c r="I15" s="13"/>
      <c r="J15" s="33"/>
      <c r="K15" s="33"/>
      <c r="L15" s="33"/>
      <c r="M15" s="127"/>
      <c r="N15" s="127"/>
      <c r="O15" s="13"/>
      <c r="P15" s="357"/>
      <c r="Q15" s="24">
        <f t="shared" si="14"/>
        <v>0</v>
      </c>
      <c r="R15" s="5">
        <f t="shared" si="15"/>
        <v>0</v>
      </c>
      <c r="S15" s="5">
        <f t="shared" si="16"/>
        <v>0</v>
      </c>
      <c r="T15" s="21">
        <f t="shared" si="17"/>
        <v>0</v>
      </c>
      <c r="U15" s="71"/>
      <c r="V15" s="61"/>
      <c r="W15" s="13"/>
    </row>
    <row r="16" spans="1:24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30"/>
      <c r="F16" s="13"/>
      <c r="G16" s="13"/>
      <c r="H16" s="13"/>
      <c r="I16" s="13"/>
      <c r="J16" s="33"/>
      <c r="K16" s="33"/>
      <c r="L16" s="33"/>
      <c r="M16" s="127"/>
      <c r="N16" s="127"/>
      <c r="O16" s="13"/>
      <c r="P16" s="357"/>
      <c r="Q16" s="24">
        <f t="shared" si="14"/>
        <v>0</v>
      </c>
      <c r="R16" s="5">
        <f t="shared" si="15"/>
        <v>0</v>
      </c>
      <c r="S16" s="5">
        <f t="shared" si="16"/>
        <v>0</v>
      </c>
      <c r="T16" s="21">
        <f t="shared" si="17"/>
        <v>0</v>
      </c>
      <c r="U16" s="71"/>
      <c r="V16" s="107">
        <v>1.6</v>
      </c>
      <c r="W16" s="13">
        <f t="shared" ref="W16:W17" si="19">+T16*V16</f>
        <v>0</v>
      </c>
    </row>
    <row r="17" spans="1:26" x14ac:dyDescent="0.25">
      <c r="A17" s="58" t="s">
        <v>60</v>
      </c>
      <c r="B17" s="53" t="s">
        <v>194</v>
      </c>
      <c r="C17" s="63" t="s">
        <v>95</v>
      </c>
      <c r="D17" s="63">
        <v>0.64</v>
      </c>
      <c r="E17" s="131"/>
      <c r="F17" s="13"/>
      <c r="G17" s="13"/>
      <c r="H17" s="14"/>
      <c r="I17" s="14"/>
      <c r="J17" s="76"/>
      <c r="K17" s="76"/>
      <c r="L17" s="76"/>
      <c r="M17" s="127"/>
      <c r="N17" s="127"/>
      <c r="O17" s="14"/>
      <c r="P17" s="358"/>
      <c r="Q17" s="24">
        <f t="shared" si="14"/>
        <v>0</v>
      </c>
      <c r="R17" s="5">
        <f t="shared" si="15"/>
        <v>0</v>
      </c>
      <c r="S17" s="5">
        <f t="shared" si="16"/>
        <v>0</v>
      </c>
      <c r="T17" s="22">
        <f t="shared" si="17"/>
        <v>0</v>
      </c>
      <c r="U17" s="71"/>
      <c r="V17" s="61">
        <v>2.56</v>
      </c>
      <c r="W17" s="13">
        <f t="shared" si="19"/>
        <v>0</v>
      </c>
    </row>
    <row r="18" spans="1:26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158120.94931506854</v>
      </c>
      <c r="F18" s="118">
        <f t="shared" ref="F18:T18" si="20">+SUM(F19:F43)</f>
        <v>2067559.0120091462</v>
      </c>
      <c r="G18" s="118">
        <f t="shared" si="20"/>
        <v>274286.92525114113</v>
      </c>
      <c r="H18" s="118">
        <f t="shared" si="20"/>
        <v>64311.226940639273</v>
      </c>
      <c r="I18" s="118">
        <f t="shared" si="20"/>
        <v>0</v>
      </c>
      <c r="J18" s="118">
        <f t="shared" si="20"/>
        <v>0</v>
      </c>
      <c r="K18" s="118">
        <f t="shared" si="20"/>
        <v>0</v>
      </c>
      <c r="L18" s="118"/>
      <c r="M18" s="231">
        <f t="shared" ref="M18" si="21">+SUM(M19:M43)</f>
        <v>19727.349999999999</v>
      </c>
      <c r="N18" s="231">
        <f t="shared" ref="N18" si="22">+SUM(N19:N43)</f>
        <v>20000.933333333331</v>
      </c>
      <c r="O18" s="231">
        <f t="shared" si="20"/>
        <v>203054.49874889373</v>
      </c>
      <c r="P18" s="118">
        <f t="shared" si="20"/>
        <v>0</v>
      </c>
      <c r="Q18" s="42">
        <f>+SUM(Q19:Q43)</f>
        <v>2807060.895598222</v>
      </c>
      <c r="R18" s="415">
        <f t="shared" si="20"/>
        <v>2575285.2253194689</v>
      </c>
      <c r="S18" s="118">
        <f t="shared" si="20"/>
        <v>231775.67027875237</v>
      </c>
      <c r="T18" s="117">
        <f t="shared" si="20"/>
        <v>49164.267920345126</v>
      </c>
      <c r="U18" s="71"/>
      <c r="V18" s="61"/>
      <c r="W18" s="105">
        <f>+SUM(W19:W42)</f>
        <v>1975023.2550041717</v>
      </c>
    </row>
    <row r="19" spans="1:26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102653.33333333336</v>
      </c>
      <c r="F19" s="92">
        <v>1239600.000000013</v>
      </c>
      <c r="G19" s="92">
        <v>159366.66666666622</v>
      </c>
      <c r="H19" s="92">
        <v>31023.333333333332</v>
      </c>
      <c r="I19" s="28"/>
      <c r="J19" s="367"/>
      <c r="K19" s="367"/>
      <c r="L19" s="367"/>
      <c r="M19" s="127">
        <v>11183.333333333336</v>
      </c>
      <c r="N19" s="127">
        <v>12449.999999999998</v>
      </c>
      <c r="O19" s="28">
        <v>104236.66345184325</v>
      </c>
      <c r="P19" s="356"/>
      <c r="Q19" s="24">
        <f t="shared" ref="Q19:Q43" si="23">+SUM(E19:P19)</f>
        <v>1660513.3301185223</v>
      </c>
      <c r="R19" s="99">
        <f t="shared" ref="R19:R43" si="24">+Q19/1.09</f>
        <v>1523406.7248793782</v>
      </c>
      <c r="S19" s="153">
        <f>+Q19-R19</f>
        <v>137106.60523914406</v>
      </c>
      <c r="T19" s="94">
        <f t="shared" ref="T19:T42" si="25">Q19/D19</f>
        <v>16605.133301185222</v>
      </c>
      <c r="U19" s="41"/>
      <c r="V19" s="61"/>
      <c r="W19" s="106"/>
      <c r="X19"/>
      <c r="Y19" s="142"/>
      <c r="Z19"/>
    </row>
    <row r="20" spans="1:26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20">
        <v>20598.333333333336</v>
      </c>
      <c r="F20" s="48">
        <v>360170.00000000076</v>
      </c>
      <c r="G20" s="48">
        <v>49976.666666666679</v>
      </c>
      <c r="H20" s="48">
        <v>11816.666666666668</v>
      </c>
      <c r="I20" s="17"/>
      <c r="J20" s="36"/>
      <c r="K20" s="36"/>
      <c r="L20" s="36"/>
      <c r="M20" s="127">
        <v>4823.3333333333303</v>
      </c>
      <c r="N20" s="127">
        <v>106.66666666666669</v>
      </c>
      <c r="O20" s="17">
        <v>5941.6665185546872</v>
      </c>
      <c r="P20" s="357"/>
      <c r="Q20" s="24">
        <f t="shared" si="23"/>
        <v>453433.33318522212</v>
      </c>
      <c r="R20" s="5">
        <f t="shared" si="24"/>
        <v>415993.88365616708</v>
      </c>
      <c r="S20" s="152">
        <f t="shared" ref="S20:S43" si="26">+Q20-R20</f>
        <v>37439.44952905504</v>
      </c>
      <c r="T20" s="21">
        <f t="shared" si="25"/>
        <v>9068.6666637044418</v>
      </c>
      <c r="U20" s="41"/>
      <c r="V20" s="61">
        <v>50</v>
      </c>
      <c r="W20" s="13">
        <f t="shared" ref="W20:W21" si="27">+T20*V20</f>
        <v>453433.33318522212</v>
      </c>
      <c r="Y20" s="142"/>
    </row>
    <row r="21" spans="1:26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20">
        <v>18745.330000000002</v>
      </c>
      <c r="F21" s="96">
        <v>242727.33</v>
      </c>
      <c r="G21" s="96">
        <v>36458.67</v>
      </c>
      <c r="H21" s="96">
        <v>3496.666666666667</v>
      </c>
      <c r="I21" s="17"/>
      <c r="J21" s="36"/>
      <c r="K21" s="36"/>
      <c r="L21" s="36"/>
      <c r="M21" s="127">
        <v>1129.3333333333301</v>
      </c>
      <c r="N21" s="127">
        <v>3560</v>
      </c>
      <c r="O21" s="17">
        <v>28182.002000885012</v>
      </c>
      <c r="P21" s="355"/>
      <c r="Q21" s="24">
        <f t="shared" si="23"/>
        <v>334299.33200088498</v>
      </c>
      <c r="R21" s="5">
        <f t="shared" si="24"/>
        <v>306696.63486319722</v>
      </c>
      <c r="S21" s="5">
        <f t="shared" si="26"/>
        <v>27602.697137687763</v>
      </c>
      <c r="T21" s="21">
        <f t="shared" si="25"/>
        <v>16714.966600044248</v>
      </c>
      <c r="U21" s="41"/>
      <c r="V21" s="61">
        <v>80</v>
      </c>
      <c r="W21" s="13">
        <f t="shared" si="27"/>
        <v>1337197.3280035399</v>
      </c>
      <c r="Y21" s="142"/>
    </row>
    <row r="22" spans="1:26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12105</v>
      </c>
      <c r="F22" s="48">
        <v>134427</v>
      </c>
      <c r="G22" s="96">
        <v>19572</v>
      </c>
      <c r="H22" s="96">
        <v>5832</v>
      </c>
      <c r="I22" s="17"/>
      <c r="J22" s="36"/>
      <c r="K22" s="36"/>
      <c r="L22" s="36"/>
      <c r="M22" s="127">
        <v>1119</v>
      </c>
      <c r="N22" s="127">
        <v>1962</v>
      </c>
      <c r="O22" s="17">
        <v>22353</v>
      </c>
      <c r="P22" s="357"/>
      <c r="Q22" s="24">
        <f t="shared" si="23"/>
        <v>197370</v>
      </c>
      <c r="R22" s="5">
        <f t="shared" si="24"/>
        <v>181073.39449541282</v>
      </c>
      <c r="S22" s="5">
        <f t="shared" si="26"/>
        <v>16296.605504587176</v>
      </c>
      <c r="T22" s="21">
        <f t="shared" si="25"/>
        <v>2193</v>
      </c>
      <c r="U22" s="41"/>
      <c r="V22" s="61"/>
      <c r="W22" s="13"/>
      <c r="Y22" s="142"/>
    </row>
    <row r="23" spans="1:26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20">
        <v>622.5</v>
      </c>
      <c r="F23" s="96">
        <v>9105</v>
      </c>
      <c r="G23" s="96">
        <v>1392</v>
      </c>
      <c r="H23" s="96">
        <v>379.5</v>
      </c>
      <c r="I23" s="17"/>
      <c r="J23" s="36"/>
      <c r="K23" s="36"/>
      <c r="L23" s="36"/>
      <c r="M23" s="127">
        <v>69</v>
      </c>
      <c r="N23" s="127">
        <v>0</v>
      </c>
      <c r="O23" s="17">
        <v>1318.5</v>
      </c>
      <c r="P23" s="357"/>
      <c r="Q23" s="24">
        <f t="shared" si="23"/>
        <v>12886.5</v>
      </c>
      <c r="R23" s="5">
        <f t="shared" si="24"/>
        <v>11822.477064220182</v>
      </c>
      <c r="S23" s="5">
        <f t="shared" si="26"/>
        <v>1064.022935779818</v>
      </c>
      <c r="T23" s="21">
        <f t="shared" si="25"/>
        <v>286.36666666666667</v>
      </c>
      <c r="U23" s="35"/>
      <c r="V23" s="61">
        <v>45</v>
      </c>
      <c r="W23" s="13">
        <f t="shared" ref="W23:W24" si="28">+T23*V23</f>
        <v>12886.5</v>
      </c>
      <c r="Y23" s="142"/>
    </row>
    <row r="24" spans="1:26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20">
        <v>410.4</v>
      </c>
      <c r="F24" s="96">
        <v>2091.6</v>
      </c>
      <c r="G24" s="96">
        <v>488.4</v>
      </c>
      <c r="H24" s="96">
        <v>117</v>
      </c>
      <c r="I24" s="17"/>
      <c r="J24" s="36"/>
      <c r="K24" s="36"/>
      <c r="L24" s="36"/>
      <c r="M24" s="127">
        <v>8.4</v>
      </c>
      <c r="N24" s="127">
        <v>157.79999999999998</v>
      </c>
      <c r="O24" s="17">
        <v>973.8</v>
      </c>
      <c r="P24" s="357"/>
      <c r="Q24" s="24">
        <f t="shared" si="23"/>
        <v>4247.4000000000005</v>
      </c>
      <c r="R24" s="5">
        <f t="shared" si="24"/>
        <v>3896.6972477064223</v>
      </c>
      <c r="S24" s="5">
        <f t="shared" si="26"/>
        <v>350.70275229357821</v>
      </c>
      <c r="T24" s="21">
        <f t="shared" si="25"/>
        <v>235.9666666666667</v>
      </c>
      <c r="U24" s="35"/>
      <c r="V24" s="61">
        <v>72</v>
      </c>
      <c r="W24" s="13">
        <f t="shared" si="28"/>
        <v>16989.600000000002</v>
      </c>
      <c r="Y24" s="142"/>
    </row>
    <row r="25" spans="1:26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20">
        <v>223.33333333333337</v>
      </c>
      <c r="F25" s="96">
        <v>19500</v>
      </c>
      <c r="G25" s="96">
        <v>753.33333333333326</v>
      </c>
      <c r="H25" s="96">
        <v>1283.3333333333335</v>
      </c>
      <c r="I25" s="17"/>
      <c r="J25" s="36"/>
      <c r="K25" s="36"/>
      <c r="L25" s="36"/>
      <c r="M25" s="127"/>
      <c r="N25" s="127">
        <v>566.66666666666697</v>
      </c>
      <c r="O25" s="17">
        <v>8696.67</v>
      </c>
      <c r="P25" s="357"/>
      <c r="Q25" s="24">
        <f t="shared" si="23"/>
        <v>31023.336666666662</v>
      </c>
      <c r="R25" s="5">
        <f t="shared" si="24"/>
        <v>28461.776758409778</v>
      </c>
      <c r="S25" s="5">
        <f t="shared" si="26"/>
        <v>2561.5599082568842</v>
      </c>
      <c r="T25" s="21">
        <f t="shared" si="25"/>
        <v>103.4111222222222</v>
      </c>
      <c r="U25" s="35"/>
      <c r="V25" s="61"/>
      <c r="W25" s="13"/>
      <c r="Y25" s="142"/>
    </row>
    <row r="26" spans="1:26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20">
        <v>575</v>
      </c>
      <c r="F26" s="96">
        <v>12673.333333333332</v>
      </c>
      <c r="G26" s="96">
        <v>845</v>
      </c>
      <c r="H26" s="96">
        <v>2195</v>
      </c>
      <c r="I26" s="17"/>
      <c r="J26" s="36"/>
      <c r="K26" s="36"/>
      <c r="L26" s="36"/>
      <c r="M26" s="127">
        <v>475</v>
      </c>
      <c r="N26" s="127">
        <v>120.00000000000013</v>
      </c>
      <c r="O26" s="17">
        <v>4203.3333206176758</v>
      </c>
      <c r="P26" s="357"/>
      <c r="Q26" s="24">
        <f t="shared" si="23"/>
        <v>21086.666653951008</v>
      </c>
      <c r="R26" s="5">
        <f t="shared" si="24"/>
        <v>19345.56573756973</v>
      </c>
      <c r="S26" s="5">
        <f t="shared" si="26"/>
        <v>1741.1009163812778</v>
      </c>
      <c r="T26" s="21">
        <f t="shared" si="25"/>
        <v>140.57777769300671</v>
      </c>
      <c r="U26" s="35"/>
      <c r="V26" s="61">
        <v>150</v>
      </c>
      <c r="W26" s="13">
        <f t="shared" ref="W26:W42" si="29">+T26*V26</f>
        <v>21086.666653951008</v>
      </c>
      <c r="Y26" s="142"/>
    </row>
    <row r="27" spans="1:26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20">
        <v>798.67</v>
      </c>
      <c r="F27" s="96">
        <v>11338.67</v>
      </c>
      <c r="G27" s="96">
        <v>1404.6666666666665</v>
      </c>
      <c r="H27" s="96">
        <v>406.66666666666669</v>
      </c>
      <c r="I27" s="17"/>
      <c r="J27" s="36"/>
      <c r="K27" s="36"/>
      <c r="L27" s="36"/>
      <c r="M27" s="127">
        <v>138</v>
      </c>
      <c r="N27" s="127">
        <v>207.99999999999991</v>
      </c>
      <c r="O27" s="17">
        <v>8231.3334559631348</v>
      </c>
      <c r="P27" s="357"/>
      <c r="Q27" s="24">
        <f t="shared" si="23"/>
        <v>22526.006789296465</v>
      </c>
      <c r="R27" s="5">
        <f t="shared" si="24"/>
        <v>20666.06127458391</v>
      </c>
      <c r="S27" s="5">
        <f t="shared" si="26"/>
        <v>1859.9455147125555</v>
      </c>
      <c r="T27" s="21">
        <f t="shared" si="25"/>
        <v>375.4334464882744</v>
      </c>
      <c r="U27" s="35"/>
      <c r="V27" s="61">
        <v>240</v>
      </c>
      <c r="W27" s="13">
        <f t="shared" si="29"/>
        <v>90104.027157185861</v>
      </c>
      <c r="Y27" s="142"/>
    </row>
    <row r="28" spans="1:26" ht="14.4" x14ac:dyDescent="0.3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6">
        <v>1164</v>
      </c>
      <c r="G28" s="96">
        <v>210</v>
      </c>
      <c r="H28" s="96">
        <v>225</v>
      </c>
      <c r="I28" s="17"/>
      <c r="J28" s="36"/>
      <c r="K28" s="36"/>
      <c r="L28" s="36"/>
      <c r="M28" s="127"/>
      <c r="N28" s="127">
        <v>0</v>
      </c>
      <c r="O28" s="17">
        <v>12744</v>
      </c>
      <c r="P28" s="357"/>
      <c r="Q28" s="24">
        <f t="shared" si="23"/>
        <v>14343</v>
      </c>
      <c r="R28" s="5">
        <f t="shared" si="24"/>
        <v>13158.715596330274</v>
      </c>
      <c r="S28" s="5">
        <f t="shared" si="26"/>
        <v>1184.2844036697261</v>
      </c>
      <c r="T28" s="21">
        <f t="shared" si="25"/>
        <v>53.12222222222222</v>
      </c>
      <c r="U28" s="35"/>
      <c r="V28" s="61"/>
      <c r="W28" s="13"/>
      <c r="Y28" s="142"/>
    </row>
    <row r="29" spans="1:26" ht="14.4" x14ac:dyDescent="0.3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6">
        <v>0</v>
      </c>
      <c r="G29" s="96">
        <v>88.5</v>
      </c>
      <c r="H29" s="96"/>
      <c r="I29" s="17"/>
      <c r="J29" s="36"/>
      <c r="K29" s="36"/>
      <c r="L29" s="36"/>
      <c r="M29" s="127"/>
      <c r="N29" s="127">
        <v>0</v>
      </c>
      <c r="O29" s="17">
        <v>99</v>
      </c>
      <c r="P29" s="357"/>
      <c r="Q29" s="24">
        <f t="shared" si="23"/>
        <v>187.5</v>
      </c>
      <c r="R29" s="5">
        <f t="shared" si="24"/>
        <v>172.0183486238532</v>
      </c>
      <c r="S29" s="5">
        <f t="shared" si="26"/>
        <v>15.4816513761468</v>
      </c>
      <c r="T29" s="21">
        <f t="shared" si="25"/>
        <v>1.3888888888888888</v>
      </c>
      <c r="U29" s="35"/>
      <c r="V29" s="61">
        <v>135</v>
      </c>
      <c r="W29" s="13">
        <f t="shared" si="29"/>
        <v>187.5</v>
      </c>
      <c r="Y29" s="142"/>
    </row>
    <row r="30" spans="1:26" ht="14.4" x14ac:dyDescent="0.3">
      <c r="A30" s="46" t="s">
        <v>78</v>
      </c>
      <c r="B30" s="53" t="s">
        <v>126</v>
      </c>
      <c r="C30" s="59" t="s">
        <v>182</v>
      </c>
      <c r="D30" s="60">
        <v>54</v>
      </c>
      <c r="E30" s="120">
        <v>85.2</v>
      </c>
      <c r="F30" s="96">
        <v>399</v>
      </c>
      <c r="G30" s="96">
        <v>43.2</v>
      </c>
      <c r="H30" s="96">
        <v>130.80000000000001</v>
      </c>
      <c r="I30" s="17"/>
      <c r="J30" s="36"/>
      <c r="K30" s="36"/>
      <c r="L30" s="36"/>
      <c r="M30" s="127"/>
      <c r="N30" s="127">
        <v>37.800000000000047</v>
      </c>
      <c r="O30" s="17">
        <v>642</v>
      </c>
      <c r="P30" s="357"/>
      <c r="Q30" s="24">
        <f t="shared" si="23"/>
        <v>1338</v>
      </c>
      <c r="R30" s="5">
        <f t="shared" si="24"/>
        <v>1227.5229357798164</v>
      </c>
      <c r="S30" s="5">
        <f t="shared" si="26"/>
        <v>110.47706422018359</v>
      </c>
      <c r="T30" s="21">
        <f t="shared" si="25"/>
        <v>24.777777777777779</v>
      </c>
      <c r="U30" s="35"/>
      <c r="V30" s="61">
        <v>216</v>
      </c>
      <c r="W30" s="13">
        <f t="shared" si="29"/>
        <v>5352</v>
      </c>
      <c r="Y30" s="142"/>
    </row>
    <row r="31" spans="1:26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6">
        <v>3920</v>
      </c>
      <c r="G31" s="96">
        <v>580</v>
      </c>
      <c r="H31" s="96">
        <v>546.66666666666674</v>
      </c>
      <c r="I31" s="17"/>
      <c r="J31" s="36"/>
      <c r="K31" s="36"/>
      <c r="L31" s="36"/>
      <c r="M31" s="127"/>
      <c r="N31" s="127">
        <v>0</v>
      </c>
      <c r="O31" s="17">
        <v>500</v>
      </c>
      <c r="P31" s="357"/>
      <c r="Q31" s="24">
        <f t="shared" si="23"/>
        <v>5546.666666666667</v>
      </c>
      <c r="R31" s="5">
        <f t="shared" si="24"/>
        <v>5088.6850152905199</v>
      </c>
      <c r="S31" s="5">
        <f t="shared" si="26"/>
        <v>457.98165137614706</v>
      </c>
      <c r="T31" s="21">
        <f t="shared" si="25"/>
        <v>9.2444444444444454</v>
      </c>
      <c r="U31" s="35"/>
      <c r="V31" s="61"/>
      <c r="W31" s="13"/>
      <c r="Y31" s="142"/>
    </row>
    <row r="32" spans="1:26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20">
        <v>251.66666666666669</v>
      </c>
      <c r="F32" s="96">
        <v>1861.6666666666665</v>
      </c>
      <c r="G32" s="96">
        <v>278.33333333333331</v>
      </c>
      <c r="H32" s="96">
        <v>260</v>
      </c>
      <c r="I32" s="17"/>
      <c r="J32" s="36"/>
      <c r="K32" s="36"/>
      <c r="L32" s="36"/>
      <c r="M32" s="127"/>
      <c r="N32" s="127">
        <v>0</v>
      </c>
      <c r="O32" s="17">
        <v>0</v>
      </c>
      <c r="P32" s="357"/>
      <c r="Q32" s="24">
        <f t="shared" si="23"/>
        <v>2651.6666666666665</v>
      </c>
      <c r="R32" s="5">
        <f t="shared" si="24"/>
        <v>2432.7217125382258</v>
      </c>
      <c r="S32" s="5">
        <f t="shared" si="26"/>
        <v>218.94495412844071</v>
      </c>
      <c r="T32" s="21">
        <f t="shared" si="25"/>
        <v>8.8388888888888886</v>
      </c>
      <c r="U32" s="35"/>
      <c r="V32" s="61">
        <v>300</v>
      </c>
      <c r="W32" s="13">
        <f t="shared" si="29"/>
        <v>2651.6666666666665</v>
      </c>
      <c r="Y32" s="142"/>
    </row>
    <row r="33" spans="1:26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20">
        <v>325.33333333333331</v>
      </c>
      <c r="F33" s="96">
        <v>2354</v>
      </c>
      <c r="G33" s="96">
        <v>118.66666666666666</v>
      </c>
      <c r="H33" s="96">
        <v>221.33333333333331</v>
      </c>
      <c r="I33" s="17"/>
      <c r="J33" s="36"/>
      <c r="K33" s="36"/>
      <c r="L33" s="36"/>
      <c r="M33" s="127"/>
      <c r="N33" s="127">
        <v>654.66666666666799</v>
      </c>
      <c r="O33" s="17">
        <v>3177.33</v>
      </c>
      <c r="P33" s="357"/>
      <c r="Q33" s="24">
        <f t="shared" si="23"/>
        <v>6851.3300000000017</v>
      </c>
      <c r="R33" s="5">
        <f t="shared" si="24"/>
        <v>6285.6238532110101</v>
      </c>
      <c r="S33" s="5">
        <f t="shared" si="26"/>
        <v>565.70614678899165</v>
      </c>
      <c r="T33" s="21">
        <f t="shared" si="25"/>
        <v>57.094416666666682</v>
      </c>
      <c r="U33" s="35"/>
      <c r="V33" s="61">
        <v>480</v>
      </c>
      <c r="W33" s="13">
        <f t="shared" si="29"/>
        <v>27405.320000000007</v>
      </c>
      <c r="Y33" s="142"/>
    </row>
    <row r="34" spans="1:26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6">
        <v>534</v>
      </c>
      <c r="G34" s="96"/>
      <c r="H34" s="96">
        <v>459</v>
      </c>
      <c r="I34" s="17"/>
      <c r="J34" s="36"/>
      <c r="K34" s="36"/>
      <c r="L34" s="36"/>
      <c r="M34" s="127">
        <v>504</v>
      </c>
      <c r="N34" s="127">
        <v>0</v>
      </c>
      <c r="O34" s="17"/>
      <c r="P34" s="357"/>
      <c r="Q34" s="24">
        <f t="shared" si="23"/>
        <v>1497</v>
      </c>
      <c r="R34" s="5">
        <f t="shared" si="24"/>
        <v>1373.394495412844</v>
      </c>
      <c r="S34" s="5">
        <f t="shared" si="26"/>
        <v>123.60550458715602</v>
      </c>
      <c r="T34" s="21">
        <f t="shared" si="25"/>
        <v>2.7722222222222221</v>
      </c>
      <c r="U34" s="35"/>
      <c r="V34" s="61"/>
      <c r="W34" s="13"/>
      <c r="Y34" s="142"/>
    </row>
    <row r="35" spans="1:26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6">
        <v>469.5</v>
      </c>
      <c r="G35" s="96"/>
      <c r="H35" s="96"/>
      <c r="I35" s="17"/>
      <c r="J35" s="36"/>
      <c r="K35" s="36"/>
      <c r="L35" s="36"/>
      <c r="M35" s="127"/>
      <c r="N35" s="127">
        <v>0</v>
      </c>
      <c r="O35" s="17"/>
      <c r="P35" s="357"/>
      <c r="Q35" s="24">
        <f t="shared" si="23"/>
        <v>469.5</v>
      </c>
      <c r="R35" s="5">
        <f t="shared" si="24"/>
        <v>430.73394495412839</v>
      </c>
      <c r="S35" s="5">
        <f t="shared" si="26"/>
        <v>38.76605504587161</v>
      </c>
      <c r="T35" s="21">
        <f t="shared" si="25"/>
        <v>1.7388888888888889</v>
      </c>
      <c r="U35" s="35"/>
      <c r="V35" s="61">
        <v>270</v>
      </c>
      <c r="W35" s="13">
        <f t="shared" si="29"/>
        <v>469.5</v>
      </c>
      <c r="Y35" s="142"/>
    </row>
    <row r="36" spans="1:26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6">
        <v>0</v>
      </c>
      <c r="G36" s="96"/>
      <c r="H36" s="96"/>
      <c r="I36" s="17"/>
      <c r="J36" s="36"/>
      <c r="K36" s="36"/>
      <c r="L36" s="36"/>
      <c r="M36" s="127"/>
      <c r="N36" s="127">
        <v>0</v>
      </c>
      <c r="O36" s="17">
        <v>271.2</v>
      </c>
      <c r="P36" s="357"/>
      <c r="Q36" s="24">
        <f t="shared" si="23"/>
        <v>271.2</v>
      </c>
      <c r="R36" s="5">
        <f t="shared" si="24"/>
        <v>248.80733944954125</v>
      </c>
      <c r="S36" s="5">
        <f t="shared" si="26"/>
        <v>22.392660550458743</v>
      </c>
      <c r="T36" s="21">
        <f t="shared" si="25"/>
        <v>2.5111111111111111</v>
      </c>
      <c r="U36" s="35"/>
      <c r="V36" s="61">
        <v>432</v>
      </c>
      <c r="W36" s="13">
        <f t="shared" si="29"/>
        <v>1084.8</v>
      </c>
      <c r="Y36" s="142"/>
    </row>
    <row r="37" spans="1:26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6">
        <v>886.66666666666674</v>
      </c>
      <c r="G37" s="96"/>
      <c r="H37" s="96"/>
      <c r="I37" s="17"/>
      <c r="J37" s="36"/>
      <c r="K37" s="36"/>
      <c r="L37" s="36"/>
      <c r="M37" s="127"/>
      <c r="N37" s="127">
        <v>0</v>
      </c>
      <c r="O37" s="17"/>
      <c r="P37" s="357"/>
      <c r="Q37" s="24">
        <f t="shared" si="23"/>
        <v>886.66666666666674</v>
      </c>
      <c r="R37" s="5">
        <f t="shared" si="24"/>
        <v>813.4556574923547</v>
      </c>
      <c r="S37" s="5">
        <f t="shared" si="26"/>
        <v>73.211009174312039</v>
      </c>
      <c r="T37" s="21">
        <f t="shared" si="25"/>
        <v>0.98518518518518527</v>
      </c>
      <c r="U37" s="35"/>
      <c r="V37" s="61"/>
      <c r="W37" s="13"/>
      <c r="Y37" s="142"/>
    </row>
    <row r="38" spans="1:26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6">
        <v>0</v>
      </c>
      <c r="G38" s="96"/>
      <c r="H38" s="96">
        <v>855</v>
      </c>
      <c r="I38" s="17"/>
      <c r="J38" s="36"/>
      <c r="K38" s="36"/>
      <c r="L38" s="36"/>
      <c r="M38" s="127"/>
      <c r="N38" s="127">
        <v>0</v>
      </c>
      <c r="O38" s="17"/>
      <c r="P38" s="357"/>
      <c r="Q38" s="24">
        <f t="shared" si="23"/>
        <v>855</v>
      </c>
      <c r="R38" s="5">
        <f t="shared" si="24"/>
        <v>784.40366972477057</v>
      </c>
      <c r="S38" s="5">
        <f t="shared" si="26"/>
        <v>70.596330275229434</v>
      </c>
      <c r="T38" s="21">
        <f t="shared" si="25"/>
        <v>1.9</v>
      </c>
      <c r="U38" s="35"/>
      <c r="V38" s="61">
        <v>450</v>
      </c>
      <c r="W38" s="13">
        <f t="shared" si="29"/>
        <v>855</v>
      </c>
      <c r="Y38" s="142"/>
    </row>
    <row r="39" spans="1:26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6">
        <v>494.67</v>
      </c>
      <c r="G39" s="96"/>
      <c r="H39" s="96"/>
      <c r="I39" s="17"/>
      <c r="J39" s="36"/>
      <c r="K39" s="36"/>
      <c r="L39" s="36"/>
      <c r="M39" s="127"/>
      <c r="N39" s="127">
        <v>177.33333333333297</v>
      </c>
      <c r="O39" s="17">
        <v>514.00000106811524</v>
      </c>
      <c r="P39" s="357"/>
      <c r="Q39" s="24">
        <f t="shared" si="23"/>
        <v>1186.0033344014482</v>
      </c>
      <c r="R39" s="5">
        <f t="shared" si="24"/>
        <v>1088.0764535793103</v>
      </c>
      <c r="S39" s="5">
        <f t="shared" si="26"/>
        <v>97.926880822137946</v>
      </c>
      <c r="T39" s="21">
        <f t="shared" si="25"/>
        <v>6.5889074133413787</v>
      </c>
      <c r="U39" s="35"/>
      <c r="V39" s="61">
        <v>720</v>
      </c>
      <c r="W39" s="13">
        <f t="shared" si="29"/>
        <v>4744.0133376057929</v>
      </c>
      <c r="Y39" s="142"/>
    </row>
    <row r="40" spans="1:26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6"/>
      <c r="G40" s="96"/>
      <c r="H40" s="96"/>
      <c r="I40" s="17"/>
      <c r="J40" s="36"/>
      <c r="K40" s="36"/>
      <c r="L40" s="36"/>
      <c r="M40" s="127"/>
      <c r="N40" s="127">
        <v>0</v>
      </c>
      <c r="O40" s="17">
        <v>768</v>
      </c>
      <c r="P40" s="357"/>
      <c r="Q40" s="24">
        <f t="shared" si="23"/>
        <v>768</v>
      </c>
      <c r="R40" s="5">
        <f t="shared" si="24"/>
        <v>704.58715596330273</v>
      </c>
      <c r="S40" s="5">
        <f t="shared" si="26"/>
        <v>63.412844036697265</v>
      </c>
      <c r="T40" s="21">
        <f t="shared" si="25"/>
        <v>0.94814814814814818</v>
      </c>
      <c r="U40" s="71"/>
      <c r="V40" s="61"/>
      <c r="W40" s="13"/>
      <c r="Y40" s="142"/>
    </row>
    <row r="41" spans="1:26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6"/>
      <c r="G41" s="96"/>
      <c r="H41" s="96"/>
      <c r="I41" s="17"/>
      <c r="J41" s="36"/>
      <c r="K41" s="36"/>
      <c r="L41" s="36"/>
      <c r="M41" s="127"/>
      <c r="N41" s="127">
        <v>0</v>
      </c>
      <c r="O41" s="17"/>
      <c r="P41" s="357"/>
      <c r="Q41" s="24">
        <f t="shared" si="23"/>
        <v>0</v>
      </c>
      <c r="R41" s="5">
        <f t="shared" si="24"/>
        <v>0</v>
      </c>
      <c r="S41" s="5">
        <f t="shared" si="26"/>
        <v>0</v>
      </c>
      <c r="T41" s="21">
        <f t="shared" si="25"/>
        <v>0</v>
      </c>
      <c r="U41" s="71"/>
      <c r="V41" s="61">
        <v>405</v>
      </c>
      <c r="W41" s="13">
        <f t="shared" si="29"/>
        <v>0</v>
      </c>
      <c r="Y41" s="142"/>
    </row>
    <row r="42" spans="1:26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433"/>
      <c r="G42" s="433"/>
      <c r="H42" s="433"/>
      <c r="I42" s="196"/>
      <c r="J42" s="143"/>
      <c r="K42" s="143"/>
      <c r="L42" s="143"/>
      <c r="M42" s="221"/>
      <c r="N42" s="221">
        <v>0</v>
      </c>
      <c r="O42" s="196">
        <v>144</v>
      </c>
      <c r="P42" s="358"/>
      <c r="Q42" s="24">
        <f t="shared" si="23"/>
        <v>144</v>
      </c>
      <c r="R42" s="26">
        <f t="shared" si="24"/>
        <v>132.11009174311926</v>
      </c>
      <c r="S42" s="26">
        <f t="shared" si="26"/>
        <v>11.889908256880744</v>
      </c>
      <c r="T42" s="39">
        <f t="shared" si="25"/>
        <v>0.88888888888888884</v>
      </c>
      <c r="U42" s="71"/>
      <c r="V42" s="61">
        <v>648</v>
      </c>
      <c r="W42" s="13">
        <f t="shared" si="29"/>
        <v>576</v>
      </c>
      <c r="Y42" s="142"/>
    </row>
    <row r="43" spans="1:26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726.84931506849318</v>
      </c>
      <c r="F43" s="124">
        <v>23842.575342465752</v>
      </c>
      <c r="G43" s="124">
        <v>2710.8219178082195</v>
      </c>
      <c r="H43" s="124">
        <v>5063.2602739726035</v>
      </c>
      <c r="I43" s="124"/>
      <c r="J43" s="124"/>
      <c r="K43" s="124"/>
      <c r="L43" s="124"/>
      <c r="M43" s="124">
        <v>277.95</v>
      </c>
      <c r="N43" s="124">
        <v>0</v>
      </c>
      <c r="O43" s="148">
        <v>57.999999961853028</v>
      </c>
      <c r="P43" s="352"/>
      <c r="Q43" s="24">
        <f t="shared" si="23"/>
        <v>32679.456849276918</v>
      </c>
      <c r="R43" s="124">
        <f t="shared" si="24"/>
        <v>29981.153072731115</v>
      </c>
      <c r="S43" s="6">
        <f t="shared" si="26"/>
        <v>2698.303776545803</v>
      </c>
      <c r="T43" s="22">
        <f>+Q43/D43</f>
        <v>3267.9456849276917</v>
      </c>
      <c r="U43" s="71"/>
      <c r="V43" s="61"/>
      <c r="W43" s="13"/>
      <c r="X43" s="2"/>
      <c r="Y43" s="1"/>
    </row>
    <row r="44" spans="1:26" ht="12" customHeight="1" x14ac:dyDescent="0.25">
      <c r="A44" s="70" t="s">
        <v>16</v>
      </c>
      <c r="B44" s="52" t="s">
        <v>34</v>
      </c>
      <c r="C44" s="80" t="s">
        <v>91</v>
      </c>
      <c r="D44" s="78"/>
      <c r="E44" s="118">
        <f>+SUM(E45:E53)</f>
        <v>641.25</v>
      </c>
      <c r="F44" s="82">
        <f>+SUM(F45:F53)</f>
        <v>8444.32</v>
      </c>
      <c r="G44" s="82">
        <f>+SUM(G45:G53)</f>
        <v>1301.92</v>
      </c>
      <c r="H44" s="82">
        <f>+SUM(H45:H53)</f>
        <v>290.83000000000004</v>
      </c>
      <c r="I44" s="82">
        <f t="shared" ref="I44:T44" si="30">+SUM(I45:I53)</f>
        <v>0</v>
      </c>
      <c r="J44" s="82">
        <f t="shared" si="30"/>
        <v>0</v>
      </c>
      <c r="K44" s="187">
        <f t="shared" si="30"/>
        <v>0</v>
      </c>
      <c r="L44" s="187"/>
      <c r="M44" s="100">
        <f t="shared" ref="M44" si="31">+SUM(M45:M53)</f>
        <v>20.5</v>
      </c>
      <c r="N44" s="187">
        <f t="shared" si="30"/>
        <v>202.22000000000003</v>
      </c>
      <c r="O44" s="187">
        <f t="shared" si="30"/>
        <v>585.74</v>
      </c>
      <c r="P44" s="100">
        <f t="shared" si="30"/>
        <v>0</v>
      </c>
      <c r="Q44" s="42">
        <f>+SUM(Q45:Q53)</f>
        <v>11486.780000000002</v>
      </c>
      <c r="R44" s="82">
        <f t="shared" si="30"/>
        <v>10538.330275229358</v>
      </c>
      <c r="S44" s="82">
        <f t="shared" si="30"/>
        <v>948.44972477064312</v>
      </c>
      <c r="T44" s="19">
        <f t="shared" si="30"/>
        <v>585.80000000000007</v>
      </c>
      <c r="U44" s="71"/>
      <c r="V44" s="61"/>
      <c r="W44" s="105">
        <f>+SUM(W45:W68)</f>
        <v>8811.02</v>
      </c>
    </row>
    <row r="45" spans="1:26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121"/>
      <c r="F45" s="23"/>
      <c r="G45" s="23"/>
      <c r="H45" s="23"/>
      <c r="I45" s="83"/>
      <c r="J45" s="75"/>
      <c r="K45" s="75"/>
      <c r="L45" s="75"/>
      <c r="M45" s="127"/>
      <c r="N45" s="127"/>
      <c r="O45" s="308"/>
      <c r="P45" s="356"/>
      <c r="Q45" s="24">
        <f t="shared" ref="Q45:Q53" si="32">+SUM(E45:P45)</f>
        <v>0</v>
      </c>
      <c r="R45" s="99">
        <f t="shared" ref="R45:R53" si="33">+Q45/1.09</f>
        <v>0</v>
      </c>
      <c r="S45" s="64">
        <f t="shared" ref="S45:S53" si="34">+Q45-R45</f>
        <v>0</v>
      </c>
      <c r="T45" s="85">
        <f t="shared" ref="T45:T53" si="35">Q45/D45</f>
        <v>0</v>
      </c>
      <c r="U45" s="71"/>
      <c r="V45" s="61"/>
      <c r="W45" s="13"/>
      <c r="X45"/>
      <c r="Y45" s="142"/>
      <c r="Z45"/>
    </row>
    <row r="46" spans="1:26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122"/>
      <c r="F46" s="13"/>
      <c r="G46" s="13"/>
      <c r="H46" s="23"/>
      <c r="I46" s="13"/>
      <c r="J46" s="33"/>
      <c r="K46" s="33"/>
      <c r="L46" s="33"/>
      <c r="M46" s="127"/>
      <c r="N46" s="127"/>
      <c r="O46" s="13"/>
      <c r="P46" s="357"/>
      <c r="Q46" s="24">
        <f t="shared" si="32"/>
        <v>0</v>
      </c>
      <c r="R46" s="5">
        <f t="shared" si="33"/>
        <v>0</v>
      </c>
      <c r="S46" s="5">
        <f t="shared" si="34"/>
        <v>0</v>
      </c>
      <c r="T46" s="31">
        <f t="shared" si="35"/>
        <v>0</v>
      </c>
      <c r="U46" s="71"/>
      <c r="V46" s="61">
        <v>6</v>
      </c>
      <c r="W46" s="13">
        <f t="shared" ref="W46:W47" si="36">+T46*V46</f>
        <v>0</v>
      </c>
      <c r="Y46" s="142"/>
    </row>
    <row r="47" spans="1:26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122"/>
      <c r="F47" s="13"/>
      <c r="G47" s="13"/>
      <c r="H47" s="23"/>
      <c r="I47" s="13"/>
      <c r="J47" s="33"/>
      <c r="K47" s="33"/>
      <c r="L47" s="33"/>
      <c r="M47" s="127"/>
      <c r="N47" s="127"/>
      <c r="O47" s="13"/>
      <c r="P47" s="357"/>
      <c r="Q47" s="24">
        <f t="shared" si="32"/>
        <v>0</v>
      </c>
      <c r="R47" s="5">
        <f t="shared" si="33"/>
        <v>0</v>
      </c>
      <c r="S47" s="5">
        <f t="shared" si="34"/>
        <v>0</v>
      </c>
      <c r="T47" s="31">
        <f t="shared" si="35"/>
        <v>0</v>
      </c>
      <c r="U47" s="71"/>
      <c r="V47" s="61">
        <v>9.6</v>
      </c>
      <c r="W47" s="13">
        <f t="shared" si="36"/>
        <v>0</v>
      </c>
      <c r="Y47" s="142"/>
    </row>
    <row r="48" spans="1:26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123">
        <v>14</v>
      </c>
      <c r="F48" s="13">
        <v>854</v>
      </c>
      <c r="G48" s="13">
        <v>35</v>
      </c>
      <c r="H48" s="13">
        <v>42</v>
      </c>
      <c r="I48" s="13"/>
      <c r="J48" s="33"/>
      <c r="K48" s="33"/>
      <c r="L48" s="33"/>
      <c r="M48" s="127"/>
      <c r="N48" s="127"/>
      <c r="O48" s="13">
        <v>14</v>
      </c>
      <c r="P48" s="357"/>
      <c r="Q48" s="24">
        <f t="shared" si="32"/>
        <v>959</v>
      </c>
      <c r="R48" s="5">
        <f t="shared" si="33"/>
        <v>879.81651376146783</v>
      </c>
      <c r="S48" s="5">
        <f t="shared" si="34"/>
        <v>79.183486238532168</v>
      </c>
      <c r="T48" s="31">
        <f t="shared" si="35"/>
        <v>45.666666666666664</v>
      </c>
      <c r="U48" s="71"/>
      <c r="V48" s="61"/>
      <c r="W48" s="13"/>
      <c r="Y48" s="142"/>
    </row>
    <row r="49" spans="1:25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123"/>
      <c r="F49" s="13">
        <v>42</v>
      </c>
      <c r="G49" s="13">
        <v>3.5</v>
      </c>
      <c r="H49" s="13">
        <v>0</v>
      </c>
      <c r="I49" s="13"/>
      <c r="J49" s="33"/>
      <c r="K49" s="33"/>
      <c r="L49" s="33"/>
      <c r="M49" s="127"/>
      <c r="N49" s="127"/>
      <c r="O49" s="13">
        <v>10.5</v>
      </c>
      <c r="P49" s="357"/>
      <c r="Q49" s="24">
        <f t="shared" si="32"/>
        <v>56</v>
      </c>
      <c r="R49" s="5">
        <f t="shared" si="33"/>
        <v>51.376146788990823</v>
      </c>
      <c r="S49" s="5">
        <f t="shared" si="34"/>
        <v>4.6238532110091768</v>
      </c>
      <c r="T49" s="21">
        <f t="shared" si="35"/>
        <v>5.333333333333333</v>
      </c>
      <c r="U49" s="71"/>
      <c r="V49" s="61">
        <v>10.5</v>
      </c>
      <c r="W49" s="13">
        <f t="shared" ref="W49:W50" si="37">+T49*V49</f>
        <v>56</v>
      </c>
      <c r="Y49" s="142"/>
    </row>
    <row r="50" spans="1:25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123">
        <v>26.6</v>
      </c>
      <c r="F50" s="13">
        <v>434</v>
      </c>
      <c r="G50" s="13">
        <v>49</v>
      </c>
      <c r="H50" s="13">
        <v>9.8000000000000007</v>
      </c>
      <c r="I50" s="13"/>
      <c r="J50" s="33"/>
      <c r="K50" s="33"/>
      <c r="L50" s="33"/>
      <c r="M50" s="127"/>
      <c r="N50" s="127">
        <v>21</v>
      </c>
      <c r="O50" s="13">
        <v>26.6</v>
      </c>
      <c r="P50" s="357"/>
      <c r="Q50" s="24">
        <f t="shared" si="32"/>
        <v>567</v>
      </c>
      <c r="R50" s="5">
        <f t="shared" si="33"/>
        <v>520.18348623853205</v>
      </c>
      <c r="S50" s="5">
        <f t="shared" si="34"/>
        <v>46.816513761467945</v>
      </c>
      <c r="T50" s="21">
        <f t="shared" si="35"/>
        <v>135</v>
      </c>
      <c r="U50" s="71"/>
      <c r="V50" s="61">
        <v>16.8</v>
      </c>
      <c r="W50" s="13">
        <f t="shared" si="37"/>
        <v>2268</v>
      </c>
      <c r="Y50" s="142"/>
    </row>
    <row r="51" spans="1:25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123">
        <v>496.1</v>
      </c>
      <c r="F51" s="13">
        <v>5547.3</v>
      </c>
      <c r="G51" s="13">
        <v>934.8</v>
      </c>
      <c r="H51" s="13">
        <v>217.3</v>
      </c>
      <c r="I51" s="13"/>
      <c r="J51" s="33"/>
      <c r="K51" s="33"/>
      <c r="L51" s="33"/>
      <c r="M51" s="127"/>
      <c r="N51" s="127">
        <v>143.50000000000003</v>
      </c>
      <c r="O51" s="13">
        <v>332.1</v>
      </c>
      <c r="P51" s="357"/>
      <c r="Q51" s="24">
        <f t="shared" si="32"/>
        <v>7671.1000000000013</v>
      </c>
      <c r="R51" s="5">
        <f t="shared" si="33"/>
        <v>7037.7064220183493</v>
      </c>
      <c r="S51" s="5">
        <f t="shared" si="34"/>
        <v>633.39357798165202</v>
      </c>
      <c r="T51" s="21">
        <f t="shared" si="35"/>
        <v>187.10000000000002</v>
      </c>
      <c r="U51" s="71"/>
      <c r="V51" s="61"/>
      <c r="W51" s="13"/>
      <c r="Y51" s="142"/>
    </row>
    <row r="52" spans="1:25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123">
        <v>63.55</v>
      </c>
      <c r="F52" s="13">
        <v>615</v>
      </c>
      <c r="G52" s="13">
        <v>110.7</v>
      </c>
      <c r="H52" s="13">
        <v>2.0499999999999998</v>
      </c>
      <c r="I52" s="13"/>
      <c r="J52" s="33"/>
      <c r="K52" s="33"/>
      <c r="L52" s="33"/>
      <c r="M52" s="127">
        <v>12.3</v>
      </c>
      <c r="N52" s="127">
        <v>0</v>
      </c>
      <c r="O52" s="13">
        <v>12.3</v>
      </c>
      <c r="P52" s="357"/>
      <c r="Q52" s="24">
        <f t="shared" si="32"/>
        <v>815.89999999999986</v>
      </c>
      <c r="R52" s="5">
        <f t="shared" si="33"/>
        <v>748.53211009174299</v>
      </c>
      <c r="S52" s="5">
        <f t="shared" si="34"/>
        <v>67.367889908256871</v>
      </c>
      <c r="T52" s="21">
        <f t="shared" si="35"/>
        <v>39.79999999999999</v>
      </c>
      <c r="U52" s="71"/>
      <c r="V52" s="61">
        <v>20.5</v>
      </c>
      <c r="W52" s="13">
        <f t="shared" ref="W52:W53" si="38">+T52*V52</f>
        <v>815.89999999999975</v>
      </c>
      <c r="Y52" s="142"/>
    </row>
    <row r="53" spans="1:25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41</v>
      </c>
      <c r="F53" s="14">
        <v>952.02</v>
      </c>
      <c r="G53" s="14">
        <v>168.92</v>
      </c>
      <c r="H53" s="14">
        <v>19.68</v>
      </c>
      <c r="I53" s="14"/>
      <c r="J53" s="76"/>
      <c r="K53" s="76"/>
      <c r="L53" s="76"/>
      <c r="M53" s="148">
        <v>8.1999999999999993</v>
      </c>
      <c r="N53" s="148">
        <v>37.720000000000006</v>
      </c>
      <c r="O53" s="14">
        <v>190.24</v>
      </c>
      <c r="P53" s="224"/>
      <c r="Q53" s="359">
        <f t="shared" si="32"/>
        <v>1417.7800000000002</v>
      </c>
      <c r="R53" s="6">
        <f t="shared" si="33"/>
        <v>1300.7155963302753</v>
      </c>
      <c r="S53" s="6">
        <f t="shared" si="34"/>
        <v>117.06440366972492</v>
      </c>
      <c r="T53" s="22">
        <f t="shared" si="35"/>
        <v>172.90000000000003</v>
      </c>
      <c r="U53" s="35"/>
      <c r="V53" s="61">
        <v>32.799999999999997</v>
      </c>
      <c r="W53" s="13">
        <f t="shared" si="38"/>
        <v>5671.1200000000008</v>
      </c>
      <c r="Y53" s="14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  <mergeCell ref="W3:W4"/>
    <mergeCell ref="N3:N4"/>
    <mergeCell ref="O3:P4"/>
    <mergeCell ref="Q3:Q4"/>
    <mergeCell ref="R3:R4"/>
    <mergeCell ref="S3:S4"/>
    <mergeCell ref="T3:T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126"/>
  <sheetViews>
    <sheetView zoomScale="85" zoomScaleNormal="85" workbookViewId="0">
      <pane ySplit="3" topLeftCell="A107" activePane="bottomLeft" state="frozen"/>
      <selection pane="bottomLeft" activeCell="O89" sqref="O89"/>
    </sheetView>
  </sheetViews>
  <sheetFormatPr defaultRowHeight="14.4" outlineLevelCol="1" x14ac:dyDescent="0.3"/>
  <cols>
    <col min="1" max="1" width="7.33203125" customWidth="1"/>
    <col min="2" max="2" width="13.109375" customWidth="1"/>
    <col min="3" max="3" width="12.33203125" customWidth="1" outlineLevel="1"/>
    <col min="4" max="4" width="14.109375" customWidth="1"/>
    <col min="5" max="5" width="24.77734375" customWidth="1"/>
    <col min="6" max="6" width="9.21875" customWidth="1"/>
    <col min="7" max="7" width="27.33203125" customWidth="1"/>
    <col min="8" max="8" width="11.33203125" customWidth="1"/>
    <col min="10" max="10" width="9.109375" bestFit="1" customWidth="1"/>
    <col min="13" max="13" width="10.109375" style="288" bestFit="1" customWidth="1"/>
    <col min="14" max="14" width="2.33203125" customWidth="1"/>
    <col min="15" max="15" width="11" bestFit="1" customWidth="1"/>
  </cols>
  <sheetData>
    <row r="1" spans="1:15" x14ac:dyDescent="0.3">
      <c r="A1" t="s">
        <v>217</v>
      </c>
    </row>
    <row r="2" spans="1:15" ht="15.6" customHeight="1" x14ac:dyDescent="0.3"/>
    <row r="3" spans="1:15" ht="32.4" customHeight="1" x14ac:dyDescent="0.3">
      <c r="A3" s="271"/>
      <c r="B3" s="278" t="s">
        <v>237</v>
      </c>
      <c r="C3" s="278" t="s">
        <v>215</v>
      </c>
      <c r="D3" s="278" t="s">
        <v>216</v>
      </c>
      <c r="E3" s="278" t="s">
        <v>213</v>
      </c>
      <c r="F3" s="278" t="s">
        <v>223</v>
      </c>
      <c r="G3" s="278" t="s">
        <v>214</v>
      </c>
      <c r="H3" s="279" t="s">
        <v>151</v>
      </c>
      <c r="I3" s="571" t="s">
        <v>350</v>
      </c>
      <c r="J3" s="572"/>
      <c r="K3" s="573"/>
      <c r="L3" s="569" t="s">
        <v>224</v>
      </c>
      <c r="M3" s="570"/>
      <c r="O3" s="299" t="s">
        <v>266</v>
      </c>
    </row>
    <row r="4" spans="1:15" x14ac:dyDescent="0.3">
      <c r="A4" s="272" t="s">
        <v>211</v>
      </c>
      <c r="B4" s="273"/>
      <c r="C4" s="273"/>
      <c r="D4" s="273"/>
      <c r="E4" s="273"/>
      <c r="F4" s="276">
        <f>+SUM(F5:F8)</f>
        <v>123.2</v>
      </c>
      <c r="G4" s="273"/>
      <c r="H4" s="276">
        <f>+H5+H6</f>
        <v>-110</v>
      </c>
      <c r="I4" s="273"/>
      <c r="J4" s="314"/>
      <c r="K4" s="273"/>
      <c r="L4" s="313"/>
      <c r="M4" s="297"/>
    </row>
    <row r="5" spans="1:15" x14ac:dyDescent="0.3">
      <c r="A5" s="281"/>
      <c r="B5" s="282">
        <v>41613</v>
      </c>
      <c r="C5" s="282">
        <v>41609</v>
      </c>
      <c r="D5" s="283" t="s">
        <v>218</v>
      </c>
      <c r="E5" s="283" t="s">
        <v>219</v>
      </c>
      <c r="F5" s="284">
        <v>90</v>
      </c>
      <c r="G5" s="283" t="s">
        <v>220</v>
      </c>
      <c r="H5" s="281">
        <v>-90</v>
      </c>
      <c r="I5" s="281"/>
      <c r="J5" s="315"/>
      <c r="K5" s="281"/>
      <c r="L5" s="313" t="s">
        <v>224</v>
      </c>
      <c r="M5" s="302">
        <v>41621</v>
      </c>
      <c r="N5" s="301"/>
      <c r="O5" s="301" t="s">
        <v>248</v>
      </c>
    </row>
    <row r="6" spans="1:15" x14ac:dyDescent="0.3">
      <c r="A6" s="281"/>
      <c r="B6" s="285">
        <v>41624</v>
      </c>
      <c r="C6" s="285">
        <v>41621</v>
      </c>
      <c r="D6" s="283" t="s">
        <v>218</v>
      </c>
      <c r="E6" s="283" t="s">
        <v>221</v>
      </c>
      <c r="F6" s="286">
        <v>20</v>
      </c>
      <c r="G6" s="283" t="s">
        <v>222</v>
      </c>
      <c r="H6" s="281">
        <v>-20</v>
      </c>
      <c r="I6" s="281"/>
      <c r="J6" s="315"/>
      <c r="K6" s="281"/>
      <c r="L6" s="313" t="s">
        <v>224</v>
      </c>
      <c r="M6" s="303">
        <v>41670</v>
      </c>
      <c r="N6" s="301"/>
      <c r="O6" s="301" t="s">
        <v>248</v>
      </c>
    </row>
    <row r="7" spans="1:15" x14ac:dyDescent="0.3">
      <c r="A7" s="271"/>
      <c r="B7" s="274">
        <v>41659</v>
      </c>
      <c r="C7" s="271"/>
      <c r="D7" s="275" t="s">
        <v>232</v>
      </c>
      <c r="E7" s="275" t="s">
        <v>225</v>
      </c>
      <c r="F7" s="271">
        <v>8.8000000000000007</v>
      </c>
      <c r="G7" s="275" t="s">
        <v>227</v>
      </c>
      <c r="H7" s="271"/>
      <c r="I7" s="271"/>
      <c r="J7" s="316"/>
      <c r="K7" s="271"/>
      <c r="L7" s="313" t="s">
        <v>224</v>
      </c>
      <c r="M7" s="304">
        <v>41698</v>
      </c>
      <c r="N7" s="142"/>
      <c r="O7" s="142"/>
    </row>
    <row r="8" spans="1:15" x14ac:dyDescent="0.3">
      <c r="A8" s="271"/>
      <c r="B8" s="274">
        <v>41666</v>
      </c>
      <c r="C8" s="271"/>
      <c r="D8" s="275" t="s">
        <v>232</v>
      </c>
      <c r="E8" s="275" t="s">
        <v>225</v>
      </c>
      <c r="F8" s="271">
        <v>4.4000000000000004</v>
      </c>
      <c r="G8" s="275" t="s">
        <v>228</v>
      </c>
      <c r="H8" s="271"/>
      <c r="I8" s="271"/>
      <c r="J8" s="316"/>
      <c r="K8" s="271"/>
      <c r="L8" s="313" t="s">
        <v>224</v>
      </c>
      <c r="M8" s="298">
        <v>41719</v>
      </c>
    </row>
    <row r="9" spans="1:15" x14ac:dyDescent="0.3">
      <c r="A9" s="272" t="s">
        <v>212</v>
      </c>
      <c r="B9" s="273"/>
      <c r="C9" s="273"/>
      <c r="D9" s="280"/>
      <c r="E9" s="280"/>
      <c r="F9" s="276">
        <f>+SUM(F10:F17)</f>
        <v>323.59999999999997</v>
      </c>
      <c r="G9" s="280"/>
      <c r="H9" s="276">
        <f>+H14+H15+H16+H17</f>
        <v>-114.2</v>
      </c>
      <c r="I9" s="273"/>
      <c r="J9" s="314"/>
      <c r="K9" s="273"/>
      <c r="L9" s="313"/>
      <c r="M9" s="297"/>
    </row>
    <row r="10" spans="1:15" x14ac:dyDescent="0.3">
      <c r="A10" s="271"/>
      <c r="B10" s="274">
        <v>41682</v>
      </c>
      <c r="C10" s="271"/>
      <c r="D10" s="275" t="s">
        <v>305</v>
      </c>
      <c r="E10" s="275" t="s">
        <v>225</v>
      </c>
      <c r="F10" s="277">
        <v>101.8</v>
      </c>
      <c r="G10" s="275" t="s">
        <v>226</v>
      </c>
      <c r="H10" s="271"/>
      <c r="I10" s="271"/>
      <c r="J10" s="316"/>
      <c r="K10" s="271"/>
      <c r="L10" s="313" t="s">
        <v>224</v>
      </c>
      <c r="M10" s="298">
        <v>41719</v>
      </c>
    </row>
    <row r="11" spans="1:15" x14ac:dyDescent="0.3">
      <c r="A11" s="271"/>
      <c r="B11" s="274">
        <v>41680</v>
      </c>
      <c r="C11" s="271"/>
      <c r="D11" s="275" t="s">
        <v>232</v>
      </c>
      <c r="E11" s="275" t="s">
        <v>225</v>
      </c>
      <c r="F11" s="271">
        <v>3.2</v>
      </c>
      <c r="G11" s="275" t="s">
        <v>229</v>
      </c>
      <c r="H11" s="271"/>
      <c r="I11" s="271"/>
      <c r="J11" s="316"/>
      <c r="K11" s="271"/>
      <c r="L11" s="313" t="s">
        <v>224</v>
      </c>
      <c r="M11" s="298">
        <v>41719</v>
      </c>
    </row>
    <row r="12" spans="1:15" x14ac:dyDescent="0.3">
      <c r="A12" s="271"/>
      <c r="B12" s="274">
        <v>41691</v>
      </c>
      <c r="C12" s="271"/>
      <c r="D12" s="275" t="s">
        <v>232</v>
      </c>
      <c r="E12" s="275" t="s">
        <v>225</v>
      </c>
      <c r="F12" s="271">
        <v>4.4000000000000004</v>
      </c>
      <c r="G12" s="275" t="s">
        <v>230</v>
      </c>
      <c r="H12" s="271"/>
      <c r="I12" s="271"/>
      <c r="J12" s="316"/>
      <c r="K12" s="271"/>
      <c r="L12" s="313" t="s">
        <v>224</v>
      </c>
      <c r="M12" s="298">
        <v>41719</v>
      </c>
    </row>
    <row r="13" spans="1:15" x14ac:dyDescent="0.3">
      <c r="A13" s="271"/>
      <c r="B13" s="274">
        <v>41684</v>
      </c>
      <c r="C13" s="274">
        <v>41679</v>
      </c>
      <c r="D13" s="275" t="s">
        <v>231</v>
      </c>
      <c r="E13" s="275" t="s">
        <v>225</v>
      </c>
      <c r="F13" s="271">
        <v>100</v>
      </c>
      <c r="G13" s="275" t="s">
        <v>233</v>
      </c>
      <c r="H13" s="271"/>
      <c r="I13" s="271"/>
      <c r="J13" s="316"/>
      <c r="K13" s="271"/>
      <c r="L13" s="313" t="s">
        <v>254</v>
      </c>
      <c r="M13" s="298">
        <v>41712</v>
      </c>
    </row>
    <row r="14" spans="1:15" x14ac:dyDescent="0.3">
      <c r="A14" s="281"/>
      <c r="B14" s="285">
        <v>41673</v>
      </c>
      <c r="C14" s="285">
        <v>41665</v>
      </c>
      <c r="D14" s="283" t="s">
        <v>218</v>
      </c>
      <c r="E14" s="283" t="s">
        <v>234</v>
      </c>
      <c r="F14" s="281">
        <v>50</v>
      </c>
      <c r="G14" s="283" t="s">
        <v>235</v>
      </c>
      <c r="H14" s="281">
        <v>-50</v>
      </c>
      <c r="I14" s="281"/>
      <c r="J14" s="315"/>
      <c r="K14" s="281"/>
      <c r="L14" s="313" t="s">
        <v>224</v>
      </c>
      <c r="M14" s="337">
        <v>41684</v>
      </c>
      <c r="N14" s="338"/>
      <c r="O14" s="301" t="s">
        <v>248</v>
      </c>
    </row>
    <row r="15" spans="1:15" x14ac:dyDescent="0.3">
      <c r="A15" s="281"/>
      <c r="B15" s="285">
        <v>41688</v>
      </c>
      <c r="C15" s="285">
        <v>41681</v>
      </c>
      <c r="D15" s="283" t="s">
        <v>218</v>
      </c>
      <c r="E15" s="283" t="s">
        <v>238</v>
      </c>
      <c r="F15" s="281">
        <v>44</v>
      </c>
      <c r="G15" s="283" t="s">
        <v>236</v>
      </c>
      <c r="H15" s="281">
        <v>-44</v>
      </c>
      <c r="I15" s="281"/>
      <c r="J15" s="315"/>
      <c r="K15" s="281"/>
      <c r="L15" s="313" t="s">
        <v>224</v>
      </c>
      <c r="M15" s="339">
        <v>41719</v>
      </c>
      <c r="N15" s="300"/>
      <c r="O15" s="300" t="s">
        <v>267</v>
      </c>
    </row>
    <row r="16" spans="1:15" x14ac:dyDescent="0.3">
      <c r="A16" s="281"/>
      <c r="B16" s="285">
        <v>41697</v>
      </c>
      <c r="C16" s="285">
        <v>41696</v>
      </c>
      <c r="D16" s="283" t="s">
        <v>218</v>
      </c>
      <c r="E16" s="283" t="s">
        <v>243</v>
      </c>
      <c r="F16" s="281">
        <v>18</v>
      </c>
      <c r="G16" s="283" t="s">
        <v>244</v>
      </c>
      <c r="H16" s="281">
        <v>-18</v>
      </c>
      <c r="I16" s="281"/>
      <c r="J16" s="315"/>
      <c r="K16" s="281"/>
      <c r="L16" s="313" t="s">
        <v>224</v>
      </c>
      <c r="M16" s="339">
        <v>41726</v>
      </c>
      <c r="N16" s="300"/>
      <c r="O16" s="300" t="s">
        <v>267</v>
      </c>
    </row>
    <row r="17" spans="1:16" x14ac:dyDescent="0.3">
      <c r="A17" s="281"/>
      <c r="B17" s="285">
        <v>41695</v>
      </c>
      <c r="C17" s="281"/>
      <c r="D17" s="283" t="s">
        <v>232</v>
      </c>
      <c r="E17" s="283" t="s">
        <v>245</v>
      </c>
      <c r="F17" s="281">
        <v>2.2000000000000002</v>
      </c>
      <c r="G17" s="283" t="s">
        <v>246</v>
      </c>
      <c r="H17" s="281">
        <v>-2.2000000000000002</v>
      </c>
      <c r="I17" s="281"/>
      <c r="J17" s="315"/>
      <c r="K17" s="281"/>
      <c r="L17" s="313" t="s">
        <v>224</v>
      </c>
      <c r="M17" s="340">
        <v>41736</v>
      </c>
      <c r="N17" s="300"/>
      <c r="O17" s="300" t="s">
        <v>267</v>
      </c>
      <c r="P17" t="s">
        <v>346</v>
      </c>
    </row>
    <row r="18" spans="1:16" x14ac:dyDescent="0.3">
      <c r="A18" s="293" t="s">
        <v>250</v>
      </c>
      <c r="B18" s="294"/>
      <c r="C18" s="294"/>
      <c r="D18" s="295"/>
      <c r="E18" s="295"/>
      <c r="F18" s="296">
        <f>+SUM(F19:F25)</f>
        <v>449.20000000000005</v>
      </c>
      <c r="G18" s="295"/>
      <c r="H18" s="296"/>
      <c r="I18" s="294"/>
      <c r="J18" s="317"/>
      <c r="K18" s="273"/>
    </row>
    <row r="19" spans="1:16" x14ac:dyDescent="0.3">
      <c r="A19" s="281"/>
      <c r="B19" s="285">
        <v>41715</v>
      </c>
      <c r="C19" s="285">
        <v>41701</v>
      </c>
      <c r="D19" s="283" t="s">
        <v>218</v>
      </c>
      <c r="E19" s="285" t="s">
        <v>251</v>
      </c>
      <c r="F19" s="286">
        <v>209.6</v>
      </c>
      <c r="G19" s="284" t="s">
        <v>252</v>
      </c>
      <c r="H19" s="281">
        <v>-209.6</v>
      </c>
      <c r="I19" s="281"/>
      <c r="J19" s="315"/>
      <c r="K19" s="281"/>
      <c r="L19" s="313" t="s">
        <v>224</v>
      </c>
      <c r="M19" s="339">
        <v>41740</v>
      </c>
      <c r="N19" s="300"/>
      <c r="O19" s="300" t="s">
        <v>267</v>
      </c>
    </row>
    <row r="20" spans="1:16" x14ac:dyDescent="0.3">
      <c r="A20" s="271"/>
      <c r="B20" s="274">
        <v>41715</v>
      </c>
      <c r="C20" s="274">
        <v>41711</v>
      </c>
      <c r="D20" s="275" t="s">
        <v>231</v>
      </c>
      <c r="E20" s="275" t="s">
        <v>225</v>
      </c>
      <c r="F20" s="277">
        <v>50</v>
      </c>
      <c r="G20" s="275" t="s">
        <v>253</v>
      </c>
      <c r="H20" s="271"/>
      <c r="I20" s="271"/>
      <c r="J20" s="316"/>
      <c r="K20" s="271"/>
      <c r="L20" s="313" t="s">
        <v>224</v>
      </c>
      <c r="M20" s="298">
        <v>41740</v>
      </c>
    </row>
    <row r="21" spans="1:16" x14ac:dyDescent="0.3">
      <c r="A21" s="271"/>
      <c r="B21" s="274">
        <v>41723</v>
      </c>
      <c r="C21" s="274">
        <v>41719</v>
      </c>
      <c r="D21" s="275" t="s">
        <v>231</v>
      </c>
      <c r="E21" s="275" t="s">
        <v>225</v>
      </c>
      <c r="F21" s="271">
        <v>22</v>
      </c>
      <c r="G21" s="275" t="s">
        <v>259</v>
      </c>
      <c r="H21" s="271"/>
      <c r="I21" s="271"/>
      <c r="J21" s="316"/>
      <c r="K21" s="271"/>
      <c r="L21" s="313"/>
      <c r="M21" s="297"/>
    </row>
    <row r="22" spans="1:16" x14ac:dyDescent="0.3">
      <c r="A22" s="271"/>
      <c r="B22" s="274">
        <v>41724</v>
      </c>
      <c r="C22" s="274">
        <v>41723</v>
      </c>
      <c r="D22" s="287" t="s">
        <v>260</v>
      </c>
      <c r="E22" s="275" t="s">
        <v>225</v>
      </c>
      <c r="F22" s="271">
        <v>50</v>
      </c>
      <c r="G22" s="275" t="s">
        <v>261</v>
      </c>
      <c r="H22" s="271"/>
      <c r="I22" s="271"/>
      <c r="J22" s="316"/>
      <c r="K22" s="271"/>
      <c r="L22" s="313"/>
      <c r="M22" s="297"/>
    </row>
    <row r="23" spans="1:16" x14ac:dyDescent="0.3">
      <c r="A23" s="271"/>
      <c r="B23" s="274">
        <v>41727</v>
      </c>
      <c r="C23" s="274">
        <v>41713</v>
      </c>
      <c r="D23" s="287" t="s">
        <v>231</v>
      </c>
      <c r="E23" s="275" t="s">
        <v>225</v>
      </c>
      <c r="F23" s="271">
        <v>100</v>
      </c>
      <c r="G23" s="275" t="s">
        <v>262</v>
      </c>
      <c r="H23" s="271"/>
      <c r="I23" s="271"/>
      <c r="J23" s="316"/>
      <c r="K23" s="271"/>
      <c r="L23" s="313"/>
      <c r="M23" s="297"/>
    </row>
    <row r="24" spans="1:16" x14ac:dyDescent="0.3">
      <c r="A24" s="271"/>
      <c r="B24" s="274">
        <v>41718</v>
      </c>
      <c r="C24" s="271"/>
      <c r="D24" s="275" t="s">
        <v>232</v>
      </c>
      <c r="E24" s="275" t="s">
        <v>225</v>
      </c>
      <c r="F24" s="271">
        <v>6.6</v>
      </c>
      <c r="G24" s="275" t="s">
        <v>263</v>
      </c>
      <c r="H24" s="271"/>
      <c r="I24" s="271"/>
      <c r="J24" s="316"/>
      <c r="K24" s="271"/>
      <c r="L24" t="s">
        <v>224</v>
      </c>
      <c r="M24" s="319">
        <v>41740</v>
      </c>
    </row>
    <row r="25" spans="1:16" x14ac:dyDescent="0.3">
      <c r="A25" s="271"/>
      <c r="B25" s="274">
        <v>41724</v>
      </c>
      <c r="C25" s="271"/>
      <c r="D25" s="275" t="s">
        <v>232</v>
      </c>
      <c r="E25" s="275" t="s">
        <v>225</v>
      </c>
      <c r="F25" s="271">
        <v>11</v>
      </c>
      <c r="G25" s="275" t="s">
        <v>264</v>
      </c>
      <c r="H25" s="271"/>
      <c r="I25" s="271"/>
      <c r="J25" s="316"/>
      <c r="K25" s="271"/>
    </row>
    <row r="26" spans="1:16" x14ac:dyDescent="0.3">
      <c r="A26" s="272" t="s">
        <v>265</v>
      </c>
      <c r="B26" s="273"/>
      <c r="C26" s="273"/>
      <c r="D26" s="280"/>
      <c r="E26" s="280"/>
      <c r="F26" s="276">
        <f>+SUM(F27:F33)</f>
        <v>999.4</v>
      </c>
      <c r="G26" s="280"/>
      <c r="H26" s="276"/>
      <c r="I26" s="334" t="s">
        <v>313</v>
      </c>
      <c r="J26" s="335" t="s">
        <v>314</v>
      </c>
      <c r="K26" s="334" t="s">
        <v>315</v>
      </c>
      <c r="M26" s="341"/>
      <c r="N26" s="342"/>
      <c r="O26" s="342"/>
    </row>
    <row r="27" spans="1:16" x14ac:dyDescent="0.3">
      <c r="A27" s="271"/>
      <c r="B27" s="274">
        <v>41741</v>
      </c>
      <c r="C27" s="274">
        <v>41733</v>
      </c>
      <c r="D27" s="287" t="s">
        <v>260</v>
      </c>
      <c r="E27" s="287" t="s">
        <v>225</v>
      </c>
      <c r="F27" s="318">
        <v>50</v>
      </c>
      <c r="G27" s="275" t="s">
        <v>300</v>
      </c>
      <c r="H27" s="271"/>
      <c r="I27" s="271"/>
      <c r="J27" s="271"/>
      <c r="K27" s="271"/>
    </row>
    <row r="28" spans="1:16" x14ac:dyDescent="0.3">
      <c r="A28" s="281"/>
      <c r="B28" s="285">
        <v>41752</v>
      </c>
      <c r="C28" s="285">
        <v>41739</v>
      </c>
      <c r="D28" s="283" t="s">
        <v>301</v>
      </c>
      <c r="E28" s="283" t="s">
        <v>302</v>
      </c>
      <c r="F28" s="281">
        <v>100</v>
      </c>
      <c r="G28" s="283" t="s">
        <v>303</v>
      </c>
      <c r="H28" s="281">
        <v>-100</v>
      </c>
      <c r="I28" s="286">
        <f>+H28/30*6</f>
        <v>-20</v>
      </c>
      <c r="J28" s="286">
        <f>+H28/30*24</f>
        <v>-80</v>
      </c>
      <c r="K28" s="363" t="s">
        <v>349</v>
      </c>
      <c r="L28" s="343" t="s">
        <v>347</v>
      </c>
      <c r="M28" s="368"/>
    </row>
    <row r="29" spans="1:16" x14ac:dyDescent="0.3">
      <c r="A29" s="318"/>
      <c r="B29" s="382">
        <v>41757</v>
      </c>
      <c r="C29" s="382"/>
      <c r="D29" s="275" t="s">
        <v>232</v>
      </c>
      <c r="E29" s="275" t="s">
        <v>225</v>
      </c>
      <c r="F29" s="271">
        <v>4.4000000000000004</v>
      </c>
      <c r="G29" s="275" t="s">
        <v>401</v>
      </c>
      <c r="H29" s="318"/>
      <c r="I29" s="383"/>
      <c r="J29" s="384"/>
      <c r="K29" s="385"/>
      <c r="L29" s="381"/>
      <c r="M29" s="368"/>
    </row>
    <row r="30" spans="1:16" x14ac:dyDescent="0.3">
      <c r="A30" s="272" t="s">
        <v>310</v>
      </c>
      <c r="B30" s="273"/>
      <c r="C30" s="273"/>
      <c r="D30" s="280"/>
      <c r="E30" s="280"/>
      <c r="F30" s="276">
        <f>+SUM(F31:F37)</f>
        <v>651</v>
      </c>
      <c r="G30" s="280"/>
      <c r="H30" s="336"/>
      <c r="I30" s="335" t="s">
        <v>314</v>
      </c>
      <c r="J30" s="334" t="s">
        <v>315</v>
      </c>
      <c r="K30" s="334" t="s">
        <v>319</v>
      </c>
    </row>
    <row r="31" spans="1:16" x14ac:dyDescent="0.3">
      <c r="A31" s="271"/>
      <c r="B31" s="274">
        <v>41761</v>
      </c>
      <c r="C31" s="274">
        <v>41757</v>
      </c>
      <c r="D31" s="287" t="s">
        <v>260</v>
      </c>
      <c r="E31" s="275" t="s">
        <v>225</v>
      </c>
      <c r="F31" s="333">
        <v>50</v>
      </c>
      <c r="G31" s="275" t="s">
        <v>311</v>
      </c>
      <c r="H31" s="271"/>
      <c r="I31" s="271"/>
      <c r="J31" s="316"/>
      <c r="K31" s="271"/>
      <c r="L31" s="313"/>
      <c r="M31" s="298"/>
    </row>
    <row r="32" spans="1:16" x14ac:dyDescent="0.3">
      <c r="A32" s="271"/>
      <c r="B32" s="274">
        <v>41761</v>
      </c>
      <c r="C32" s="274">
        <v>41757</v>
      </c>
      <c r="D32" s="287" t="s">
        <v>260</v>
      </c>
      <c r="E32" s="275" t="s">
        <v>225</v>
      </c>
      <c r="F32" s="333">
        <v>90</v>
      </c>
      <c r="G32" s="275" t="s">
        <v>312</v>
      </c>
      <c r="H32" s="271"/>
      <c r="I32" s="271"/>
      <c r="J32" s="316"/>
      <c r="K32" s="271"/>
      <c r="L32" s="313"/>
      <c r="M32" s="297"/>
    </row>
    <row r="33" spans="1:14" x14ac:dyDescent="0.3">
      <c r="A33" s="281"/>
      <c r="B33" s="285">
        <v>41766</v>
      </c>
      <c r="C33" s="285">
        <v>41762</v>
      </c>
      <c r="D33" s="283" t="s">
        <v>301</v>
      </c>
      <c r="E33" s="283" t="s">
        <v>317</v>
      </c>
      <c r="F33" s="281">
        <v>54</v>
      </c>
      <c r="G33" s="283" t="s">
        <v>318</v>
      </c>
      <c r="H33" s="286">
        <f>+I33+J33+K33</f>
        <v>-54</v>
      </c>
      <c r="I33" s="377">
        <v>-17.399999999999999</v>
      </c>
      <c r="J33" s="377">
        <v>-18</v>
      </c>
      <c r="K33" s="379">
        <v>-18.600000000000001</v>
      </c>
      <c r="L33" s="378"/>
      <c r="M33" s="297" t="s">
        <v>385</v>
      </c>
      <c r="N33" s="368" t="s">
        <v>386</v>
      </c>
    </row>
    <row r="34" spans="1:14" x14ac:dyDescent="0.3">
      <c r="A34" s="271"/>
      <c r="B34" s="274">
        <v>41774</v>
      </c>
      <c r="C34" s="274">
        <v>41774</v>
      </c>
      <c r="D34" s="287" t="s">
        <v>231</v>
      </c>
      <c r="E34" s="275" t="s">
        <v>225</v>
      </c>
      <c r="F34" s="271">
        <v>10</v>
      </c>
      <c r="G34" s="275" t="s">
        <v>320</v>
      </c>
      <c r="H34" s="271"/>
      <c r="I34" s="271"/>
      <c r="J34" s="316"/>
      <c r="K34" s="271"/>
      <c r="L34" s="313"/>
      <c r="M34" s="297"/>
    </row>
    <row r="35" spans="1:14" x14ac:dyDescent="0.3">
      <c r="A35" s="281"/>
      <c r="B35" s="285">
        <v>41782</v>
      </c>
      <c r="C35" s="285">
        <v>41774</v>
      </c>
      <c r="D35" s="283" t="s">
        <v>301</v>
      </c>
      <c r="E35" s="283" t="s">
        <v>326</v>
      </c>
      <c r="F35" s="281">
        <v>90</v>
      </c>
      <c r="G35" s="283" t="s">
        <v>327</v>
      </c>
      <c r="H35" s="286">
        <v>-90</v>
      </c>
      <c r="I35" s="377">
        <f>+H35/30*9</f>
        <v>-27</v>
      </c>
      <c r="J35" s="377">
        <f>+H35/30*21</f>
        <v>-63</v>
      </c>
      <c r="K35" s="286"/>
      <c r="L35" s="313"/>
      <c r="M35" s="297"/>
    </row>
    <row r="36" spans="1:14" x14ac:dyDescent="0.3">
      <c r="A36" s="281"/>
      <c r="B36" s="285">
        <v>41787</v>
      </c>
      <c r="C36" s="285">
        <v>41784</v>
      </c>
      <c r="D36" s="283" t="s">
        <v>301</v>
      </c>
      <c r="E36" s="283" t="s">
        <v>302</v>
      </c>
      <c r="F36" s="281">
        <v>100</v>
      </c>
      <c r="G36" s="283" t="s">
        <v>328</v>
      </c>
      <c r="H36" s="286">
        <v>-100</v>
      </c>
      <c r="I36" s="377">
        <v>-13.33</v>
      </c>
      <c r="J36" s="377">
        <f>+H36/30*26</f>
        <v>-86.666666666666671</v>
      </c>
      <c r="K36" s="286"/>
      <c r="L36" s="313"/>
      <c r="M36" s="297"/>
    </row>
    <row r="37" spans="1:14" x14ac:dyDescent="0.3">
      <c r="A37" s="272" t="s">
        <v>358</v>
      </c>
      <c r="B37" s="273"/>
      <c r="C37" s="273"/>
      <c r="D37" s="280"/>
      <c r="E37" s="280"/>
      <c r="F37" s="276">
        <f>+SUM(F38:F41)</f>
        <v>257</v>
      </c>
      <c r="G37" s="280"/>
      <c r="H37" s="336"/>
      <c r="I37" s="335" t="s">
        <v>315</v>
      </c>
      <c r="J37" s="334" t="s">
        <v>319</v>
      </c>
      <c r="K37" s="334" t="s">
        <v>383</v>
      </c>
    </row>
    <row r="38" spans="1:14" x14ac:dyDescent="0.3">
      <c r="A38" s="271"/>
      <c r="B38" s="274">
        <v>41816</v>
      </c>
      <c r="C38" s="274">
        <v>41813</v>
      </c>
      <c r="D38" s="287" t="s">
        <v>260</v>
      </c>
      <c r="E38" s="275" t="s">
        <v>225</v>
      </c>
      <c r="F38" s="333">
        <v>50</v>
      </c>
      <c r="G38" s="275" t="s">
        <v>380</v>
      </c>
      <c r="H38" s="271"/>
      <c r="I38" s="271"/>
      <c r="J38" s="316"/>
      <c r="K38" s="271"/>
      <c r="L38" s="313"/>
      <c r="M38" s="298"/>
    </row>
    <row r="39" spans="1:14" x14ac:dyDescent="0.3">
      <c r="A39" s="271"/>
      <c r="B39" s="274">
        <v>41817</v>
      </c>
      <c r="C39" s="274">
        <v>41806</v>
      </c>
      <c r="D39" s="287" t="s">
        <v>231</v>
      </c>
      <c r="E39" s="275" t="s">
        <v>225</v>
      </c>
      <c r="F39" s="333">
        <v>45</v>
      </c>
      <c r="G39" s="275" t="s">
        <v>381</v>
      </c>
      <c r="H39" s="271"/>
      <c r="I39" s="271"/>
      <c r="J39" s="316"/>
      <c r="K39" s="271"/>
      <c r="L39" s="313"/>
      <c r="M39" s="297"/>
    </row>
    <row r="40" spans="1:14" x14ac:dyDescent="0.3">
      <c r="A40" s="271"/>
      <c r="B40" s="274">
        <v>41818</v>
      </c>
      <c r="C40" s="274">
        <v>41813</v>
      </c>
      <c r="D40" s="287" t="s">
        <v>231</v>
      </c>
      <c r="E40" s="275" t="s">
        <v>225</v>
      </c>
      <c r="F40" s="271">
        <v>20</v>
      </c>
      <c r="G40" s="275" t="s">
        <v>382</v>
      </c>
      <c r="H40" s="271"/>
      <c r="I40" s="271"/>
      <c r="J40" s="316"/>
      <c r="K40" s="271"/>
      <c r="L40" s="313"/>
      <c r="M40" s="297"/>
    </row>
    <row r="41" spans="1:14" x14ac:dyDescent="0.3">
      <c r="A41" s="272" t="s">
        <v>359</v>
      </c>
      <c r="B41" s="273"/>
      <c r="C41" s="273"/>
      <c r="D41" s="280"/>
      <c r="E41" s="280"/>
      <c r="F41" s="276">
        <f>+SUM(F42:F45)</f>
        <v>142</v>
      </c>
      <c r="G41" s="280"/>
      <c r="H41" s="336"/>
      <c r="I41" s="335" t="s">
        <v>319</v>
      </c>
      <c r="J41" s="334" t="s">
        <v>383</v>
      </c>
      <c r="K41" s="334" t="s">
        <v>395</v>
      </c>
    </row>
    <row r="42" spans="1:14" x14ac:dyDescent="0.3">
      <c r="A42" s="271"/>
      <c r="B42" s="274">
        <v>41832</v>
      </c>
      <c r="C42" s="274">
        <v>41829</v>
      </c>
      <c r="D42" s="287" t="s">
        <v>231</v>
      </c>
      <c r="E42" s="275" t="s">
        <v>225</v>
      </c>
      <c r="F42" s="333">
        <v>100</v>
      </c>
      <c r="G42" s="275" t="s">
        <v>396</v>
      </c>
      <c r="H42" s="271"/>
      <c r="I42" s="271"/>
      <c r="J42" s="316"/>
      <c r="K42" s="271"/>
    </row>
    <row r="43" spans="1:14" x14ac:dyDescent="0.3">
      <c r="A43" s="271"/>
      <c r="B43" s="274">
        <v>41837</v>
      </c>
      <c r="C43" s="274">
        <v>41829</v>
      </c>
      <c r="D43" s="287" t="s">
        <v>231</v>
      </c>
      <c r="E43" s="275" t="s">
        <v>225</v>
      </c>
      <c r="F43" s="333">
        <v>20</v>
      </c>
      <c r="G43" s="275" t="s">
        <v>397</v>
      </c>
      <c r="H43" s="271"/>
      <c r="I43" s="271"/>
      <c r="J43" s="316"/>
      <c r="K43" s="271"/>
    </row>
    <row r="44" spans="1:14" x14ac:dyDescent="0.3">
      <c r="A44" s="281"/>
      <c r="B44" s="285">
        <v>41845</v>
      </c>
      <c r="C44" s="285">
        <v>41729</v>
      </c>
      <c r="D44" s="283" t="s">
        <v>301</v>
      </c>
      <c r="E44" s="283" t="s">
        <v>398</v>
      </c>
      <c r="F44" s="281">
        <v>17.600000000000001</v>
      </c>
      <c r="G44" s="283" t="s">
        <v>399</v>
      </c>
      <c r="H44" s="281">
        <v>-17.600000000000001</v>
      </c>
      <c r="I44" s="281">
        <v>-17.600000000000001</v>
      </c>
      <c r="J44" s="315"/>
      <c r="K44" s="281"/>
    </row>
    <row r="45" spans="1:14" x14ac:dyDescent="0.3">
      <c r="A45" s="271"/>
      <c r="B45" s="274">
        <v>41829</v>
      </c>
      <c r="C45" s="271"/>
      <c r="D45" s="275" t="s">
        <v>232</v>
      </c>
      <c r="E45" s="275" t="s">
        <v>225</v>
      </c>
      <c r="F45" s="271">
        <v>4.4000000000000004</v>
      </c>
      <c r="G45" s="275" t="s">
        <v>400</v>
      </c>
      <c r="H45" s="271"/>
      <c r="I45" s="271"/>
      <c r="J45" s="271"/>
      <c r="K45" s="271"/>
    </row>
    <row r="46" spans="1:14" x14ac:dyDescent="0.3">
      <c r="A46" s="272" t="s">
        <v>360</v>
      </c>
      <c r="B46" s="273"/>
      <c r="C46" s="273"/>
      <c r="D46" s="280"/>
      <c r="E46" s="280"/>
      <c r="F46" s="276">
        <f>+SUM(F47:F51)</f>
        <v>511.2</v>
      </c>
      <c r="G46" s="280"/>
      <c r="H46" s="336"/>
      <c r="I46" s="335" t="s">
        <v>383</v>
      </c>
      <c r="J46" s="334" t="s">
        <v>395</v>
      </c>
      <c r="K46" s="334" t="s">
        <v>438</v>
      </c>
    </row>
    <row r="47" spans="1:14" x14ac:dyDescent="0.3">
      <c r="A47" s="318"/>
      <c r="B47" s="274">
        <v>41862</v>
      </c>
      <c r="C47" s="274">
        <v>41855</v>
      </c>
      <c r="D47" s="287" t="s">
        <v>231</v>
      </c>
      <c r="E47" s="275" t="s">
        <v>225</v>
      </c>
      <c r="F47" s="333">
        <v>100</v>
      </c>
      <c r="G47" s="275" t="s">
        <v>440</v>
      </c>
      <c r="H47" s="318"/>
      <c r="I47" s="318"/>
      <c r="J47" s="399"/>
      <c r="K47" s="318"/>
    </row>
    <row r="48" spans="1:14" x14ac:dyDescent="0.3">
      <c r="A48" s="318"/>
      <c r="B48" s="274">
        <v>41864</v>
      </c>
      <c r="C48" s="274">
        <v>41862</v>
      </c>
      <c r="D48" s="287" t="s">
        <v>231</v>
      </c>
      <c r="E48" s="275" t="s">
        <v>225</v>
      </c>
      <c r="F48" s="333">
        <v>50</v>
      </c>
      <c r="G48" s="275" t="s">
        <v>441</v>
      </c>
      <c r="H48" s="271"/>
      <c r="I48" s="271"/>
      <c r="J48" s="316"/>
      <c r="K48" s="271"/>
    </row>
    <row r="49" spans="1:12" x14ac:dyDescent="0.3">
      <c r="A49" s="281"/>
      <c r="B49" s="285">
        <v>41870</v>
      </c>
      <c r="C49" s="285">
        <v>41864</v>
      </c>
      <c r="D49" s="283" t="s">
        <v>301</v>
      </c>
      <c r="E49" s="283" t="s">
        <v>398</v>
      </c>
      <c r="F49" s="281">
        <v>16</v>
      </c>
      <c r="G49" s="283" t="s">
        <v>443</v>
      </c>
      <c r="H49" s="281">
        <v>-16</v>
      </c>
      <c r="I49" s="281">
        <v>-16</v>
      </c>
      <c r="J49" s="315"/>
      <c r="K49" s="281"/>
    </row>
    <row r="50" spans="1:12" x14ac:dyDescent="0.3">
      <c r="A50" s="318"/>
      <c r="B50" s="274">
        <v>41876</v>
      </c>
      <c r="C50" s="274">
        <v>41875</v>
      </c>
      <c r="D50" s="275" t="s">
        <v>305</v>
      </c>
      <c r="E50" s="275" t="s">
        <v>225</v>
      </c>
      <c r="F50" s="277">
        <v>91.2</v>
      </c>
      <c r="G50" s="275" t="s">
        <v>439</v>
      </c>
      <c r="H50" s="318"/>
      <c r="I50" s="318"/>
      <c r="J50" s="399"/>
      <c r="K50" s="318"/>
    </row>
    <row r="51" spans="1:12" x14ac:dyDescent="0.3">
      <c r="A51" s="272" t="s">
        <v>361</v>
      </c>
      <c r="B51" s="273"/>
      <c r="C51" s="273"/>
      <c r="D51" s="280"/>
      <c r="E51" s="280"/>
      <c r="F51" s="276">
        <f>+SUM(F52:F55)</f>
        <v>254</v>
      </c>
      <c r="G51" s="280"/>
      <c r="H51" s="336"/>
      <c r="I51" s="335" t="s">
        <v>395</v>
      </c>
      <c r="J51" s="334" t="s">
        <v>438</v>
      </c>
      <c r="K51" s="334" t="s">
        <v>442</v>
      </c>
      <c r="L51" s="334" t="s">
        <v>458</v>
      </c>
    </row>
    <row r="52" spans="1:12" x14ac:dyDescent="0.3">
      <c r="A52" s="281"/>
      <c r="B52" s="285">
        <v>41883</v>
      </c>
      <c r="C52" s="285"/>
      <c r="D52" s="283" t="s">
        <v>301</v>
      </c>
      <c r="E52" s="283" t="s">
        <v>454</v>
      </c>
      <c r="F52" s="281">
        <v>50</v>
      </c>
      <c r="G52" s="283" t="s">
        <v>455</v>
      </c>
      <c r="H52" s="286">
        <v>-50</v>
      </c>
      <c r="I52" s="286">
        <v>-50</v>
      </c>
      <c r="J52" s="410"/>
      <c r="K52" s="286"/>
      <c r="L52" s="286"/>
    </row>
    <row r="53" spans="1:12" x14ac:dyDescent="0.3">
      <c r="A53" s="281"/>
      <c r="B53" s="285">
        <v>41897</v>
      </c>
      <c r="C53" s="285"/>
      <c r="D53" s="283" t="s">
        <v>301</v>
      </c>
      <c r="E53" s="283" t="s">
        <v>456</v>
      </c>
      <c r="F53" s="281">
        <v>54</v>
      </c>
      <c r="G53" s="283" t="s">
        <v>457</v>
      </c>
      <c r="H53" s="286">
        <f>+SUM(I53:L53)</f>
        <v>-54</v>
      </c>
      <c r="I53" s="286">
        <v>-9.6</v>
      </c>
      <c r="J53" s="410">
        <v>-18.600000000000001</v>
      </c>
      <c r="K53" s="286">
        <v>-18</v>
      </c>
      <c r="L53" s="286">
        <v>-7.8</v>
      </c>
    </row>
    <row r="54" spans="1:12" x14ac:dyDescent="0.3">
      <c r="A54" s="281"/>
      <c r="B54" s="285">
        <v>41897</v>
      </c>
      <c r="C54" s="285"/>
      <c r="D54" s="283" t="s">
        <v>301</v>
      </c>
      <c r="E54" s="283" t="s">
        <v>454</v>
      </c>
      <c r="F54" s="281">
        <v>50</v>
      </c>
      <c r="G54" s="283" t="s">
        <v>459</v>
      </c>
      <c r="H54" s="286">
        <v>-50</v>
      </c>
      <c r="I54" s="286">
        <v>-26.67</v>
      </c>
      <c r="J54" s="410">
        <v>-23.33</v>
      </c>
      <c r="K54" s="286"/>
      <c r="L54" s="286"/>
    </row>
    <row r="55" spans="1:12" x14ac:dyDescent="0.3">
      <c r="A55" s="281"/>
      <c r="B55" s="285">
        <v>41900</v>
      </c>
      <c r="C55" s="285"/>
      <c r="D55" s="283" t="s">
        <v>301</v>
      </c>
      <c r="E55" s="283" t="s">
        <v>302</v>
      </c>
      <c r="F55" s="281">
        <v>100</v>
      </c>
      <c r="G55" s="283" t="s">
        <v>460</v>
      </c>
      <c r="H55" s="286">
        <v>-100</v>
      </c>
      <c r="I55" s="286">
        <v>-43.29</v>
      </c>
      <c r="J55" s="410">
        <v>-56.71</v>
      </c>
      <c r="K55" s="286"/>
      <c r="L55" s="286"/>
    </row>
    <row r="56" spans="1:12" x14ac:dyDescent="0.3">
      <c r="A56" s="318"/>
      <c r="B56" s="274">
        <v>41885</v>
      </c>
      <c r="C56" s="274"/>
      <c r="D56" s="287"/>
      <c r="E56" s="275" t="s">
        <v>225</v>
      </c>
      <c r="F56" s="333">
        <v>15</v>
      </c>
      <c r="G56" s="275" t="s">
        <v>461</v>
      </c>
      <c r="H56" s="271">
        <v>-15</v>
      </c>
      <c r="I56" s="271"/>
      <c r="J56" s="271"/>
      <c r="K56" s="271"/>
      <c r="L56" s="271"/>
    </row>
    <row r="57" spans="1:12" x14ac:dyDescent="0.3">
      <c r="A57" s="271"/>
      <c r="B57" s="274">
        <v>41885</v>
      </c>
      <c r="C57" s="271"/>
      <c r="D57" s="287" t="s">
        <v>231</v>
      </c>
      <c r="E57" s="275" t="s">
        <v>225</v>
      </c>
      <c r="F57" s="333">
        <v>40</v>
      </c>
      <c r="G57" s="275" t="s">
        <v>461</v>
      </c>
      <c r="H57" s="271">
        <v>-40</v>
      </c>
      <c r="I57" s="277"/>
      <c r="J57" s="271"/>
      <c r="K57" s="271"/>
      <c r="L57" s="271"/>
    </row>
    <row r="58" spans="1:12" x14ac:dyDescent="0.3">
      <c r="A58" s="271"/>
      <c r="B58" s="274">
        <v>41890</v>
      </c>
      <c r="C58" s="271"/>
      <c r="D58" s="275" t="s">
        <v>231</v>
      </c>
      <c r="E58" s="275" t="s">
        <v>225</v>
      </c>
      <c r="F58" s="271">
        <v>100</v>
      </c>
      <c r="G58" s="275" t="s">
        <v>463</v>
      </c>
      <c r="H58" s="271">
        <v>-100</v>
      </c>
      <c r="I58" s="271"/>
      <c r="J58" s="271"/>
      <c r="K58" s="271"/>
      <c r="L58" s="271"/>
    </row>
    <row r="59" spans="1:12" x14ac:dyDescent="0.3">
      <c r="A59" s="271"/>
      <c r="B59" s="274">
        <v>41897</v>
      </c>
      <c r="C59" s="271"/>
      <c r="D59" s="275" t="s">
        <v>305</v>
      </c>
      <c r="E59" s="275" t="s">
        <v>225</v>
      </c>
      <c r="F59" s="271">
        <v>95.6</v>
      </c>
      <c r="G59" s="275" t="s">
        <v>466</v>
      </c>
      <c r="H59" s="318">
        <v>-95.6</v>
      </c>
      <c r="I59" s="271"/>
      <c r="J59" s="271"/>
      <c r="K59" s="271"/>
      <c r="L59" s="271"/>
    </row>
    <row r="60" spans="1:12" x14ac:dyDescent="0.3">
      <c r="A60" s="271"/>
      <c r="B60" s="274">
        <v>41894</v>
      </c>
      <c r="C60" s="271"/>
      <c r="D60" s="287" t="s">
        <v>231</v>
      </c>
      <c r="E60" s="275" t="s">
        <v>225</v>
      </c>
      <c r="F60" s="271">
        <v>100</v>
      </c>
      <c r="G60" s="275" t="s">
        <v>467</v>
      </c>
      <c r="H60" s="318">
        <v>-100</v>
      </c>
      <c r="I60" s="271"/>
      <c r="J60" s="271"/>
      <c r="K60" s="271"/>
      <c r="L60" s="271"/>
    </row>
    <row r="61" spans="1:12" x14ac:dyDescent="0.3">
      <c r="A61" s="271"/>
      <c r="B61" s="274">
        <v>41904</v>
      </c>
      <c r="C61" s="271"/>
      <c r="D61" s="275" t="s">
        <v>305</v>
      </c>
      <c r="E61" s="275" t="s">
        <v>225</v>
      </c>
      <c r="F61" s="271">
        <v>48.9</v>
      </c>
      <c r="G61" s="275" t="s">
        <v>464</v>
      </c>
      <c r="H61" s="271">
        <v>-48.9</v>
      </c>
      <c r="I61" s="271"/>
      <c r="J61" s="271"/>
      <c r="K61" s="271"/>
      <c r="L61" s="271"/>
    </row>
    <row r="62" spans="1:12" x14ac:dyDescent="0.3">
      <c r="A62" s="271"/>
      <c r="B62" s="274">
        <v>41906</v>
      </c>
      <c r="C62" s="271"/>
      <c r="D62" s="287" t="s">
        <v>231</v>
      </c>
      <c r="E62" s="275" t="s">
        <v>225</v>
      </c>
      <c r="F62" s="271">
        <v>100</v>
      </c>
      <c r="G62" s="275" t="s">
        <v>465</v>
      </c>
      <c r="H62" s="271">
        <v>-100</v>
      </c>
      <c r="I62" s="271"/>
      <c r="J62" s="271"/>
      <c r="K62" s="271"/>
      <c r="L62" s="271"/>
    </row>
    <row r="63" spans="1:12" x14ac:dyDescent="0.3">
      <c r="A63" s="271"/>
      <c r="B63" s="274">
        <v>41888</v>
      </c>
      <c r="C63" s="271"/>
      <c r="D63" s="275" t="s">
        <v>232</v>
      </c>
      <c r="E63" s="275" t="s">
        <v>225</v>
      </c>
      <c r="F63" s="271">
        <v>6.6</v>
      </c>
      <c r="G63" s="275" t="s">
        <v>468</v>
      </c>
      <c r="H63" s="271">
        <v>-6.6</v>
      </c>
      <c r="I63" s="271"/>
      <c r="J63" s="271"/>
      <c r="K63" s="271"/>
    </row>
    <row r="64" spans="1:12" x14ac:dyDescent="0.3">
      <c r="A64" s="271"/>
      <c r="B64" s="274">
        <v>41908</v>
      </c>
      <c r="C64" s="271"/>
      <c r="D64" s="275" t="s">
        <v>305</v>
      </c>
      <c r="E64" s="275" t="s">
        <v>225</v>
      </c>
      <c r="F64" s="271">
        <v>20</v>
      </c>
      <c r="G64" s="275" t="s">
        <v>469</v>
      </c>
      <c r="H64" s="271">
        <v>-20</v>
      </c>
      <c r="I64" s="271"/>
      <c r="J64" s="271"/>
      <c r="K64" s="271"/>
      <c r="L64" s="271"/>
    </row>
    <row r="65" spans="1:12" x14ac:dyDescent="0.3">
      <c r="A65" s="271"/>
      <c r="B65" s="274">
        <v>41907</v>
      </c>
      <c r="C65" s="271"/>
      <c r="D65" s="275" t="s">
        <v>305</v>
      </c>
      <c r="E65" s="275" t="s">
        <v>225</v>
      </c>
      <c r="F65" s="271">
        <v>95.6</v>
      </c>
      <c r="G65" s="275" t="s">
        <v>470</v>
      </c>
      <c r="H65" s="271">
        <v>-95.6</v>
      </c>
      <c r="I65" s="271"/>
      <c r="J65" s="271"/>
      <c r="K65" s="271"/>
      <c r="L65" s="271"/>
    </row>
    <row r="66" spans="1:12" x14ac:dyDescent="0.3">
      <c r="A66" s="271"/>
      <c r="B66" s="274">
        <v>41907</v>
      </c>
      <c r="C66" s="271"/>
      <c r="D66" s="275" t="s">
        <v>305</v>
      </c>
      <c r="E66" s="275" t="s">
        <v>225</v>
      </c>
      <c r="F66" s="271">
        <v>18.899999999999999</v>
      </c>
      <c r="G66" s="275" t="s">
        <v>471</v>
      </c>
      <c r="H66" s="271">
        <v>-18.899999999999999</v>
      </c>
      <c r="I66" s="271"/>
      <c r="J66" s="271"/>
      <c r="K66" s="271"/>
      <c r="L66" s="271"/>
    </row>
    <row r="67" spans="1:12" x14ac:dyDescent="0.3">
      <c r="A67" s="271"/>
      <c r="B67" s="274">
        <v>41907</v>
      </c>
      <c r="C67" s="271"/>
      <c r="D67" s="275" t="s">
        <v>305</v>
      </c>
      <c r="E67" s="275" t="s">
        <v>225</v>
      </c>
      <c r="F67" s="271">
        <v>18.899999999999999</v>
      </c>
      <c r="G67" s="275" t="s">
        <v>472</v>
      </c>
      <c r="H67" s="271">
        <v>-18.899999999999999</v>
      </c>
      <c r="I67" s="271"/>
      <c r="J67" s="271"/>
      <c r="K67" s="271"/>
      <c r="L67" s="271"/>
    </row>
    <row r="68" spans="1:12" x14ac:dyDescent="0.3">
      <c r="A68" s="271"/>
      <c r="B68" s="274">
        <v>41885</v>
      </c>
      <c r="C68" s="271"/>
      <c r="D68" s="275" t="s">
        <v>305</v>
      </c>
      <c r="E68" s="275" t="s">
        <v>225</v>
      </c>
      <c r="F68" s="271">
        <v>86.8</v>
      </c>
      <c r="G68" s="275" t="s">
        <v>462</v>
      </c>
      <c r="H68" s="271">
        <v>-86.8</v>
      </c>
      <c r="I68" s="271"/>
      <c r="J68" s="271"/>
      <c r="K68" s="271"/>
      <c r="L68" s="271"/>
    </row>
    <row r="69" spans="1:12" x14ac:dyDescent="0.3">
      <c r="A69" s="271"/>
      <c r="B69" s="274">
        <v>41887</v>
      </c>
      <c r="C69" s="271"/>
      <c r="D69" s="275" t="s">
        <v>305</v>
      </c>
      <c r="E69" s="275" t="s">
        <v>225</v>
      </c>
      <c r="F69" s="271">
        <v>45.6</v>
      </c>
      <c r="G69" s="275" t="s">
        <v>473</v>
      </c>
      <c r="H69" s="271">
        <v>-45.6</v>
      </c>
      <c r="I69" s="271"/>
      <c r="J69" s="271"/>
      <c r="K69" s="271"/>
      <c r="L69" s="271"/>
    </row>
    <row r="70" spans="1:12" x14ac:dyDescent="0.3">
      <c r="A70" s="272" t="s">
        <v>362</v>
      </c>
      <c r="B70" s="273"/>
      <c r="C70" s="273"/>
      <c r="D70" s="280"/>
      <c r="E70" s="280"/>
      <c r="F70" s="276">
        <f>+SUM(F71:F90)</f>
        <v>924.9</v>
      </c>
      <c r="G70" s="280"/>
      <c r="H70" s="276">
        <f>+SUM(H71:H90)</f>
        <v>-924.9</v>
      </c>
      <c r="I70" s="334" t="s">
        <v>438</v>
      </c>
      <c r="J70" s="334" t="s">
        <v>442</v>
      </c>
      <c r="K70" s="334" t="s">
        <v>458</v>
      </c>
      <c r="L70" s="334"/>
    </row>
    <row r="71" spans="1:12" x14ac:dyDescent="0.3">
      <c r="A71" s="281"/>
      <c r="B71" s="285">
        <v>41934</v>
      </c>
      <c r="C71" s="285"/>
      <c r="D71" s="283" t="s">
        <v>301</v>
      </c>
      <c r="E71" s="283" t="s">
        <v>54</v>
      </c>
      <c r="F71" s="281">
        <v>2.2000000000000002</v>
      </c>
      <c r="G71" s="283" t="s">
        <v>455</v>
      </c>
      <c r="H71" s="286">
        <f t="shared" ref="H71:H88" si="0">-F71</f>
        <v>-2.2000000000000002</v>
      </c>
      <c r="I71" s="466">
        <v>-2.2000000000000002</v>
      </c>
      <c r="J71" s="281"/>
      <c r="K71" s="281"/>
      <c r="L71" s="281"/>
    </row>
    <row r="72" spans="1:12" x14ac:dyDescent="0.3">
      <c r="A72" s="281"/>
      <c r="B72" s="285">
        <v>41936</v>
      </c>
      <c r="C72" s="285"/>
      <c r="D72" s="283" t="s">
        <v>301</v>
      </c>
      <c r="E72" s="283" t="s">
        <v>501</v>
      </c>
      <c r="F72" s="281">
        <v>45</v>
      </c>
      <c r="G72" s="283" t="s">
        <v>457</v>
      </c>
      <c r="H72" s="286">
        <f t="shared" si="0"/>
        <v>-45</v>
      </c>
      <c r="I72" s="466">
        <v>-45</v>
      </c>
      <c r="J72" s="281"/>
      <c r="K72" s="281"/>
      <c r="L72" s="281"/>
    </row>
    <row r="73" spans="1:12" x14ac:dyDescent="0.3">
      <c r="A73" s="281"/>
      <c r="B73" s="382">
        <v>41913</v>
      </c>
      <c r="C73" s="382"/>
      <c r="D73" s="287" t="s">
        <v>231</v>
      </c>
      <c r="E73" s="275" t="s">
        <v>225</v>
      </c>
      <c r="F73" s="318">
        <v>100</v>
      </c>
      <c r="G73" s="287" t="s">
        <v>588</v>
      </c>
      <c r="H73" s="384">
        <f t="shared" si="0"/>
        <v>-100</v>
      </c>
      <c r="I73" s="490"/>
      <c r="J73" s="318"/>
      <c r="K73" s="318"/>
      <c r="L73" s="318"/>
    </row>
    <row r="74" spans="1:12" x14ac:dyDescent="0.3">
      <c r="A74" s="281"/>
      <c r="B74" s="274">
        <v>41913</v>
      </c>
      <c r="C74" s="271"/>
      <c r="D74" s="287" t="s">
        <v>231</v>
      </c>
      <c r="E74" s="275" t="s">
        <v>225</v>
      </c>
      <c r="F74" s="333">
        <v>100</v>
      </c>
      <c r="G74" s="275" t="s">
        <v>489</v>
      </c>
      <c r="H74" s="384">
        <f t="shared" si="0"/>
        <v>-100</v>
      </c>
      <c r="I74" s="490"/>
      <c r="J74" s="318"/>
      <c r="K74" s="318"/>
      <c r="L74" s="318"/>
    </row>
    <row r="75" spans="1:12" x14ac:dyDescent="0.3">
      <c r="A75" s="281"/>
      <c r="B75" s="274">
        <v>41915</v>
      </c>
      <c r="C75" s="271"/>
      <c r="D75" s="275" t="s">
        <v>305</v>
      </c>
      <c r="E75" s="275" t="s">
        <v>225</v>
      </c>
      <c r="F75" s="271">
        <v>50</v>
      </c>
      <c r="G75" s="275" t="s">
        <v>490</v>
      </c>
      <c r="H75" s="384">
        <f t="shared" si="0"/>
        <v>-50</v>
      </c>
      <c r="I75" s="490"/>
      <c r="J75" s="318"/>
      <c r="K75" s="318"/>
      <c r="L75" s="318"/>
    </row>
    <row r="76" spans="1:12" x14ac:dyDescent="0.3">
      <c r="A76" s="281"/>
      <c r="B76" s="274">
        <v>41915</v>
      </c>
      <c r="C76" s="271"/>
      <c r="D76" s="275" t="s">
        <v>305</v>
      </c>
      <c r="E76" s="275" t="s">
        <v>225</v>
      </c>
      <c r="F76" s="271">
        <v>21</v>
      </c>
      <c r="G76" s="275" t="s">
        <v>589</v>
      </c>
      <c r="H76" s="384">
        <f t="shared" si="0"/>
        <v>-21</v>
      </c>
      <c r="I76" s="490"/>
      <c r="J76" s="318"/>
      <c r="K76" s="318"/>
      <c r="L76" s="318"/>
    </row>
    <row r="77" spans="1:12" x14ac:dyDescent="0.3">
      <c r="A77" s="281"/>
      <c r="B77" s="274">
        <v>41918</v>
      </c>
      <c r="C77" s="271"/>
      <c r="D77" s="287" t="s">
        <v>231</v>
      </c>
      <c r="E77" s="275" t="s">
        <v>225</v>
      </c>
      <c r="F77" s="333">
        <v>100</v>
      </c>
      <c r="G77" s="275" t="s">
        <v>491</v>
      </c>
      <c r="H77" s="384">
        <f t="shared" si="0"/>
        <v>-100</v>
      </c>
      <c r="I77" s="490"/>
      <c r="J77" s="318"/>
      <c r="K77" s="318"/>
      <c r="L77" s="318"/>
    </row>
    <row r="78" spans="1:12" customFormat="1" x14ac:dyDescent="0.3">
      <c r="A78" s="281"/>
      <c r="B78" s="274">
        <v>41921</v>
      </c>
      <c r="C78" s="271"/>
      <c r="D78" s="287" t="s">
        <v>231</v>
      </c>
      <c r="E78" s="275" t="s">
        <v>225</v>
      </c>
      <c r="F78" s="271">
        <v>48.9</v>
      </c>
      <c r="G78" s="275" t="s">
        <v>492</v>
      </c>
      <c r="H78" s="384">
        <f t="shared" si="0"/>
        <v>-48.9</v>
      </c>
      <c r="I78" s="490"/>
      <c r="J78" s="318"/>
      <c r="K78" s="318"/>
      <c r="L78" s="318"/>
    </row>
    <row r="79" spans="1:12" customFormat="1" x14ac:dyDescent="0.3">
      <c r="A79" s="281"/>
      <c r="B79" s="274">
        <v>41921</v>
      </c>
      <c r="C79" s="271"/>
      <c r="D79" s="287" t="s">
        <v>231</v>
      </c>
      <c r="E79" s="275" t="s">
        <v>225</v>
      </c>
      <c r="F79" s="271">
        <v>48.4</v>
      </c>
      <c r="G79" s="275" t="s">
        <v>493</v>
      </c>
      <c r="H79" s="384">
        <f t="shared" si="0"/>
        <v>-48.4</v>
      </c>
      <c r="I79" s="490"/>
      <c r="J79" s="318"/>
      <c r="K79" s="318"/>
      <c r="L79" s="318"/>
    </row>
    <row r="80" spans="1:12" customFormat="1" x14ac:dyDescent="0.3">
      <c r="A80" s="281"/>
      <c r="B80" s="274">
        <v>41925</v>
      </c>
      <c r="C80" s="271"/>
      <c r="D80" s="287" t="s">
        <v>231</v>
      </c>
      <c r="E80" s="275" t="s">
        <v>225</v>
      </c>
      <c r="F80" s="271">
        <v>18.899999999999999</v>
      </c>
      <c r="G80" s="275" t="s">
        <v>494</v>
      </c>
      <c r="H80" s="384">
        <f t="shared" si="0"/>
        <v>-18.899999999999999</v>
      </c>
      <c r="I80" s="490"/>
      <c r="J80" s="318"/>
      <c r="K80" s="318"/>
      <c r="L80" s="318"/>
    </row>
    <row r="81" spans="1:12" customFormat="1" x14ac:dyDescent="0.3">
      <c r="A81" s="281"/>
      <c r="B81" s="274">
        <v>41925</v>
      </c>
      <c r="C81" s="271"/>
      <c r="D81" s="287" t="s">
        <v>231</v>
      </c>
      <c r="E81" s="275" t="s">
        <v>225</v>
      </c>
      <c r="F81" s="465">
        <v>20</v>
      </c>
      <c r="G81" s="275" t="s">
        <v>495</v>
      </c>
      <c r="H81" s="384">
        <f t="shared" si="0"/>
        <v>-20</v>
      </c>
      <c r="I81" s="490"/>
      <c r="J81" s="318"/>
      <c r="K81" s="318"/>
      <c r="L81" s="318"/>
    </row>
    <row r="82" spans="1:12" customFormat="1" x14ac:dyDescent="0.3">
      <c r="A82" s="281"/>
      <c r="B82" s="274">
        <v>41929</v>
      </c>
      <c r="C82" s="271"/>
      <c r="D82" s="287" t="s">
        <v>231</v>
      </c>
      <c r="E82" s="275" t="s">
        <v>225</v>
      </c>
      <c r="F82" s="465">
        <v>90</v>
      </c>
      <c r="G82" s="275" t="s">
        <v>496</v>
      </c>
      <c r="H82" s="384">
        <f t="shared" si="0"/>
        <v>-90</v>
      </c>
      <c r="I82" s="490"/>
      <c r="J82" s="318"/>
      <c r="K82" s="318"/>
      <c r="L82" s="318"/>
    </row>
    <row r="83" spans="1:12" customFormat="1" x14ac:dyDescent="0.3">
      <c r="A83" s="281"/>
      <c r="B83" s="274">
        <v>41932</v>
      </c>
      <c r="C83" s="271"/>
      <c r="D83" s="287" t="s">
        <v>231</v>
      </c>
      <c r="E83" s="275" t="s">
        <v>225</v>
      </c>
      <c r="F83" s="465">
        <v>50</v>
      </c>
      <c r="G83" s="275" t="s">
        <v>497</v>
      </c>
      <c r="H83" s="384">
        <f t="shared" si="0"/>
        <v>-50</v>
      </c>
      <c r="I83" s="490"/>
      <c r="J83" s="318"/>
      <c r="K83" s="318"/>
      <c r="L83" s="318"/>
    </row>
    <row r="84" spans="1:12" customFormat="1" x14ac:dyDescent="0.3">
      <c r="A84" s="281"/>
      <c r="B84" s="274">
        <v>41933</v>
      </c>
      <c r="C84" s="271"/>
      <c r="D84" s="287" t="s">
        <v>231</v>
      </c>
      <c r="E84" s="275" t="s">
        <v>225</v>
      </c>
      <c r="F84" s="465">
        <v>90</v>
      </c>
      <c r="G84" s="275" t="s">
        <v>498</v>
      </c>
      <c r="H84" s="384">
        <f t="shared" si="0"/>
        <v>-90</v>
      </c>
      <c r="I84" s="490"/>
      <c r="J84" s="318"/>
      <c r="K84" s="318"/>
      <c r="L84" s="318"/>
    </row>
    <row r="85" spans="1:12" customFormat="1" x14ac:dyDescent="0.3">
      <c r="A85" s="281"/>
      <c r="B85" s="274">
        <v>41934</v>
      </c>
      <c r="C85" s="271"/>
      <c r="D85" s="287" t="s">
        <v>231</v>
      </c>
      <c r="E85" s="275" t="s">
        <v>225</v>
      </c>
      <c r="F85" s="465">
        <v>20</v>
      </c>
      <c r="G85" s="275" t="s">
        <v>499</v>
      </c>
      <c r="H85" s="384">
        <f t="shared" si="0"/>
        <v>-20</v>
      </c>
      <c r="I85" s="490"/>
      <c r="J85" s="318"/>
      <c r="K85" s="318"/>
      <c r="L85" s="318"/>
    </row>
    <row r="86" spans="1:12" customFormat="1" x14ac:dyDescent="0.3">
      <c r="A86" s="281"/>
      <c r="B86" s="274">
        <v>41940</v>
      </c>
      <c r="C86" s="271"/>
      <c r="D86" s="287" t="s">
        <v>231</v>
      </c>
      <c r="E86" s="275" t="s">
        <v>225</v>
      </c>
      <c r="F86" s="465">
        <v>50</v>
      </c>
      <c r="G86" s="275" t="s">
        <v>500</v>
      </c>
      <c r="H86" s="384">
        <f t="shared" si="0"/>
        <v>-50</v>
      </c>
      <c r="I86" s="490"/>
      <c r="J86" s="318"/>
      <c r="K86" s="318"/>
      <c r="L86" s="318"/>
    </row>
    <row r="87" spans="1:12" customFormat="1" x14ac:dyDescent="0.3">
      <c r="A87" s="281"/>
      <c r="B87" s="274">
        <v>41941</v>
      </c>
      <c r="C87" s="271"/>
      <c r="D87" s="287" t="s">
        <v>231</v>
      </c>
      <c r="E87" s="275" t="s">
        <v>225</v>
      </c>
      <c r="F87" s="465">
        <v>46.7</v>
      </c>
      <c r="G87" s="275" t="s">
        <v>590</v>
      </c>
      <c r="H87" s="384">
        <f t="shared" si="0"/>
        <v>-46.7</v>
      </c>
      <c r="I87" s="490"/>
      <c r="J87" s="318"/>
      <c r="K87" s="318"/>
      <c r="L87" s="318"/>
    </row>
    <row r="88" spans="1:12" customFormat="1" x14ac:dyDescent="0.3">
      <c r="A88" s="318"/>
      <c r="B88" s="382">
        <v>41921</v>
      </c>
      <c r="C88" s="382"/>
      <c r="D88" s="275" t="s">
        <v>232</v>
      </c>
      <c r="E88" s="275" t="s">
        <v>225</v>
      </c>
      <c r="F88" s="318">
        <v>12.8</v>
      </c>
      <c r="G88" s="275" t="s">
        <v>486</v>
      </c>
      <c r="H88" s="384">
        <f t="shared" si="0"/>
        <v>-12.8</v>
      </c>
      <c r="I88" s="384"/>
      <c r="J88" s="384"/>
      <c r="K88" s="384"/>
      <c r="L88" s="384"/>
    </row>
    <row r="89" spans="1:12" customFormat="1" x14ac:dyDescent="0.3">
      <c r="A89" s="318"/>
      <c r="B89" s="382">
        <v>41935</v>
      </c>
      <c r="C89" s="382"/>
      <c r="D89" s="275" t="s">
        <v>232</v>
      </c>
      <c r="E89" s="275" t="s">
        <v>225</v>
      </c>
      <c r="F89" s="318">
        <v>6.6</v>
      </c>
      <c r="G89" s="275" t="s">
        <v>487</v>
      </c>
      <c r="H89" s="384">
        <f t="shared" ref="H89:H90" si="1">-F89</f>
        <v>-6.6</v>
      </c>
      <c r="I89" s="384"/>
      <c r="J89" s="384"/>
      <c r="K89" s="384"/>
      <c r="L89" s="384"/>
    </row>
    <row r="90" spans="1:12" customFormat="1" x14ac:dyDescent="0.3">
      <c r="A90" s="318"/>
      <c r="B90" s="382">
        <v>41937</v>
      </c>
      <c r="C90" s="382"/>
      <c r="D90" s="275" t="s">
        <v>232</v>
      </c>
      <c r="E90" s="275" t="s">
        <v>225</v>
      </c>
      <c r="F90" s="318">
        <v>4.4000000000000004</v>
      </c>
      <c r="G90" s="275" t="s">
        <v>488</v>
      </c>
      <c r="H90" s="384">
        <f t="shared" si="1"/>
        <v>-4.4000000000000004</v>
      </c>
      <c r="I90" s="384"/>
      <c r="J90" s="384"/>
      <c r="K90" s="384"/>
      <c r="L90" s="384"/>
    </row>
    <row r="91" spans="1:12" customFormat="1" x14ac:dyDescent="0.3">
      <c r="A91" s="488" t="s">
        <v>363</v>
      </c>
      <c r="B91" s="318"/>
      <c r="C91" s="318"/>
      <c r="D91" s="287"/>
      <c r="E91" s="287"/>
      <c r="F91" s="384">
        <f>+SUM(F92:F107)</f>
        <v>729.09999999999991</v>
      </c>
      <c r="G91" s="287"/>
      <c r="H91" s="384">
        <f>+SUM(H92:H109)</f>
        <v>-1861.1</v>
      </c>
      <c r="I91" s="334" t="s">
        <v>442</v>
      </c>
      <c r="J91" s="334" t="s">
        <v>458</v>
      </c>
      <c r="K91" s="334" t="s">
        <v>518</v>
      </c>
      <c r="L91" s="489"/>
    </row>
    <row r="92" spans="1:12" customFormat="1" x14ac:dyDescent="0.3">
      <c r="A92" s="318"/>
      <c r="B92" s="382">
        <v>41947</v>
      </c>
      <c r="C92" s="382"/>
      <c r="D92" s="287" t="s">
        <v>231</v>
      </c>
      <c r="E92" s="275" t="s">
        <v>225</v>
      </c>
      <c r="F92" s="465">
        <v>50</v>
      </c>
      <c r="G92" s="275" t="s">
        <v>511</v>
      </c>
      <c r="H92" s="384">
        <f t="shared" ref="H92:H98" si="2">-F92</f>
        <v>-50</v>
      </c>
      <c r="I92" s="490"/>
      <c r="J92" s="318"/>
      <c r="K92" s="318"/>
      <c r="L92" s="318"/>
    </row>
    <row r="93" spans="1:12" customFormat="1" x14ac:dyDescent="0.3">
      <c r="A93" s="318"/>
      <c r="B93" s="382">
        <v>41947</v>
      </c>
      <c r="C93" s="382"/>
      <c r="D93" s="287" t="s">
        <v>231</v>
      </c>
      <c r="E93" s="275" t="s">
        <v>225</v>
      </c>
      <c r="F93" s="465">
        <v>12.5</v>
      </c>
      <c r="G93" s="275" t="s">
        <v>519</v>
      </c>
      <c r="H93" s="384">
        <f t="shared" ref="H93:H94" si="3">-F93</f>
        <v>-12.5</v>
      </c>
      <c r="I93" s="490"/>
      <c r="J93" s="318"/>
      <c r="K93" s="318"/>
      <c r="L93" s="318"/>
    </row>
    <row r="94" spans="1:12" customFormat="1" x14ac:dyDescent="0.3">
      <c r="A94" s="318"/>
      <c r="B94" s="382">
        <v>41948</v>
      </c>
      <c r="C94" s="382"/>
      <c r="D94" s="287" t="s">
        <v>231</v>
      </c>
      <c r="E94" s="275" t="s">
        <v>225</v>
      </c>
      <c r="F94" s="490">
        <v>20</v>
      </c>
      <c r="G94" s="275" t="s">
        <v>512</v>
      </c>
      <c r="H94" s="384">
        <f t="shared" si="3"/>
        <v>-20</v>
      </c>
      <c r="I94" s="490"/>
      <c r="J94" s="318"/>
      <c r="K94" s="318"/>
      <c r="L94" s="318"/>
    </row>
    <row r="95" spans="1:12" customFormat="1" x14ac:dyDescent="0.3">
      <c r="A95" s="318"/>
      <c r="B95" s="382">
        <v>41948</v>
      </c>
      <c r="C95" s="382"/>
      <c r="D95" s="287" t="s">
        <v>231</v>
      </c>
      <c r="E95" s="275" t="s">
        <v>225</v>
      </c>
      <c r="F95" s="490">
        <v>100</v>
      </c>
      <c r="G95" s="275" t="s">
        <v>520</v>
      </c>
      <c r="H95" s="384">
        <f t="shared" si="2"/>
        <v>-100</v>
      </c>
      <c r="I95" s="490"/>
      <c r="J95" s="318"/>
      <c r="K95" s="318"/>
      <c r="L95" s="318"/>
    </row>
    <row r="96" spans="1:12" customFormat="1" x14ac:dyDescent="0.3">
      <c r="A96" s="318"/>
      <c r="B96" s="382">
        <v>41953</v>
      </c>
      <c r="C96" s="382"/>
      <c r="D96" s="287" t="s">
        <v>231</v>
      </c>
      <c r="E96" s="275" t="s">
        <v>225</v>
      </c>
      <c r="F96" s="490">
        <v>15.2</v>
      </c>
      <c r="G96" s="275" t="s">
        <v>521</v>
      </c>
      <c r="H96" s="384">
        <f t="shared" ref="H96" si="4">-F96</f>
        <v>-15.2</v>
      </c>
      <c r="I96" s="490"/>
      <c r="J96" s="318"/>
      <c r="K96" s="318"/>
      <c r="L96" s="318"/>
    </row>
    <row r="97" spans="1:12" customFormat="1" x14ac:dyDescent="0.3">
      <c r="A97" s="318"/>
      <c r="B97" s="382">
        <v>41956</v>
      </c>
      <c r="C97" s="382"/>
      <c r="D97" s="287" t="s">
        <v>231</v>
      </c>
      <c r="E97" s="275" t="s">
        <v>225</v>
      </c>
      <c r="F97" s="490">
        <v>50</v>
      </c>
      <c r="G97" s="275" t="s">
        <v>522</v>
      </c>
      <c r="H97" s="384">
        <f t="shared" ref="H97" si="5">-F97</f>
        <v>-50</v>
      </c>
      <c r="I97" s="490"/>
      <c r="J97" s="318"/>
      <c r="K97" s="318"/>
      <c r="L97" s="318"/>
    </row>
    <row r="98" spans="1:12" customFormat="1" x14ac:dyDescent="0.3">
      <c r="A98" s="318"/>
      <c r="B98" s="382">
        <v>41961</v>
      </c>
      <c r="C98" s="382"/>
      <c r="D98" s="287" t="s">
        <v>231</v>
      </c>
      <c r="E98" s="275" t="s">
        <v>225</v>
      </c>
      <c r="F98" s="384">
        <v>100</v>
      </c>
      <c r="G98" s="275" t="s">
        <v>513</v>
      </c>
      <c r="H98" s="384">
        <f t="shared" si="2"/>
        <v>-100</v>
      </c>
      <c r="I98" s="384"/>
      <c r="J98" s="384"/>
      <c r="K98" s="384"/>
      <c r="L98" s="384"/>
    </row>
    <row r="99" spans="1:12" customFormat="1" x14ac:dyDescent="0.3">
      <c r="A99" s="271"/>
      <c r="B99" s="382">
        <v>41963</v>
      </c>
      <c r="C99" s="271"/>
      <c r="D99" s="287" t="s">
        <v>231</v>
      </c>
      <c r="E99" s="275" t="s">
        <v>225</v>
      </c>
      <c r="F99" s="384">
        <v>20</v>
      </c>
      <c r="G99" s="275" t="s">
        <v>514</v>
      </c>
      <c r="H99" s="384">
        <f t="shared" ref="H99" si="6">-F99</f>
        <v>-20</v>
      </c>
      <c r="I99" s="271"/>
      <c r="J99" s="271"/>
      <c r="K99" s="271"/>
      <c r="L99" s="271"/>
    </row>
    <row r="100" spans="1:12" customFormat="1" x14ac:dyDescent="0.3">
      <c r="A100" s="271"/>
      <c r="B100" s="382">
        <v>41965</v>
      </c>
      <c r="C100" s="271"/>
      <c r="D100" s="287" t="s">
        <v>231</v>
      </c>
      <c r="E100" s="275" t="s">
        <v>225</v>
      </c>
      <c r="F100" s="384">
        <v>50</v>
      </c>
      <c r="G100" s="275" t="s">
        <v>515</v>
      </c>
      <c r="H100" s="384">
        <f t="shared" ref="H100" si="7">-F100</f>
        <v>-50</v>
      </c>
      <c r="I100" s="271"/>
      <c r="J100" s="271"/>
      <c r="K100" s="271"/>
      <c r="L100" s="271"/>
    </row>
    <row r="101" spans="1:12" customFormat="1" x14ac:dyDescent="0.3">
      <c r="A101" s="271"/>
      <c r="B101" s="382">
        <v>41967</v>
      </c>
      <c r="C101" s="271"/>
      <c r="D101" s="287" t="s">
        <v>231</v>
      </c>
      <c r="E101" s="275" t="s">
        <v>225</v>
      </c>
      <c r="F101" s="384">
        <v>87.2</v>
      </c>
      <c r="G101" s="275" t="s">
        <v>523</v>
      </c>
      <c r="H101" s="384">
        <f t="shared" ref="H101" si="8">-F101</f>
        <v>-87.2</v>
      </c>
      <c r="I101" s="271"/>
      <c r="J101" s="271"/>
      <c r="K101" s="271"/>
      <c r="L101" s="271"/>
    </row>
    <row r="102" spans="1:12" customFormat="1" x14ac:dyDescent="0.3">
      <c r="A102" s="271"/>
      <c r="B102" s="382">
        <v>41969</v>
      </c>
      <c r="C102" s="271"/>
      <c r="D102" s="287" t="s">
        <v>231</v>
      </c>
      <c r="E102" s="275" t="s">
        <v>225</v>
      </c>
      <c r="F102" s="384">
        <v>100</v>
      </c>
      <c r="G102" s="275" t="s">
        <v>516</v>
      </c>
      <c r="H102" s="384">
        <f t="shared" ref="H102" si="9">-F102</f>
        <v>-100</v>
      </c>
      <c r="I102" s="271"/>
      <c r="J102" s="271"/>
      <c r="K102" s="271"/>
      <c r="L102" s="271"/>
    </row>
    <row r="103" spans="1:12" customFormat="1" x14ac:dyDescent="0.3">
      <c r="A103" s="271"/>
      <c r="B103" s="382">
        <v>41971</v>
      </c>
      <c r="C103" s="271"/>
      <c r="D103" s="287" t="s">
        <v>231</v>
      </c>
      <c r="E103" s="275" t="s">
        <v>225</v>
      </c>
      <c r="F103" s="384">
        <v>100</v>
      </c>
      <c r="G103" s="275" t="s">
        <v>517</v>
      </c>
      <c r="H103" s="384">
        <f t="shared" ref="H103" si="10">-F103</f>
        <v>-100</v>
      </c>
      <c r="I103" s="271"/>
      <c r="J103" s="271"/>
      <c r="K103" s="271"/>
      <c r="L103" s="271"/>
    </row>
    <row r="104" spans="1:12" customFormat="1" x14ac:dyDescent="0.3">
      <c r="A104" s="271"/>
      <c r="B104" s="274">
        <v>41968</v>
      </c>
      <c r="C104" s="271"/>
      <c r="D104" s="275" t="s">
        <v>232</v>
      </c>
      <c r="E104" s="275" t="s">
        <v>225</v>
      </c>
      <c r="F104" s="464">
        <v>4.4000000000000004</v>
      </c>
      <c r="G104" s="275" t="s">
        <v>524</v>
      </c>
      <c r="H104" s="384">
        <f>-F104</f>
        <v>-4.4000000000000004</v>
      </c>
      <c r="I104" s="384"/>
      <c r="J104" s="384"/>
      <c r="K104" s="384"/>
      <c r="L104" s="384"/>
    </row>
    <row r="105" spans="1:12" customFormat="1" x14ac:dyDescent="0.3">
      <c r="A105" s="271"/>
      <c r="B105" s="274">
        <v>41968</v>
      </c>
      <c r="C105" s="271"/>
      <c r="D105" s="275" t="s">
        <v>232</v>
      </c>
      <c r="E105" s="275" t="s">
        <v>225</v>
      </c>
      <c r="F105" s="464">
        <v>6.6</v>
      </c>
      <c r="G105" s="275" t="s">
        <v>525</v>
      </c>
      <c r="H105" s="384">
        <f t="shared" ref="H105:H107" si="11">-F105</f>
        <v>-6.6</v>
      </c>
      <c r="I105" s="384"/>
      <c r="J105" s="384"/>
      <c r="K105" s="384"/>
      <c r="L105" s="384"/>
    </row>
    <row r="106" spans="1:12" customFormat="1" x14ac:dyDescent="0.3">
      <c r="A106" s="271"/>
      <c r="B106" s="274">
        <v>41968</v>
      </c>
      <c r="C106" s="271"/>
      <c r="D106" s="275" t="s">
        <v>232</v>
      </c>
      <c r="E106" s="275" t="s">
        <v>225</v>
      </c>
      <c r="F106" s="464">
        <v>4.4000000000000004</v>
      </c>
      <c r="G106" s="275" t="s">
        <v>526</v>
      </c>
      <c r="H106" s="384">
        <f t="shared" si="11"/>
        <v>-4.4000000000000004</v>
      </c>
      <c r="I106" s="384"/>
      <c r="J106" s="384"/>
      <c r="K106" s="384"/>
      <c r="L106" s="384"/>
    </row>
    <row r="107" spans="1:12" customFormat="1" x14ac:dyDescent="0.3">
      <c r="A107" s="271"/>
      <c r="B107" s="274">
        <v>41969</v>
      </c>
      <c r="C107" s="271"/>
      <c r="D107" s="275" t="s">
        <v>232</v>
      </c>
      <c r="E107" s="275" t="s">
        <v>225</v>
      </c>
      <c r="F107" s="464">
        <v>8.8000000000000007</v>
      </c>
      <c r="G107" s="275" t="s">
        <v>527</v>
      </c>
      <c r="H107" s="384">
        <f t="shared" si="11"/>
        <v>-8.8000000000000007</v>
      </c>
      <c r="I107" s="384"/>
      <c r="J107" s="384"/>
      <c r="K107" s="384"/>
      <c r="L107" s="384"/>
    </row>
    <row r="108" spans="1:12" customFormat="1" x14ac:dyDescent="0.3">
      <c r="A108" s="488" t="s">
        <v>364</v>
      </c>
      <c r="B108" s="318"/>
      <c r="C108" s="318"/>
      <c r="D108" s="287"/>
      <c r="E108" s="287"/>
      <c r="F108" s="535">
        <f>+SUM(F109:F126)</f>
        <v>1112</v>
      </c>
      <c r="G108" s="287"/>
      <c r="H108" s="384">
        <f>+SUM(H109:H126)</f>
        <v>-1112</v>
      </c>
      <c r="I108" s="334" t="s">
        <v>458</v>
      </c>
      <c r="J108" s="334" t="s">
        <v>518</v>
      </c>
      <c r="K108" s="334" t="s">
        <v>561</v>
      </c>
      <c r="L108" s="489"/>
    </row>
    <row r="109" spans="1:12" customFormat="1" x14ac:dyDescent="0.3">
      <c r="A109" s="318"/>
      <c r="B109" s="382">
        <v>41975</v>
      </c>
      <c r="C109" s="271"/>
      <c r="D109" s="287" t="s">
        <v>231</v>
      </c>
      <c r="E109" s="275" t="s">
        <v>225</v>
      </c>
      <c r="F109" s="384">
        <v>20</v>
      </c>
      <c r="G109" s="275" t="s">
        <v>564</v>
      </c>
      <c r="H109" s="384">
        <f t="shared" ref="H109:H126" si="12">-F109</f>
        <v>-20</v>
      </c>
      <c r="I109" s="490"/>
      <c r="J109" s="318"/>
      <c r="K109" s="318"/>
      <c r="L109" s="318"/>
    </row>
    <row r="110" spans="1:12" customFormat="1" x14ac:dyDescent="0.3">
      <c r="A110" s="318"/>
      <c r="B110" s="382">
        <v>41976</v>
      </c>
      <c r="C110" s="382"/>
      <c r="D110" s="287" t="s">
        <v>301</v>
      </c>
      <c r="E110" s="283" t="s">
        <v>562</v>
      </c>
      <c r="F110" s="490">
        <v>100</v>
      </c>
      <c r="G110" s="275" t="s">
        <v>565</v>
      </c>
      <c r="H110" s="384">
        <f t="shared" si="12"/>
        <v>-100</v>
      </c>
      <c r="I110" s="466">
        <v>-100</v>
      </c>
      <c r="J110" s="318"/>
      <c r="K110" s="318"/>
      <c r="L110" s="318"/>
    </row>
    <row r="111" spans="1:12" customFormat="1" x14ac:dyDescent="0.3">
      <c r="A111" s="318"/>
      <c r="B111" s="382">
        <v>41981</v>
      </c>
      <c r="C111" s="382"/>
      <c r="D111" s="287" t="s">
        <v>231</v>
      </c>
      <c r="E111" s="275" t="s">
        <v>225</v>
      </c>
      <c r="F111" s="490">
        <v>100</v>
      </c>
      <c r="G111" s="275" t="s">
        <v>566</v>
      </c>
      <c r="H111" s="384">
        <f t="shared" si="12"/>
        <v>-100</v>
      </c>
      <c r="I111" s="490"/>
      <c r="J111" s="318"/>
      <c r="K111" s="318"/>
      <c r="L111" s="318"/>
    </row>
    <row r="112" spans="1:12" customFormat="1" x14ac:dyDescent="0.3">
      <c r="A112" s="271"/>
      <c r="B112" s="382">
        <v>41981</v>
      </c>
      <c r="C112" s="271"/>
      <c r="D112" s="287" t="s">
        <v>231</v>
      </c>
      <c r="E112" s="275" t="s">
        <v>225</v>
      </c>
      <c r="F112" s="490">
        <v>100</v>
      </c>
      <c r="G112" s="275" t="s">
        <v>567</v>
      </c>
      <c r="H112" s="384">
        <f t="shared" si="12"/>
        <v>-100</v>
      </c>
      <c r="I112" s="490"/>
      <c r="J112" s="318"/>
      <c r="K112" s="318"/>
      <c r="L112" s="318"/>
    </row>
    <row r="113" spans="1:12" customFormat="1" x14ac:dyDescent="0.3">
      <c r="A113" s="271"/>
      <c r="B113" s="382">
        <v>41981</v>
      </c>
      <c r="C113" s="271"/>
      <c r="D113" s="287" t="s">
        <v>231</v>
      </c>
      <c r="E113" s="275" t="s">
        <v>225</v>
      </c>
      <c r="F113" s="490">
        <v>100</v>
      </c>
      <c r="G113" s="275" t="s">
        <v>568</v>
      </c>
      <c r="H113" s="384">
        <f t="shared" si="12"/>
        <v>-100</v>
      </c>
      <c r="I113" s="490"/>
      <c r="J113" s="318"/>
      <c r="K113" s="318"/>
      <c r="L113" s="318"/>
    </row>
    <row r="114" spans="1:12" customFormat="1" x14ac:dyDescent="0.3">
      <c r="A114" s="271"/>
      <c r="B114" s="382">
        <v>41988</v>
      </c>
      <c r="C114" s="271"/>
      <c r="D114" s="287" t="s">
        <v>231</v>
      </c>
      <c r="E114" s="275" t="s">
        <v>225</v>
      </c>
      <c r="F114" s="271">
        <v>100</v>
      </c>
      <c r="G114" s="275" t="s">
        <v>569</v>
      </c>
      <c r="H114" s="277">
        <f t="shared" si="12"/>
        <v>-100</v>
      </c>
      <c r="I114" s="271"/>
      <c r="J114" s="271"/>
      <c r="K114" s="271"/>
      <c r="L114" s="271"/>
    </row>
    <row r="115" spans="1:12" customFormat="1" x14ac:dyDescent="0.3">
      <c r="A115" s="271"/>
      <c r="B115" s="382">
        <v>41988</v>
      </c>
      <c r="C115" s="271"/>
      <c r="D115" s="275" t="s">
        <v>260</v>
      </c>
      <c r="E115" s="275" t="s">
        <v>225</v>
      </c>
      <c r="F115" s="271">
        <v>20</v>
      </c>
      <c r="G115" s="275" t="s">
        <v>570</v>
      </c>
      <c r="H115" s="277">
        <f t="shared" si="12"/>
        <v>-20</v>
      </c>
      <c r="I115" s="271"/>
      <c r="J115" s="271"/>
      <c r="K115" s="271"/>
      <c r="L115" s="271"/>
    </row>
    <row r="116" spans="1:12" customFormat="1" x14ac:dyDescent="0.3">
      <c r="A116" s="271"/>
      <c r="B116" s="382">
        <v>41990</v>
      </c>
      <c r="C116" s="271"/>
      <c r="D116" s="287" t="s">
        <v>231</v>
      </c>
      <c r="E116" s="275" t="s">
        <v>225</v>
      </c>
      <c r="F116" s="490">
        <v>50</v>
      </c>
      <c r="G116" s="275" t="s">
        <v>571</v>
      </c>
      <c r="H116" s="384">
        <f t="shared" si="12"/>
        <v>-50</v>
      </c>
      <c r="I116" s="271"/>
      <c r="J116" s="271"/>
      <c r="K116" s="271"/>
      <c r="L116" s="271"/>
    </row>
    <row r="117" spans="1:12" customFormat="1" x14ac:dyDescent="0.3">
      <c r="A117" s="271"/>
      <c r="B117" s="382">
        <v>41990</v>
      </c>
      <c r="C117" s="271"/>
      <c r="D117" s="287" t="s">
        <v>231</v>
      </c>
      <c r="E117" s="275" t="s">
        <v>225</v>
      </c>
      <c r="F117" s="490">
        <v>100</v>
      </c>
      <c r="G117" s="275" t="s">
        <v>572</v>
      </c>
      <c r="H117" s="384">
        <f t="shared" si="12"/>
        <v>-100</v>
      </c>
      <c r="I117" s="271"/>
      <c r="J117" s="271"/>
      <c r="K117" s="271"/>
      <c r="L117" s="271"/>
    </row>
    <row r="118" spans="1:12" customFormat="1" x14ac:dyDescent="0.3">
      <c r="A118" s="271"/>
      <c r="B118" s="382">
        <v>41990</v>
      </c>
      <c r="C118" s="271"/>
      <c r="D118" s="287" t="s">
        <v>563</v>
      </c>
      <c r="E118" s="275" t="s">
        <v>225</v>
      </c>
      <c r="F118" s="271">
        <v>17.8</v>
      </c>
      <c r="G118" s="275" t="s">
        <v>573</v>
      </c>
      <c r="H118" s="384">
        <f t="shared" si="12"/>
        <v>-17.8</v>
      </c>
      <c r="I118" s="271"/>
      <c r="J118" s="271"/>
      <c r="K118" s="271"/>
      <c r="L118" s="271"/>
    </row>
    <row r="119" spans="1:12" customFormat="1" x14ac:dyDescent="0.3">
      <c r="A119" s="271"/>
      <c r="B119" s="382">
        <v>41991</v>
      </c>
      <c r="C119" s="271"/>
      <c r="D119" s="287" t="s">
        <v>231</v>
      </c>
      <c r="E119" s="275" t="s">
        <v>225</v>
      </c>
      <c r="F119" s="271">
        <v>93.4</v>
      </c>
      <c r="G119" s="275" t="s">
        <v>574</v>
      </c>
      <c r="H119" s="384">
        <f t="shared" si="12"/>
        <v>-93.4</v>
      </c>
      <c r="I119" s="271"/>
      <c r="J119" s="271"/>
      <c r="K119" s="271"/>
      <c r="L119" s="271"/>
    </row>
    <row r="120" spans="1:12" customFormat="1" x14ac:dyDescent="0.3">
      <c r="A120" s="271"/>
      <c r="B120" s="382">
        <v>41995</v>
      </c>
      <c r="C120" s="271"/>
      <c r="D120" s="287" t="s">
        <v>231</v>
      </c>
      <c r="E120" s="275" t="s">
        <v>225</v>
      </c>
      <c r="F120" s="271">
        <v>97.8</v>
      </c>
      <c r="G120" s="275" t="s">
        <v>575</v>
      </c>
      <c r="H120" s="384">
        <f t="shared" si="12"/>
        <v>-97.8</v>
      </c>
      <c r="I120" s="271"/>
      <c r="J120" s="271"/>
      <c r="K120" s="271"/>
      <c r="L120" s="271"/>
    </row>
    <row r="121" spans="1:12" customFormat="1" x14ac:dyDescent="0.3">
      <c r="A121" s="271"/>
      <c r="B121" s="382">
        <v>42002</v>
      </c>
      <c r="C121" s="271"/>
      <c r="D121" s="287" t="s">
        <v>301</v>
      </c>
      <c r="E121" s="283" t="s">
        <v>579</v>
      </c>
      <c r="F121" s="271">
        <v>12</v>
      </c>
      <c r="G121" s="275" t="s">
        <v>576</v>
      </c>
      <c r="H121" s="384">
        <f t="shared" si="12"/>
        <v>-12</v>
      </c>
      <c r="I121" s="281">
        <v>-12</v>
      </c>
      <c r="J121" s="271"/>
      <c r="K121" s="271"/>
      <c r="L121" s="271"/>
    </row>
    <row r="122" spans="1:12" customFormat="1" x14ac:dyDescent="0.3">
      <c r="A122" s="271"/>
      <c r="B122" s="382">
        <v>42002</v>
      </c>
      <c r="C122" s="271"/>
      <c r="D122" s="287" t="s">
        <v>301</v>
      </c>
      <c r="E122" s="283" t="s">
        <v>580</v>
      </c>
      <c r="F122" s="271">
        <v>21</v>
      </c>
      <c r="G122" s="275" t="s">
        <v>577</v>
      </c>
      <c r="H122" s="384">
        <f t="shared" si="12"/>
        <v>-21</v>
      </c>
      <c r="I122" s="281">
        <v>-21</v>
      </c>
      <c r="J122" s="271"/>
      <c r="K122" s="271"/>
      <c r="L122" s="271"/>
    </row>
    <row r="123" spans="1:12" customFormat="1" x14ac:dyDescent="0.3">
      <c r="A123" s="271"/>
      <c r="B123" s="382">
        <v>42002</v>
      </c>
      <c r="C123" s="271"/>
      <c r="D123" s="287" t="s">
        <v>231</v>
      </c>
      <c r="E123" s="275" t="s">
        <v>225</v>
      </c>
      <c r="F123" s="271">
        <v>20</v>
      </c>
      <c r="G123" s="275" t="s">
        <v>578</v>
      </c>
      <c r="H123" s="384">
        <f t="shared" si="12"/>
        <v>-20</v>
      </c>
      <c r="I123" s="271"/>
      <c r="J123" s="271"/>
      <c r="K123" s="271"/>
      <c r="L123" s="271"/>
    </row>
    <row r="124" spans="1:12" customFormat="1" x14ac:dyDescent="0.3">
      <c r="A124" s="271"/>
      <c r="B124" s="382">
        <v>42003</v>
      </c>
      <c r="C124" s="271"/>
      <c r="D124" s="287" t="s">
        <v>231</v>
      </c>
      <c r="E124" s="275" t="s">
        <v>225</v>
      </c>
      <c r="F124" s="271">
        <v>10</v>
      </c>
      <c r="G124" s="275" t="s">
        <v>581</v>
      </c>
      <c r="H124" s="384">
        <f t="shared" si="12"/>
        <v>-10</v>
      </c>
      <c r="I124" s="271"/>
      <c r="J124" s="271"/>
      <c r="K124" s="271"/>
      <c r="L124" s="271"/>
    </row>
    <row r="125" spans="1:12" customFormat="1" x14ac:dyDescent="0.3">
      <c r="A125" s="271"/>
      <c r="B125" s="382">
        <v>42004</v>
      </c>
      <c r="C125" s="271"/>
      <c r="D125" s="287" t="s">
        <v>231</v>
      </c>
      <c r="E125" s="275" t="s">
        <v>225</v>
      </c>
      <c r="F125" s="271">
        <v>50</v>
      </c>
      <c r="G125" s="275" t="s">
        <v>582</v>
      </c>
      <c r="H125" s="384">
        <f t="shared" si="12"/>
        <v>-50</v>
      </c>
      <c r="I125" s="271"/>
      <c r="J125" s="271"/>
      <c r="K125" s="271"/>
      <c r="L125" s="271"/>
    </row>
    <row r="126" spans="1:12" customFormat="1" x14ac:dyDescent="0.3">
      <c r="A126" s="271"/>
      <c r="B126" s="382">
        <v>42004</v>
      </c>
      <c r="C126" s="271"/>
      <c r="D126" s="287" t="s">
        <v>231</v>
      </c>
      <c r="E126" s="275" t="s">
        <v>225</v>
      </c>
      <c r="F126" s="271">
        <v>100</v>
      </c>
      <c r="G126" s="275" t="s">
        <v>583</v>
      </c>
      <c r="H126" s="384">
        <f t="shared" si="12"/>
        <v>-100</v>
      </c>
      <c r="I126" s="271"/>
      <c r="J126" s="271"/>
      <c r="K126" s="271"/>
      <c r="L126" s="271"/>
    </row>
  </sheetData>
  <mergeCells count="2">
    <mergeCell ref="L3:M3"/>
    <mergeCell ref="I3:K3"/>
  </mergeCells>
  <pageMargins left="0.7" right="0.7" top="0.75" bottom="0.75" header="0.3" footer="0.3"/>
  <pageSetup paperSize="9" orientation="portrait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3"/>
  <sheetViews>
    <sheetView topLeftCell="F1" zoomScaleNormal="100" workbookViewId="0">
      <selection activeCell="N12" sqref="N12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10" style="4" customWidth="1"/>
    <col min="5" max="5" width="14.5546875" style="4" customWidth="1"/>
    <col min="6" max="6" width="13" style="1" customWidth="1"/>
    <col min="7" max="7" width="11.33203125" style="1" customWidth="1"/>
    <col min="8" max="8" width="13.44140625" style="1" customWidth="1"/>
    <col min="9" max="9" width="15.33203125" style="1" customWidth="1"/>
    <col min="10" max="10" width="15.109375" style="1" customWidth="1"/>
    <col min="11" max="13" width="13" style="1" customWidth="1"/>
    <col min="14" max="14" width="11.33203125" style="1" customWidth="1"/>
    <col min="15" max="15" width="11.88671875" style="1" customWidth="1"/>
    <col min="16" max="16" width="11" style="1" hidden="1" customWidth="1" outlineLevel="1"/>
    <col min="17" max="17" width="12.33203125" style="1" bestFit="1" customWidth="1" collapsed="1"/>
    <col min="18" max="18" width="12.33203125" style="1" customWidth="1"/>
    <col min="19" max="19" width="13.109375" style="1" bestFit="1" customWidth="1"/>
    <col min="20" max="20" width="12.33203125" style="1" bestFit="1" customWidth="1"/>
    <col min="21" max="21" width="7.5546875" style="1" customWidth="1"/>
    <col min="22" max="22" width="6.44140625" style="1" customWidth="1" outlineLevel="1"/>
    <col min="23" max="23" width="13.33203125" style="2" customWidth="1" outlineLevel="1"/>
    <col min="24" max="24" width="11.33203125" style="1" bestFit="1" customWidth="1"/>
    <col min="25" max="25" width="9.5546875" style="1" bestFit="1" customWidth="1"/>
    <col min="26" max="16384" width="8.88671875" style="1"/>
  </cols>
  <sheetData>
    <row r="1" spans="1:25" ht="16.95" customHeight="1" x14ac:dyDescent="0.3">
      <c r="A1" s="40" t="s">
        <v>560</v>
      </c>
      <c r="D1" s="202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25" ht="18" customHeight="1" x14ac:dyDescent="0.25">
      <c r="A2" s="1" t="s">
        <v>177</v>
      </c>
      <c r="D2" s="3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</row>
    <row r="3" spans="1:25" ht="26.4" customHeight="1" x14ac:dyDescent="0.25">
      <c r="A3" s="576" t="s">
        <v>39</v>
      </c>
      <c r="B3" s="578" t="s">
        <v>37</v>
      </c>
      <c r="C3" s="574" t="s">
        <v>40</v>
      </c>
      <c r="D3" s="586" t="s">
        <v>38</v>
      </c>
      <c r="E3" s="574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586" t="s">
        <v>178</v>
      </c>
      <c r="P3" s="598"/>
      <c r="Q3" s="590" t="s">
        <v>43</v>
      </c>
      <c r="R3" s="590" t="s">
        <v>44</v>
      </c>
      <c r="S3" s="590" t="s">
        <v>41</v>
      </c>
      <c r="T3" s="590" t="s">
        <v>149</v>
      </c>
      <c r="V3" s="270"/>
      <c r="W3" s="584" t="s">
        <v>449</v>
      </c>
    </row>
    <row r="4" spans="1:25" ht="27.6" customHeight="1" x14ac:dyDescent="0.25">
      <c r="A4" s="577"/>
      <c r="B4" s="579"/>
      <c r="C4" s="575"/>
      <c r="D4" s="587"/>
      <c r="E4" s="575"/>
      <c r="F4" s="575"/>
      <c r="G4" s="575"/>
      <c r="H4" s="575"/>
      <c r="I4" s="575"/>
      <c r="J4" s="587"/>
      <c r="K4" s="254" t="s">
        <v>203</v>
      </c>
      <c r="L4" s="254" t="s">
        <v>586</v>
      </c>
      <c r="M4" s="575"/>
      <c r="N4" s="575"/>
      <c r="O4" s="587"/>
      <c r="P4" s="600"/>
      <c r="Q4" s="591"/>
      <c r="R4" s="592"/>
      <c r="S4" s="592"/>
      <c r="T4" s="592"/>
      <c r="V4" s="87"/>
      <c r="W4" s="585"/>
    </row>
    <row r="5" spans="1:25" ht="12" customHeight="1" x14ac:dyDescent="0.25">
      <c r="A5" s="70" t="s">
        <v>29</v>
      </c>
      <c r="B5" s="52" t="s">
        <v>36</v>
      </c>
      <c r="C5" s="9" t="s">
        <v>45</v>
      </c>
      <c r="D5" s="78"/>
      <c r="E5" s="231">
        <f t="shared" ref="E5:T5" si="0">+E6+E18+E44</f>
        <v>402735.08027397242</v>
      </c>
      <c r="F5" s="82">
        <f t="shared" si="0"/>
        <v>6671692.7310045343</v>
      </c>
      <c r="G5" s="82">
        <f t="shared" si="0"/>
        <v>958429.47328767157</v>
      </c>
      <c r="H5" s="82">
        <f t="shared" si="0"/>
        <v>163828.25885844752</v>
      </c>
      <c r="I5" s="187">
        <f t="shared" si="0"/>
        <v>623613.9</v>
      </c>
      <c r="J5" s="187">
        <f t="shared" si="0"/>
        <v>1074900.3999999999</v>
      </c>
      <c r="K5" s="192">
        <f t="shared" si="0"/>
        <v>959888.7</v>
      </c>
      <c r="L5" s="192">
        <f t="shared" si="0"/>
        <v>3304.3700000001104</v>
      </c>
      <c r="M5" s="187">
        <f t="shared" si="0"/>
        <v>83338.524383561729</v>
      </c>
      <c r="N5" s="187">
        <f t="shared" si="0"/>
        <v>164560.59598173518</v>
      </c>
      <c r="O5" s="187">
        <f t="shared" si="0"/>
        <v>644959.15832144942</v>
      </c>
      <c r="P5" s="187">
        <f t="shared" si="0"/>
        <v>0</v>
      </c>
      <c r="Q5" s="42">
        <f t="shared" ref="Q5:Q10" si="1">+SUM(E5:P5)</f>
        <v>11751251.192111373</v>
      </c>
      <c r="R5" s="42">
        <f t="shared" si="0"/>
        <v>10780964.39643245</v>
      </c>
      <c r="S5" s="42">
        <f t="shared" si="0"/>
        <v>970286.79567892128</v>
      </c>
      <c r="T5" s="44">
        <f t="shared" si="0"/>
        <v>2685383.7886123708</v>
      </c>
      <c r="U5" s="71"/>
      <c r="V5" s="87"/>
      <c r="W5" s="135">
        <f>+W6+W18+W44</f>
        <v>7160070.6424437137</v>
      </c>
      <c r="X5" s="2"/>
      <c r="Y5" s="2"/>
    </row>
    <row r="6" spans="1:25" ht="12" customHeight="1" x14ac:dyDescent="0.25">
      <c r="A6" s="70" t="s">
        <v>12</v>
      </c>
      <c r="B6" s="52" t="s">
        <v>30</v>
      </c>
      <c r="C6" s="9" t="s">
        <v>1</v>
      </c>
      <c r="D6" s="78"/>
      <c r="E6" s="231">
        <f t="shared" ref="E6:T6" si="2">+E7+E11</f>
        <v>107639.42</v>
      </c>
      <c r="F6" s="82">
        <f t="shared" si="2"/>
        <v>1889784.2200000002</v>
      </c>
      <c r="G6" s="82">
        <f t="shared" si="2"/>
        <v>264452.69999999995</v>
      </c>
      <c r="H6" s="82">
        <f t="shared" si="2"/>
        <v>40211.920000000006</v>
      </c>
      <c r="I6" s="187">
        <f t="shared" si="2"/>
        <v>623613.9</v>
      </c>
      <c r="J6" s="187">
        <f t="shared" si="2"/>
        <v>1074900.3999999999</v>
      </c>
      <c r="K6" s="192">
        <f t="shared" si="2"/>
        <v>959888.7</v>
      </c>
      <c r="L6" s="192">
        <f t="shared" si="2"/>
        <v>3304.3700000001104</v>
      </c>
      <c r="M6" s="187">
        <f t="shared" si="2"/>
        <v>19348.399999999998</v>
      </c>
      <c r="N6" s="187">
        <f t="shared" si="2"/>
        <v>110713.16000000002</v>
      </c>
      <c r="O6" s="187">
        <f t="shared" si="2"/>
        <v>149620.34</v>
      </c>
      <c r="P6" s="187">
        <f t="shared" si="2"/>
        <v>0</v>
      </c>
      <c r="Q6" s="42">
        <f t="shared" si="1"/>
        <v>5243477.53</v>
      </c>
      <c r="R6" s="42">
        <f t="shared" si="2"/>
        <v>4810529.8440366965</v>
      </c>
      <c r="S6" s="42">
        <f t="shared" si="2"/>
        <v>432947.68596330308</v>
      </c>
      <c r="T6" s="44">
        <f t="shared" si="2"/>
        <v>2534039.2886363636</v>
      </c>
      <c r="V6" s="61"/>
      <c r="W6" s="105">
        <f>+SUM(W8:W17)</f>
        <v>1220443.1800000002</v>
      </c>
      <c r="X6" s="2"/>
      <c r="Y6" s="2"/>
    </row>
    <row r="7" spans="1:25" ht="12" customHeight="1" x14ac:dyDescent="0.25">
      <c r="A7" s="70" t="s">
        <v>52</v>
      </c>
      <c r="B7" s="52" t="s">
        <v>31</v>
      </c>
      <c r="C7" s="8" t="s">
        <v>11</v>
      </c>
      <c r="D7" s="79"/>
      <c r="E7" s="126">
        <f t="shared" ref="E7:T7" si="3">+SUM(E8:E10)</f>
        <v>0</v>
      </c>
      <c r="F7" s="269">
        <f t="shared" si="3"/>
        <v>0</v>
      </c>
      <c r="G7" s="126">
        <f t="shared" si="3"/>
        <v>0</v>
      </c>
      <c r="H7" s="126">
        <f t="shared" si="3"/>
        <v>0</v>
      </c>
      <c r="I7" s="126">
        <f t="shared" si="3"/>
        <v>623613.9</v>
      </c>
      <c r="J7" s="126">
        <f t="shared" si="3"/>
        <v>1074900.3999999999</v>
      </c>
      <c r="K7" s="126">
        <f t="shared" si="3"/>
        <v>0</v>
      </c>
      <c r="L7" s="126">
        <f t="shared" si="3"/>
        <v>0</v>
      </c>
      <c r="M7" s="269">
        <f t="shared" si="3"/>
        <v>0</v>
      </c>
      <c r="N7" s="269">
        <f t="shared" si="3"/>
        <v>0</v>
      </c>
      <c r="O7" s="126">
        <f t="shared" si="3"/>
        <v>0</v>
      </c>
      <c r="P7" s="126">
        <f t="shared" si="3"/>
        <v>0</v>
      </c>
      <c r="Q7" s="43">
        <f>+SUM(E7:P7)</f>
        <v>1698514.2999999998</v>
      </c>
      <c r="R7" s="43">
        <f t="shared" si="3"/>
        <v>1558270</v>
      </c>
      <c r="S7" s="43">
        <f t="shared" si="3"/>
        <v>140244.30000000013</v>
      </c>
      <c r="T7" s="45">
        <f t="shared" si="3"/>
        <v>630878</v>
      </c>
      <c r="U7" s="71"/>
      <c r="V7" s="134"/>
      <c r="W7" s="105"/>
      <c r="X7" s="2"/>
      <c r="Y7" s="2"/>
    </row>
    <row r="8" spans="1:25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7">
        <f>+R_2014_12_priskirta!E9+'R_2014_12_atkelta(viso)'!E8</f>
        <v>0</v>
      </c>
      <c r="F8" s="127">
        <f>+R_2014_12_priskirta!F9+'R_2014_12_atkelta(viso)'!F8</f>
        <v>0</v>
      </c>
      <c r="G8" s="127">
        <f>+R_2014_12_priskirta!G9+'R_2014_12_atkelta(viso)'!G8</f>
        <v>0</v>
      </c>
      <c r="H8" s="127">
        <f>+R_2014_12_priskirta!H9+'R_2014_12_atkelta(viso)'!H8</f>
        <v>0</v>
      </c>
      <c r="I8" s="127">
        <f>+R_2014_12_priskirta!I9+'R_2014_12_atkelta(viso)'!I8</f>
        <v>449970.5</v>
      </c>
      <c r="J8" s="127">
        <f>+R_2014_12_priskirta!J9+'R_2014_12_atkelta(viso)'!J8</f>
        <v>794412.5</v>
      </c>
      <c r="K8" s="127">
        <f>+R_2014_12_priskirta!K9+'R_2014_12_atkelta(viso)'!K8</f>
        <v>0</v>
      </c>
      <c r="L8" s="127">
        <f>+R_2014_12_priskirta!L9+'R_2014_12_atkelta(viso)'!L8</f>
        <v>0</v>
      </c>
      <c r="M8" s="127">
        <f>+R_2014_12_priskirta!M9+'R_2014_12_atkelta(viso)'!M8</f>
        <v>0</v>
      </c>
      <c r="N8" s="127">
        <f>+R_2014_12_priskirta!N9+'R_2014_12_atkelta(viso)'!N8</f>
        <v>0</v>
      </c>
      <c r="O8" s="127">
        <f>+R_2014_12_priskirta!O9+'R_2014_12_atkelta(viso)'!O8</f>
        <v>0</v>
      </c>
      <c r="P8" s="127">
        <f>+R_2014_12_priskirta!P9+'R_2014_12_atkelta(viso)'!P8</f>
        <v>0</v>
      </c>
      <c r="Q8" s="24">
        <f t="shared" si="1"/>
        <v>1244383</v>
      </c>
      <c r="R8" s="229">
        <f>+Q8/1.09</f>
        <v>1141635.7798165136</v>
      </c>
      <c r="S8" s="73">
        <f t="shared" ref="S8:S10" si="4">+Q8-R8</f>
        <v>102747.22018348635</v>
      </c>
      <c r="T8" s="39">
        <f>Q8/D8</f>
        <v>355538</v>
      </c>
      <c r="U8" s="71"/>
      <c r="V8" s="61"/>
      <c r="W8" s="13"/>
      <c r="X8" s="2"/>
      <c r="Y8" s="2"/>
    </row>
    <row r="9" spans="1:25" ht="12" customHeight="1" x14ac:dyDescent="0.25">
      <c r="A9" s="54" t="s">
        <v>49</v>
      </c>
      <c r="B9" s="55" t="s">
        <v>48</v>
      </c>
      <c r="C9" s="27" t="s">
        <v>179</v>
      </c>
      <c r="D9" s="38">
        <f t="shared" ref="D9" si="5">+D8*0.5</f>
        <v>1.75</v>
      </c>
      <c r="E9" s="127">
        <f>+R_2014_12_priskirta!E10+'R_2014_12_atkelta(viso)'!E9</f>
        <v>0</v>
      </c>
      <c r="F9" s="127">
        <f>+R_2014_12_priskirta!F10+'R_2014_12_atkelta(viso)'!F9</f>
        <v>0</v>
      </c>
      <c r="G9" s="127">
        <f>+R_2014_12_priskirta!G10+'R_2014_12_atkelta(viso)'!G9</f>
        <v>0</v>
      </c>
      <c r="H9" s="127">
        <f>+R_2014_12_priskirta!H10+'R_2014_12_atkelta(viso)'!H9</f>
        <v>0</v>
      </c>
      <c r="I9" s="127">
        <f>+R_2014_12_priskirta!I10+'R_2014_12_atkelta(viso)'!I9</f>
        <v>167520.5</v>
      </c>
      <c r="J9" s="127">
        <f>+R_2014_12_priskirta!J10+'R_2014_12_atkelta(viso)'!J9</f>
        <v>268135</v>
      </c>
      <c r="K9" s="127">
        <f>+R_2014_12_priskirta!K10+'R_2014_12_atkelta(viso)'!K9</f>
        <v>0</v>
      </c>
      <c r="L9" s="127">
        <f>+R_2014_12_priskirta!L10+'R_2014_12_atkelta(viso)'!L9</f>
        <v>0</v>
      </c>
      <c r="M9" s="127">
        <f>+R_2014_12_priskirta!M10+'R_2014_12_atkelta(viso)'!M9</f>
        <v>0</v>
      </c>
      <c r="N9" s="127">
        <f>+R_2014_12_priskirta!N10+'R_2014_12_atkelta(viso)'!N9</f>
        <v>0</v>
      </c>
      <c r="O9" s="127">
        <f>+R_2014_12_priskirta!O10+'R_2014_12_atkelta(viso)'!O9</f>
        <v>0</v>
      </c>
      <c r="P9" s="127">
        <f>+R_2014_12_priskirta!P10+'R_2014_12_atkelta(viso)'!P9</f>
        <v>0</v>
      </c>
      <c r="Q9" s="24">
        <f t="shared" si="1"/>
        <v>435655.5</v>
      </c>
      <c r="R9" s="229">
        <f t="shared" ref="R9:R53" si="6">+Q9/1.09</f>
        <v>399683.94495412841</v>
      </c>
      <c r="S9" s="207">
        <f t="shared" si="4"/>
        <v>35971.555045871588</v>
      </c>
      <c r="T9" s="39">
        <f>Q9/D9</f>
        <v>248946</v>
      </c>
      <c r="U9" s="71"/>
      <c r="V9" s="61">
        <v>1.75</v>
      </c>
      <c r="W9" s="13">
        <f>+T9*V9</f>
        <v>435655.5</v>
      </c>
      <c r="X9" s="2"/>
      <c r="Y9" s="2"/>
    </row>
    <row r="10" spans="1:25" ht="12" customHeight="1" x14ac:dyDescent="0.25">
      <c r="A10" s="47" t="s">
        <v>185</v>
      </c>
      <c r="B10" s="56" t="s">
        <v>186</v>
      </c>
      <c r="C10" s="222" t="s">
        <v>187</v>
      </c>
      <c r="D10" s="7">
        <v>0.7</v>
      </c>
      <c r="E10" s="127">
        <f>+R_2014_12_priskirta!E11+'R_2014_12_atkelta(viso)'!E10</f>
        <v>0</v>
      </c>
      <c r="F10" s="127">
        <f>+R_2014_12_priskirta!F11+'R_2014_12_atkelta(viso)'!F10</f>
        <v>0</v>
      </c>
      <c r="G10" s="127">
        <f>+R_2014_12_priskirta!G11+'R_2014_12_atkelta(viso)'!G10</f>
        <v>0</v>
      </c>
      <c r="H10" s="127">
        <f>+R_2014_12_priskirta!H11+'R_2014_12_atkelta(viso)'!H10</f>
        <v>0</v>
      </c>
      <c r="I10" s="127">
        <f>+R_2014_12_priskirta!I11+'R_2014_12_atkelta(viso)'!I10</f>
        <v>6122.9</v>
      </c>
      <c r="J10" s="127">
        <f>+R_2014_12_priskirta!J11+'R_2014_12_atkelta(viso)'!J10</f>
        <v>12352.9</v>
      </c>
      <c r="K10" s="127">
        <f>+R_2014_12_priskirta!K11+'R_2014_12_atkelta(viso)'!K10</f>
        <v>0</v>
      </c>
      <c r="L10" s="127">
        <f>+R_2014_12_priskirta!L11+'R_2014_12_atkelta(viso)'!L10</f>
        <v>0</v>
      </c>
      <c r="M10" s="127">
        <f>+R_2014_12_priskirta!M11+'R_2014_12_atkelta(viso)'!M10</f>
        <v>0</v>
      </c>
      <c r="N10" s="127">
        <f>+R_2014_12_priskirta!N11+'R_2014_12_atkelta(viso)'!N10</f>
        <v>0</v>
      </c>
      <c r="O10" s="127">
        <f>+R_2014_12_priskirta!O11+'R_2014_12_atkelta(viso)'!O10</f>
        <v>0</v>
      </c>
      <c r="P10" s="127">
        <f>+R_2014_12_priskirta!P11+'R_2014_12_atkelta(viso)'!P10</f>
        <v>0</v>
      </c>
      <c r="Q10" s="24">
        <f t="shared" si="1"/>
        <v>18475.8</v>
      </c>
      <c r="R10" s="229">
        <f t="shared" si="6"/>
        <v>16950.275229357798</v>
      </c>
      <c r="S10" s="207">
        <f t="shared" si="4"/>
        <v>1525.5247706422015</v>
      </c>
      <c r="T10" s="39">
        <f>Q10/D10</f>
        <v>26394</v>
      </c>
      <c r="U10" s="71"/>
      <c r="V10" s="107">
        <v>2.8</v>
      </c>
      <c r="W10" s="13">
        <f>+T10*V10</f>
        <v>73903.199999999997</v>
      </c>
      <c r="X10" s="2"/>
      <c r="Y10" s="2"/>
    </row>
    <row r="11" spans="1:25" ht="12" customHeight="1" x14ac:dyDescent="0.25">
      <c r="A11" s="70" t="s">
        <v>14</v>
      </c>
      <c r="B11" s="52" t="s">
        <v>32</v>
      </c>
      <c r="C11" s="8" t="s">
        <v>46</v>
      </c>
      <c r="D11" s="79"/>
      <c r="E11" s="129">
        <f t="shared" ref="E11:L11" si="7">+SUM(E12:E17)</f>
        <v>107639.42</v>
      </c>
      <c r="F11" s="84">
        <f t="shared" si="7"/>
        <v>1889784.2200000002</v>
      </c>
      <c r="G11" s="84">
        <f t="shared" si="7"/>
        <v>264452.69999999995</v>
      </c>
      <c r="H11" s="84">
        <f t="shared" si="7"/>
        <v>40211.920000000006</v>
      </c>
      <c r="I11" s="84">
        <f t="shared" si="7"/>
        <v>0</v>
      </c>
      <c r="J11" s="74">
        <f t="shared" si="7"/>
        <v>0</v>
      </c>
      <c r="K11" s="101">
        <f t="shared" si="7"/>
        <v>959888.7</v>
      </c>
      <c r="L11" s="101">
        <f t="shared" si="7"/>
        <v>3304.3700000001104</v>
      </c>
      <c r="M11" s="101">
        <f t="shared" ref="M11:T11" si="8">+SUM(M12:M17)</f>
        <v>19348.399999999998</v>
      </c>
      <c r="N11" s="101">
        <f t="shared" ref="N11" si="9">+SUM(N12:N17)</f>
        <v>110713.16000000002</v>
      </c>
      <c r="O11" s="101">
        <f t="shared" si="8"/>
        <v>149620.34</v>
      </c>
      <c r="P11" s="101">
        <f t="shared" ref="P11:Q11" si="10">+SUM(P12:P17)</f>
        <v>0</v>
      </c>
      <c r="Q11" s="43">
        <f t="shared" si="10"/>
        <v>3544963.23</v>
      </c>
      <c r="R11" s="43">
        <f t="shared" si="8"/>
        <v>3252259.8440366969</v>
      </c>
      <c r="S11" s="72">
        <f t="shared" si="8"/>
        <v>292703.38596330292</v>
      </c>
      <c r="T11" s="45">
        <f t="shared" si="8"/>
        <v>1903161.2886363636</v>
      </c>
      <c r="U11" s="71"/>
      <c r="V11" s="61"/>
      <c r="W11" s="13"/>
      <c r="X11" s="2"/>
      <c r="Y11" s="2"/>
    </row>
    <row r="12" spans="1:25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27">
        <f>+R_2014_12_priskirta!E13+'R_2014_12_atkelta(viso)'!E12</f>
        <v>84163.199999999997</v>
      </c>
      <c r="F12" s="127">
        <f>+R_2014_12_priskirta!F13+'R_2014_12_atkelta(viso)'!F12</f>
        <v>1405239</v>
      </c>
      <c r="G12" s="127">
        <f>+R_2014_12_priskirta!G13+'R_2014_12_atkelta(viso)'!G12</f>
        <v>188823.8</v>
      </c>
      <c r="H12" s="127">
        <f>+R_2014_12_priskirta!H13+'R_2014_12_atkelta(viso)'!H12</f>
        <v>28778.199999999997</v>
      </c>
      <c r="I12" s="127">
        <f>+R_2014_12_priskirta!I13+'R_2014_12_atkelta(viso)'!I12</f>
        <v>0</v>
      </c>
      <c r="J12" s="127">
        <f>+R_2014_12_priskirta!J13+'R_2014_12_atkelta(viso)'!J12</f>
        <v>0</v>
      </c>
      <c r="K12" s="127">
        <f>+R_2014_12_priskirta!K13+'R_2014_12_atkelta(viso)'!K12</f>
        <v>736078.2</v>
      </c>
      <c r="L12" s="127">
        <f>+R_2014_12_priskirta!L13+'R_2014_12_atkelta(viso)'!L12</f>
        <v>2436.9600000000792</v>
      </c>
      <c r="M12" s="127">
        <f>+R_2014_12_priskirta!M13+'R_2014_12_atkelta(viso)'!M12</f>
        <v>12753.4</v>
      </c>
      <c r="N12" s="127">
        <f>+R_2014_12_priskirta!N13+'R_2014_12_atkelta(viso)'!N12</f>
        <v>97246.6</v>
      </c>
      <c r="O12" s="127">
        <f>+R_2014_12_priskirta!O13+'R_2014_12_atkelta(viso)'!O12</f>
        <v>130851.59999999999</v>
      </c>
      <c r="P12" s="127">
        <f>+R_2014_12_priskirta!P13+'R_2014_12_atkelta(viso)'!P12</f>
        <v>0</v>
      </c>
      <c r="Q12" s="24">
        <f t="shared" ref="Q12:Q17" si="11">+SUM(E12:P12)</f>
        <v>2686370.96</v>
      </c>
      <c r="R12" s="229">
        <f>+Q12/1.09</f>
        <v>2464560.5137614678</v>
      </c>
      <c r="S12" s="73">
        <f t="shared" ref="S12:S17" si="12">+Q12-R12</f>
        <v>221810.4462385322</v>
      </c>
      <c r="T12" s="39">
        <f>Q12/D12</f>
        <v>1221077.709090909</v>
      </c>
      <c r="U12" s="71"/>
      <c r="V12" s="61"/>
      <c r="W12" s="13"/>
      <c r="X12" s="2"/>
      <c r="Y12" s="2"/>
    </row>
    <row r="13" spans="1:25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27">
        <f>+R_2014_12_priskirta!E14+'R_2014_12_atkelta(viso)'!E13</f>
        <v>22093.5</v>
      </c>
      <c r="F13" s="127">
        <f>+R_2014_12_priskirta!F14+'R_2014_12_atkelta(viso)'!F13</f>
        <v>454180.1</v>
      </c>
      <c r="G13" s="127">
        <f>+R_2014_12_priskirta!G14+'R_2014_12_atkelta(viso)'!G13</f>
        <v>70645.3</v>
      </c>
      <c r="H13" s="127">
        <f>+R_2014_12_priskirta!H14+'R_2014_12_atkelta(viso)'!H13</f>
        <v>11059.400000000001</v>
      </c>
      <c r="I13" s="127">
        <f>+R_2014_12_priskirta!I14+'R_2014_12_atkelta(viso)'!I13</f>
        <v>0</v>
      </c>
      <c r="J13" s="127">
        <f>+R_2014_12_priskirta!J14+'R_2014_12_atkelta(viso)'!J13</f>
        <v>0</v>
      </c>
      <c r="K13" s="127">
        <f>+R_2014_12_priskirta!K14+'R_2014_12_atkelta(viso)'!K13</f>
        <v>77379.5</v>
      </c>
      <c r="L13" s="127">
        <f>+R_2014_12_priskirta!L14+'R_2014_12_atkelta(viso)'!L13</f>
        <v>267.30000000001746</v>
      </c>
      <c r="M13" s="127">
        <f>+R_2014_12_priskirta!M14+'R_2014_12_atkelta(viso)'!M13</f>
        <v>6404.2</v>
      </c>
      <c r="N13" s="127">
        <f>+R_2014_12_priskirta!N14+'R_2014_12_atkelta(viso)'!N13</f>
        <v>2965.6000000000008</v>
      </c>
      <c r="O13" s="127">
        <f>+R_2014_12_priskirta!O14+'R_2014_12_atkelta(viso)'!O13</f>
        <v>9775.7000000000007</v>
      </c>
      <c r="P13" s="127">
        <f>+R_2014_12_priskirta!P14+'R_2014_12_atkelta(viso)'!P13</f>
        <v>0</v>
      </c>
      <c r="Q13" s="24">
        <f t="shared" si="11"/>
        <v>654770.6</v>
      </c>
      <c r="R13" s="229">
        <f t="shared" ref="R13:R17" si="13">+Q13/1.09</f>
        <v>600706.97247706412</v>
      </c>
      <c r="S13" s="73">
        <f t="shared" si="12"/>
        <v>54063.627522935858</v>
      </c>
      <c r="T13" s="39">
        <f t="shared" ref="T13:T17" si="14">Q13/D13</f>
        <v>595245.99999999988</v>
      </c>
      <c r="U13" s="71"/>
      <c r="V13" s="107">
        <v>1.1000000000000001</v>
      </c>
      <c r="W13" s="13">
        <f t="shared" ref="W13:W14" si="15">+T13*V13</f>
        <v>654770.6</v>
      </c>
      <c r="X13" s="2"/>
      <c r="Y13" s="2"/>
    </row>
    <row r="14" spans="1:25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27">
        <f>+R_2014_12_priskirta!E15+'R_2014_12_atkelta(viso)'!E14</f>
        <v>214.72</v>
      </c>
      <c r="F14" s="127">
        <f>+R_2014_12_priskirta!F15+'R_2014_12_atkelta(viso)'!F14</f>
        <v>4854.08</v>
      </c>
      <c r="G14" s="127">
        <f>+R_2014_12_priskirta!G15+'R_2014_12_atkelta(viso)'!G14</f>
        <v>701.36</v>
      </c>
      <c r="H14" s="127">
        <f>+R_2014_12_priskirta!H15+'R_2014_12_atkelta(viso)'!H14</f>
        <v>131.12</v>
      </c>
      <c r="I14" s="127">
        <f>+R_2014_12_priskirta!I15+'R_2014_12_atkelta(viso)'!I14</f>
        <v>0</v>
      </c>
      <c r="J14" s="127">
        <f>+R_2014_12_priskirta!J15+'R_2014_12_atkelta(viso)'!J14</f>
        <v>0</v>
      </c>
      <c r="K14" s="127">
        <f>+R_2014_12_priskirta!K15+'R_2014_12_atkelta(viso)'!K14</f>
        <v>1227.1600000000001</v>
      </c>
      <c r="L14" s="127">
        <f>+R_2014_12_priskirta!L15+'R_2014_12_atkelta(viso)'!L14</f>
        <v>6.9100000000003092</v>
      </c>
      <c r="M14" s="127">
        <f>+R_2014_12_priskirta!M15+'R_2014_12_atkelta(viso)'!M14</f>
        <v>48.4</v>
      </c>
      <c r="N14" s="127">
        <f>+R_2014_12_priskirta!N15+'R_2014_12_atkelta(viso)'!N14</f>
        <v>550.87999999999988</v>
      </c>
      <c r="O14" s="127">
        <f>+R_2014_12_priskirta!O15+'R_2014_12_atkelta(viso)'!O14</f>
        <v>161.04</v>
      </c>
      <c r="P14" s="127">
        <f>+R_2014_12_priskirta!P15+'R_2014_12_atkelta(viso)'!P14</f>
        <v>0</v>
      </c>
      <c r="Q14" s="24">
        <f t="shared" si="11"/>
        <v>7895.67</v>
      </c>
      <c r="R14" s="229">
        <f t="shared" si="13"/>
        <v>7243.7339449541278</v>
      </c>
      <c r="S14" s="73">
        <f t="shared" si="12"/>
        <v>651.93605504587231</v>
      </c>
      <c r="T14" s="39">
        <f t="shared" si="14"/>
        <v>17944.704545454544</v>
      </c>
      <c r="U14" s="71"/>
      <c r="V14" s="61">
        <v>1.76</v>
      </c>
      <c r="W14" s="13">
        <f t="shared" si="15"/>
        <v>31582.679999999997</v>
      </c>
      <c r="X14" s="2"/>
      <c r="Y14" s="2"/>
    </row>
    <row r="15" spans="1:25" x14ac:dyDescent="0.25">
      <c r="A15" s="58" t="s">
        <v>57</v>
      </c>
      <c r="B15" s="53" t="s">
        <v>192</v>
      </c>
      <c r="C15" s="59" t="s">
        <v>58</v>
      </c>
      <c r="D15" s="62">
        <v>3.2</v>
      </c>
      <c r="E15" s="127">
        <f>+R_2014_12_priskirta!E16+'R_2014_12_atkelta(viso)'!E15</f>
        <v>899.2</v>
      </c>
      <c r="F15" s="127">
        <f>+R_2014_12_priskirta!F16+'R_2014_12_atkelta(viso)'!F15</f>
        <v>21056</v>
      </c>
      <c r="G15" s="127">
        <f>+R_2014_12_priskirta!G16+'R_2014_12_atkelta(viso)'!G15</f>
        <v>3372.8</v>
      </c>
      <c r="H15" s="127">
        <f>+R_2014_12_priskirta!H16+'R_2014_12_atkelta(viso)'!H15</f>
        <v>140.80000000000001</v>
      </c>
      <c r="I15" s="127">
        <f>+R_2014_12_priskirta!I16+'R_2014_12_atkelta(viso)'!I15</f>
        <v>0</v>
      </c>
      <c r="J15" s="127">
        <f>+R_2014_12_priskirta!J16+'R_2014_12_atkelta(viso)'!J15</f>
        <v>0</v>
      </c>
      <c r="K15" s="127">
        <f>+R_2014_12_priskirta!K16+'R_2014_12_atkelta(viso)'!K15</f>
        <v>129987.2</v>
      </c>
      <c r="L15" s="127">
        <f>+R_2014_12_priskirta!L16+'R_2014_12_atkelta(viso)'!L15</f>
        <v>518.00000000001455</v>
      </c>
      <c r="M15" s="127">
        <f>+R_2014_12_priskirta!M16+'R_2014_12_atkelta(viso)'!M15</f>
        <v>89.6</v>
      </c>
      <c r="N15" s="127">
        <f>+R_2014_12_priskirta!N16+'R_2014_12_atkelta(viso)'!N15</f>
        <v>9228.7999999999993</v>
      </c>
      <c r="O15" s="127">
        <f>+R_2014_12_priskirta!O16+'R_2014_12_atkelta(viso)'!O15</f>
        <v>8137.6</v>
      </c>
      <c r="P15" s="127">
        <f>+R_2014_12_priskirta!P16+'R_2014_12_atkelta(viso)'!P15</f>
        <v>0</v>
      </c>
      <c r="Q15" s="24">
        <f t="shared" si="11"/>
        <v>173430</v>
      </c>
      <c r="R15" s="229">
        <f t="shared" si="13"/>
        <v>159110.09174311926</v>
      </c>
      <c r="S15" s="73">
        <f t="shared" si="12"/>
        <v>14319.908256880735</v>
      </c>
      <c r="T15" s="39">
        <f t="shared" si="14"/>
        <v>54196.875</v>
      </c>
      <c r="U15" s="71"/>
      <c r="V15" s="61"/>
      <c r="W15" s="13"/>
      <c r="X15" s="2"/>
      <c r="Y15" s="2"/>
    </row>
    <row r="16" spans="1:25" x14ac:dyDescent="0.25">
      <c r="A16" s="58" t="s">
        <v>59</v>
      </c>
      <c r="B16" s="53" t="s">
        <v>193</v>
      </c>
      <c r="C16" s="59" t="s">
        <v>94</v>
      </c>
      <c r="D16" s="62">
        <v>1.6</v>
      </c>
      <c r="E16" s="127">
        <f>+R_2014_12_priskirta!E17+'R_2014_12_atkelta(viso)'!E16</f>
        <v>256</v>
      </c>
      <c r="F16" s="127">
        <f>+R_2014_12_priskirta!F17+'R_2014_12_atkelta(viso)'!F16</f>
        <v>4307.2</v>
      </c>
      <c r="G16" s="127">
        <f>+R_2014_12_priskirta!G17+'R_2014_12_atkelta(viso)'!G16</f>
        <v>892.8</v>
      </c>
      <c r="H16" s="127">
        <f>+R_2014_12_priskirta!H17+'R_2014_12_atkelta(viso)'!H16</f>
        <v>102.4</v>
      </c>
      <c r="I16" s="127">
        <f>+R_2014_12_priskirta!I17+'R_2014_12_atkelta(viso)'!I16</f>
        <v>0</v>
      </c>
      <c r="J16" s="127">
        <f>+R_2014_12_priskirta!J17+'R_2014_12_atkelta(viso)'!J16</f>
        <v>0</v>
      </c>
      <c r="K16" s="127">
        <f>+R_2014_12_priskirta!K17+'R_2014_12_atkelta(viso)'!K16</f>
        <v>14905.6</v>
      </c>
      <c r="L16" s="127">
        <f>+R_2014_12_priskirta!L17+'R_2014_12_atkelta(viso)'!L16</f>
        <v>75.199999999998909</v>
      </c>
      <c r="M16" s="127">
        <f>+R_2014_12_priskirta!M17+'R_2014_12_atkelta(viso)'!M16</f>
        <v>52.8</v>
      </c>
      <c r="N16" s="127">
        <f>+R_2014_12_priskirta!N17+'R_2014_12_atkelta(viso)'!N16</f>
        <v>531.20000000000005</v>
      </c>
      <c r="O16" s="127">
        <f>+R_2014_12_priskirta!O17+'R_2014_12_atkelta(viso)'!O16</f>
        <v>694.4</v>
      </c>
      <c r="P16" s="127">
        <f>+R_2014_12_priskirta!P17+'R_2014_12_atkelta(viso)'!P16</f>
        <v>0</v>
      </c>
      <c r="Q16" s="24">
        <f t="shared" si="11"/>
        <v>21817.599999999999</v>
      </c>
      <c r="R16" s="229">
        <f t="shared" si="13"/>
        <v>20016.146788990824</v>
      </c>
      <c r="S16" s="73">
        <f t="shared" si="12"/>
        <v>1801.453211009175</v>
      </c>
      <c r="T16" s="39">
        <f t="shared" si="14"/>
        <v>13635.999999999998</v>
      </c>
      <c r="U16" s="71"/>
      <c r="V16" s="13">
        <v>1.6</v>
      </c>
      <c r="W16" s="13">
        <f t="shared" ref="W16:W17" si="16">+T16*V16</f>
        <v>21817.599999999999</v>
      </c>
      <c r="X16" s="2"/>
      <c r="Y16" s="2"/>
    </row>
    <row r="17" spans="1:25" x14ac:dyDescent="0.25">
      <c r="A17" s="241" t="s">
        <v>60</v>
      </c>
      <c r="B17" s="53" t="s">
        <v>194</v>
      </c>
      <c r="C17" s="63" t="s">
        <v>95</v>
      </c>
      <c r="D17" s="63">
        <v>0.64</v>
      </c>
      <c r="E17" s="127">
        <f>+R_2014_12_priskirta!E18+'R_2014_12_atkelta(viso)'!E17</f>
        <v>12.8</v>
      </c>
      <c r="F17" s="127">
        <f>+R_2014_12_priskirta!F18+'R_2014_12_atkelta(viso)'!F17</f>
        <v>147.84</v>
      </c>
      <c r="G17" s="127">
        <f>+R_2014_12_priskirta!G18+'R_2014_12_atkelta(viso)'!G17</f>
        <v>16.64</v>
      </c>
      <c r="H17" s="127">
        <f>+R_2014_12_priskirta!H18+'R_2014_12_atkelta(viso)'!H17</f>
        <v>0</v>
      </c>
      <c r="I17" s="127">
        <f>+R_2014_12_priskirta!I18+'R_2014_12_atkelta(viso)'!I17</f>
        <v>0</v>
      </c>
      <c r="J17" s="127">
        <f>+R_2014_12_priskirta!J18+'R_2014_12_atkelta(viso)'!J17</f>
        <v>0</v>
      </c>
      <c r="K17" s="127">
        <f>+R_2014_12_priskirta!K18+'R_2014_12_atkelta(viso)'!K17</f>
        <v>311.04000000000002</v>
      </c>
      <c r="L17" s="127">
        <f>+R_2014_12_priskirta!L18+'R_2014_12_atkelta(viso)'!L17</f>
        <v>0</v>
      </c>
      <c r="M17" s="127">
        <f>+R_2014_12_priskirta!M18+'R_2014_12_atkelta(viso)'!M17</f>
        <v>0</v>
      </c>
      <c r="N17" s="127">
        <f>+R_2014_12_priskirta!N18+'R_2014_12_atkelta(viso)'!N17</f>
        <v>190.07999999999998</v>
      </c>
      <c r="O17" s="127">
        <f>+R_2014_12_priskirta!O18+'R_2014_12_atkelta(viso)'!O17</f>
        <v>0</v>
      </c>
      <c r="P17" s="127">
        <f>+R_2014_12_priskirta!P18+'R_2014_12_atkelta(viso)'!P17</f>
        <v>0</v>
      </c>
      <c r="Q17" s="24">
        <f t="shared" si="11"/>
        <v>678.40000000000009</v>
      </c>
      <c r="R17" s="229">
        <f t="shared" si="13"/>
        <v>622.38532110091751</v>
      </c>
      <c r="S17" s="73">
        <f t="shared" si="12"/>
        <v>56.014678899082583</v>
      </c>
      <c r="T17" s="39">
        <f t="shared" si="14"/>
        <v>1060.0000000000002</v>
      </c>
      <c r="U17" s="71"/>
      <c r="V17" s="61">
        <v>2.56</v>
      </c>
      <c r="W17" s="13">
        <f t="shared" si="16"/>
        <v>2713.6000000000008</v>
      </c>
      <c r="X17" s="2"/>
      <c r="Y17" s="2"/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285553.83027397242</v>
      </c>
      <c r="F18" s="118">
        <f t="shared" ref="F18:T18" si="17">+SUM(F19:F43)</f>
        <v>4615866.9910045341</v>
      </c>
      <c r="G18" s="118">
        <f t="shared" si="17"/>
        <v>670864.42328767164</v>
      </c>
      <c r="H18" s="118">
        <f t="shared" si="17"/>
        <v>119768.81885844751</v>
      </c>
      <c r="I18" s="118">
        <f t="shared" si="17"/>
        <v>0</v>
      </c>
      <c r="J18" s="118">
        <f t="shared" si="17"/>
        <v>0</v>
      </c>
      <c r="K18" s="118">
        <f t="shared" si="17"/>
        <v>0</v>
      </c>
      <c r="L18" s="118">
        <f t="shared" ref="L18" si="18">+SUM(L19:L43)</f>
        <v>0</v>
      </c>
      <c r="M18" s="118">
        <f t="shared" si="17"/>
        <v>62952.084383561734</v>
      </c>
      <c r="N18" s="118">
        <f t="shared" ref="N18" si="19">+SUM(N19:N43)</f>
        <v>48892.615981735151</v>
      </c>
      <c r="O18" s="118">
        <f t="shared" si="17"/>
        <v>477007.8683214495</v>
      </c>
      <c r="P18" s="118">
        <f t="shared" ref="P18" si="20">+SUM(P19:P43)</f>
        <v>0</v>
      </c>
      <c r="Q18" s="42">
        <f>+SUM(Q19:Q43)</f>
        <v>6280906.6321113715</v>
      </c>
      <c r="R18" s="118">
        <f t="shared" si="17"/>
        <v>5762299.6624874985</v>
      </c>
      <c r="S18" s="118">
        <f t="shared" si="17"/>
        <v>518606.96962387516</v>
      </c>
      <c r="T18" s="253">
        <f t="shared" si="17"/>
        <v>119492.76664267387</v>
      </c>
      <c r="U18" s="71"/>
      <c r="V18" s="61"/>
      <c r="W18" s="105">
        <f>+SUM(W19:W43)</f>
        <v>5608960.092443713</v>
      </c>
      <c r="X18" s="2"/>
      <c r="Y18" s="2"/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27">
        <f>+R_2014_12_priskirta!E20+'R_2014_12_atkelta(viso)'!E19</f>
        <v>180589.99666666659</v>
      </c>
      <c r="F19" s="127">
        <f>+R_2014_12_priskirta!F20+'R_2014_12_atkelta(viso)'!F19</f>
        <v>2682659.9999999683</v>
      </c>
      <c r="G19" s="127">
        <f>+R_2014_12_priskirta!G20+'R_2014_12_atkelta(viso)'!G19</f>
        <v>373373.33333333378</v>
      </c>
      <c r="H19" s="127">
        <f>+R_2014_12_priskirta!H20+'R_2014_12_atkelta(viso)'!H19</f>
        <v>63290</v>
      </c>
      <c r="I19" s="127">
        <f>+R_2014_12_priskirta!I20+'R_2014_12_atkelta(viso)'!I19</f>
        <v>0</v>
      </c>
      <c r="J19" s="127">
        <f>+R_2014_12_priskirta!J20+'R_2014_12_atkelta(viso)'!J19</f>
        <v>0</v>
      </c>
      <c r="K19" s="127">
        <f>+R_2014_12_priskirta!K20+'R_2014_12_atkelta(viso)'!K19</f>
        <v>0</v>
      </c>
      <c r="L19" s="127">
        <f>+R_2014_12_priskirta!L20+'R_2014_12_atkelta(viso)'!L19</f>
        <v>0</v>
      </c>
      <c r="M19" s="127">
        <f>+R_2014_12_priskirta!M20+'R_2014_12_atkelta(viso)'!M19</f>
        <v>37480.000000000029</v>
      </c>
      <c r="N19" s="127">
        <f>+R_2014_12_priskirta!N20+'R_2014_12_atkelta(viso)'!N19</f>
        <v>30703.333333333328</v>
      </c>
      <c r="O19" s="127">
        <f>+R_2014_12_priskirta!O20+'R_2014_12_atkelta(viso)'!O19</f>
        <v>249546.67355316191</v>
      </c>
      <c r="P19" s="127">
        <f>+R_2014_12_priskirta!P20+'R_2014_12_atkelta(viso)'!P19</f>
        <v>0</v>
      </c>
      <c r="Q19" s="24">
        <f t="shared" ref="Q19:Q53" si="21">+SUM(E19:P19)</f>
        <v>3617643.3368864642</v>
      </c>
      <c r="R19" s="229">
        <f t="shared" si="6"/>
        <v>3318938.8411802421</v>
      </c>
      <c r="S19" s="93">
        <f>+Q19-R19</f>
        <v>298704.49570622202</v>
      </c>
      <c r="T19" s="94">
        <f t="shared" ref="T19:T43" si="22">Q19/D19</f>
        <v>36176.433368864644</v>
      </c>
      <c r="U19" s="71"/>
      <c r="V19" s="61"/>
      <c r="W19" s="106"/>
      <c r="X19" s="2"/>
      <c r="Y19" s="2"/>
    </row>
    <row r="20" spans="1:25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7">
        <f>+R_2014_12_priskirta!E21+'R_2014_12_atkelta(viso)'!E20</f>
        <v>32705</v>
      </c>
      <c r="F20" s="127">
        <f>+R_2014_12_priskirta!F21+'R_2014_12_atkelta(viso)'!F20</f>
        <v>736094.99999999977</v>
      </c>
      <c r="G20" s="127">
        <f>+R_2014_12_priskirta!G21+'R_2014_12_atkelta(viso)'!G20</f>
        <v>105556.66666666664</v>
      </c>
      <c r="H20" s="127">
        <f>+R_2014_12_priskirta!H21+'R_2014_12_atkelta(viso)'!H20</f>
        <v>24393.333333333332</v>
      </c>
      <c r="I20" s="127">
        <f>+R_2014_12_priskirta!I21+'R_2014_12_atkelta(viso)'!I20</f>
        <v>0</v>
      </c>
      <c r="J20" s="127">
        <f>+R_2014_12_priskirta!J21+'R_2014_12_atkelta(viso)'!J20</f>
        <v>0</v>
      </c>
      <c r="K20" s="127">
        <f>+R_2014_12_priskirta!K21+'R_2014_12_atkelta(viso)'!K20</f>
        <v>0</v>
      </c>
      <c r="L20" s="127">
        <f>+R_2014_12_priskirta!L21+'R_2014_12_atkelta(viso)'!L20</f>
        <v>0</v>
      </c>
      <c r="M20" s="127">
        <f>+R_2014_12_priskirta!M21+'R_2014_12_atkelta(viso)'!M20</f>
        <v>14208.333333333365</v>
      </c>
      <c r="N20" s="127">
        <f>+R_2014_12_priskirta!N21+'R_2014_12_atkelta(viso)'!N20</f>
        <v>411.66666666666663</v>
      </c>
      <c r="O20" s="127">
        <f>+R_2014_12_priskirta!O21+'R_2014_12_atkelta(viso)'!O20</f>
        <v>13790.000314483643</v>
      </c>
      <c r="P20" s="127">
        <f>+R_2014_12_priskirta!P21+'R_2014_12_atkelta(viso)'!P20</f>
        <v>0</v>
      </c>
      <c r="Q20" s="24">
        <f t="shared" si="21"/>
        <v>927160.00031448342</v>
      </c>
      <c r="R20" s="229">
        <f t="shared" si="6"/>
        <v>850605.50487567275</v>
      </c>
      <c r="S20" s="73">
        <f t="shared" ref="S20:S43" si="23">+Q20-R20</f>
        <v>76554.495438810671</v>
      </c>
      <c r="T20" s="21">
        <f t="shared" si="22"/>
        <v>18543.20000628967</v>
      </c>
      <c r="U20" s="71"/>
      <c r="V20" s="61">
        <v>50</v>
      </c>
      <c r="W20" s="13">
        <f t="shared" ref="W20:W21" si="24">+T20*V20</f>
        <v>927160.00031448342</v>
      </c>
      <c r="X20" s="2"/>
      <c r="Y20" s="2"/>
    </row>
    <row r="21" spans="1:25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7">
        <f>+R_2014_12_priskirta!E22+'R_2014_12_atkelta(viso)'!E21</f>
        <v>45746.666666666599</v>
      </c>
      <c r="F21" s="127">
        <f>+R_2014_12_priskirta!F22+'R_2014_12_atkelta(viso)'!F21</f>
        <v>801854</v>
      </c>
      <c r="G21" s="127">
        <f>+R_2014_12_priskirta!G22+'R_2014_12_atkelta(viso)'!G21</f>
        <v>133713.33333333331</v>
      </c>
      <c r="H21" s="127">
        <f>+R_2014_12_priskirta!H22+'R_2014_12_atkelta(viso)'!H21</f>
        <v>11604.666666666666</v>
      </c>
      <c r="I21" s="127">
        <f>+R_2014_12_priskirta!I22+'R_2014_12_atkelta(viso)'!I21</f>
        <v>0</v>
      </c>
      <c r="J21" s="127">
        <f>+R_2014_12_priskirta!J22+'R_2014_12_atkelta(viso)'!J21</f>
        <v>0</v>
      </c>
      <c r="K21" s="127">
        <f>+R_2014_12_priskirta!K22+'R_2014_12_atkelta(viso)'!K21</f>
        <v>0</v>
      </c>
      <c r="L21" s="127">
        <f>+R_2014_12_priskirta!L22+'R_2014_12_atkelta(viso)'!L21</f>
        <v>0</v>
      </c>
      <c r="M21" s="127">
        <f>+R_2014_12_priskirta!M22+'R_2014_12_atkelta(viso)'!M21</f>
        <v>6031.3366666667007</v>
      </c>
      <c r="N21" s="127">
        <f>+R_2014_12_priskirta!N22+'R_2014_12_atkelta(viso)'!N21</f>
        <v>10365.999999999998</v>
      </c>
      <c r="O21" s="127">
        <f>+R_2014_12_priskirta!O22+'R_2014_12_atkelta(viso)'!O21</f>
        <v>87668.664682418792</v>
      </c>
      <c r="P21" s="127">
        <f>+R_2014_12_priskirta!P22+'R_2014_12_atkelta(viso)'!P21</f>
        <v>0</v>
      </c>
      <c r="Q21" s="24">
        <f t="shared" si="21"/>
        <v>1096984.668015752</v>
      </c>
      <c r="R21" s="229">
        <f t="shared" si="6"/>
        <v>1006407.9523080293</v>
      </c>
      <c r="S21" s="73">
        <f t="shared" si="23"/>
        <v>90576.715707722702</v>
      </c>
      <c r="T21" s="21">
        <f t="shared" si="22"/>
        <v>54849.233400787598</v>
      </c>
      <c r="U21" s="71"/>
      <c r="V21" s="61">
        <v>80</v>
      </c>
      <c r="W21" s="13">
        <f t="shared" si="24"/>
        <v>4387938.672063008</v>
      </c>
      <c r="X21" s="2"/>
      <c r="Y21" s="2"/>
    </row>
    <row r="22" spans="1:25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27">
        <f>+R_2014_12_priskirta!E23+'R_2014_12_atkelta(viso)'!E22</f>
        <v>21996</v>
      </c>
      <c r="F22" s="127">
        <f>+R_2014_12_priskirta!F23+'R_2014_12_atkelta(viso)'!F22</f>
        <v>315303</v>
      </c>
      <c r="G22" s="127">
        <f>+R_2014_12_priskirta!G23+'R_2014_12_atkelta(viso)'!G22</f>
        <v>48165</v>
      </c>
      <c r="H22" s="127">
        <f>+R_2014_12_priskirta!H23+'R_2014_12_atkelta(viso)'!H22</f>
        <v>12264</v>
      </c>
      <c r="I22" s="127">
        <f>+R_2014_12_priskirta!I23+'R_2014_12_atkelta(viso)'!I22</f>
        <v>0</v>
      </c>
      <c r="J22" s="127">
        <f>+R_2014_12_priskirta!J23+'R_2014_12_atkelta(viso)'!J22</f>
        <v>0</v>
      </c>
      <c r="K22" s="127">
        <f>+R_2014_12_priskirta!K23+'R_2014_12_atkelta(viso)'!K22</f>
        <v>0</v>
      </c>
      <c r="L22" s="127">
        <f>+R_2014_12_priskirta!L23+'R_2014_12_atkelta(viso)'!L22</f>
        <v>0</v>
      </c>
      <c r="M22" s="127">
        <f>+R_2014_12_priskirta!M23+'R_2014_12_atkelta(viso)'!M22</f>
        <v>4104</v>
      </c>
      <c r="N22" s="127">
        <f>+R_2014_12_priskirta!N23+'R_2014_12_atkelta(viso)'!N22</f>
        <v>5205</v>
      </c>
      <c r="O22" s="127">
        <f>+R_2014_12_priskirta!O23+'R_2014_12_atkelta(viso)'!O22</f>
        <v>85830</v>
      </c>
      <c r="P22" s="127">
        <f>+R_2014_12_priskirta!P23+'R_2014_12_atkelta(viso)'!P22</f>
        <v>0</v>
      </c>
      <c r="Q22" s="24">
        <f t="shared" si="21"/>
        <v>492867</v>
      </c>
      <c r="R22" s="229">
        <f t="shared" si="6"/>
        <v>452171.55963302747</v>
      </c>
      <c r="S22" s="73">
        <f t="shared" si="23"/>
        <v>40695.440366972529</v>
      </c>
      <c r="T22" s="21">
        <f t="shared" si="22"/>
        <v>5476.3</v>
      </c>
      <c r="U22" s="71"/>
      <c r="V22" s="61"/>
      <c r="W22" s="13"/>
      <c r="X22" s="2"/>
      <c r="Y22" s="2"/>
    </row>
    <row r="23" spans="1:25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7">
        <f>+R_2014_12_priskirta!E24+'R_2014_12_atkelta(viso)'!E23</f>
        <v>1150.5</v>
      </c>
      <c r="F23" s="127">
        <f>+R_2014_12_priskirta!F24+'R_2014_12_atkelta(viso)'!F23</f>
        <v>19710</v>
      </c>
      <c r="G23" s="127">
        <f>+R_2014_12_priskirta!G24+'R_2014_12_atkelta(viso)'!G23</f>
        <v>2628</v>
      </c>
      <c r="H23" s="127">
        <f>+R_2014_12_priskirta!H24+'R_2014_12_atkelta(viso)'!H23</f>
        <v>975</v>
      </c>
      <c r="I23" s="127">
        <f>+R_2014_12_priskirta!I24+'R_2014_12_atkelta(viso)'!I23</f>
        <v>0</v>
      </c>
      <c r="J23" s="127">
        <f>+R_2014_12_priskirta!J24+'R_2014_12_atkelta(viso)'!J23</f>
        <v>0</v>
      </c>
      <c r="K23" s="127">
        <f>+R_2014_12_priskirta!K24+'R_2014_12_atkelta(viso)'!K23</f>
        <v>0</v>
      </c>
      <c r="L23" s="127">
        <f>+R_2014_12_priskirta!L24+'R_2014_12_atkelta(viso)'!L23</f>
        <v>0</v>
      </c>
      <c r="M23" s="127">
        <f>+R_2014_12_priskirta!M24+'R_2014_12_atkelta(viso)'!M23</f>
        <v>153</v>
      </c>
      <c r="N23" s="127">
        <f>+R_2014_12_priskirta!N24+'R_2014_12_atkelta(viso)'!N23</f>
        <v>58.5</v>
      </c>
      <c r="O23" s="127">
        <f>+R_2014_12_priskirta!O24+'R_2014_12_atkelta(viso)'!O23</f>
        <v>3195</v>
      </c>
      <c r="P23" s="127">
        <f>+R_2014_12_priskirta!P24+'R_2014_12_atkelta(viso)'!P23</f>
        <v>0</v>
      </c>
      <c r="Q23" s="24">
        <f t="shared" si="21"/>
        <v>27870</v>
      </c>
      <c r="R23" s="229">
        <f t="shared" si="6"/>
        <v>25568.80733944954</v>
      </c>
      <c r="S23" s="73">
        <f t="shared" si="23"/>
        <v>2301.1926605504595</v>
      </c>
      <c r="T23" s="21">
        <f t="shared" si="22"/>
        <v>619.33333333333337</v>
      </c>
      <c r="U23" s="71"/>
      <c r="V23" s="61">
        <v>45</v>
      </c>
      <c r="W23" s="13">
        <f t="shared" ref="W23:W24" si="25">+T23*V23</f>
        <v>27870</v>
      </c>
      <c r="X23" s="2"/>
      <c r="Y23" s="2"/>
    </row>
    <row r="24" spans="1:25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7">
        <f>+R_2014_12_priskirta!E25+'R_2014_12_atkelta(viso)'!E24</f>
        <v>1378.8000000000002</v>
      </c>
      <c r="F24" s="127">
        <f>+R_2014_12_priskirta!F25+'R_2014_12_atkelta(viso)'!F24</f>
        <v>14031.599999999999</v>
      </c>
      <c r="G24" s="127">
        <f>+R_2014_12_priskirta!G25+'R_2014_12_atkelta(viso)'!G24</f>
        <v>2191.8000000000002</v>
      </c>
      <c r="H24" s="127">
        <f>+R_2014_12_priskirta!H25+'R_2014_12_atkelta(viso)'!H24</f>
        <v>372</v>
      </c>
      <c r="I24" s="127">
        <f>+R_2014_12_priskirta!I25+'R_2014_12_atkelta(viso)'!I24</f>
        <v>0</v>
      </c>
      <c r="J24" s="127">
        <f>+R_2014_12_priskirta!J25+'R_2014_12_atkelta(viso)'!J24</f>
        <v>0</v>
      </c>
      <c r="K24" s="127">
        <f>+R_2014_12_priskirta!K25+'R_2014_12_atkelta(viso)'!K24</f>
        <v>0</v>
      </c>
      <c r="L24" s="127">
        <f>+R_2014_12_priskirta!L25+'R_2014_12_atkelta(viso)'!L24</f>
        <v>0</v>
      </c>
      <c r="M24" s="127">
        <f>+R_2014_12_priskirta!M25+'R_2014_12_atkelta(viso)'!M24</f>
        <v>118.2</v>
      </c>
      <c r="N24" s="127">
        <f>+R_2014_12_priskirta!N25+'R_2014_12_atkelta(viso)'!N24</f>
        <v>611.39999999999986</v>
      </c>
      <c r="O24" s="127">
        <f>+R_2014_12_priskirta!O25+'R_2014_12_atkelta(viso)'!O24</f>
        <v>5605.7999999999993</v>
      </c>
      <c r="P24" s="127">
        <f>+R_2014_12_priskirta!P25+'R_2014_12_atkelta(viso)'!P24</f>
        <v>0</v>
      </c>
      <c r="Q24" s="24">
        <f t="shared" si="21"/>
        <v>24309.599999999999</v>
      </c>
      <c r="R24" s="229">
        <f t="shared" si="6"/>
        <v>22302.385321100915</v>
      </c>
      <c r="S24" s="73">
        <f t="shared" si="23"/>
        <v>2007.2146788990831</v>
      </c>
      <c r="T24" s="21">
        <f t="shared" si="22"/>
        <v>1350.5333333333333</v>
      </c>
      <c r="U24" s="71"/>
      <c r="V24" s="61">
        <v>72</v>
      </c>
      <c r="W24" s="13">
        <f t="shared" si="25"/>
        <v>97238.399999999994</v>
      </c>
      <c r="X24" s="2"/>
      <c r="Y24" s="2"/>
    </row>
    <row r="25" spans="1:25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7">
        <f>+R_2014_12_priskirta!E26+'R_2014_12_atkelta(viso)'!E25</f>
        <v>213.33333333333329</v>
      </c>
      <c r="F25" s="127">
        <f>+R_2014_12_priskirta!F26+'R_2014_12_atkelta(viso)'!F25</f>
        <v>7133.3333333333321</v>
      </c>
      <c r="G25" s="127">
        <f>+R_2014_12_priskirta!G26+'R_2014_12_atkelta(viso)'!G25</f>
        <v>239.99999999999994</v>
      </c>
      <c r="H25" s="127">
        <f>+R_2014_12_priskirta!H26+'R_2014_12_atkelta(viso)'!H25</f>
        <v>566.65999999999951</v>
      </c>
      <c r="I25" s="127">
        <f>+R_2014_12_priskirta!I26+'R_2014_12_atkelta(viso)'!I25</f>
        <v>0</v>
      </c>
      <c r="J25" s="127">
        <f>+R_2014_12_priskirta!J26+'R_2014_12_atkelta(viso)'!J25</f>
        <v>0</v>
      </c>
      <c r="K25" s="127">
        <f>+R_2014_12_priskirta!K26+'R_2014_12_atkelta(viso)'!K25</f>
        <v>0</v>
      </c>
      <c r="L25" s="127">
        <f>+R_2014_12_priskirta!L26+'R_2014_12_atkelta(viso)'!L25</f>
        <v>0</v>
      </c>
      <c r="M25" s="127">
        <f>+R_2014_12_priskirta!M26+'R_2014_12_atkelta(viso)'!M25</f>
        <v>0</v>
      </c>
      <c r="N25" s="127">
        <f>+R_2014_12_priskirta!N26+'R_2014_12_atkelta(viso)'!N25</f>
        <v>446.66666666666663</v>
      </c>
      <c r="O25" s="127">
        <f>+R_2014_12_priskirta!O26+'R_2014_12_atkelta(viso)'!O25</f>
        <v>7816.6636535644529</v>
      </c>
      <c r="P25" s="127">
        <f>+R_2014_12_priskirta!P26+'R_2014_12_atkelta(viso)'!P25</f>
        <v>0</v>
      </c>
      <c r="Q25" s="24">
        <f t="shared" si="21"/>
        <v>16416.656986897786</v>
      </c>
      <c r="R25" s="229">
        <f t="shared" si="6"/>
        <v>15061.153198988794</v>
      </c>
      <c r="S25" s="73">
        <f t="shared" si="23"/>
        <v>1355.5037879089923</v>
      </c>
      <c r="T25" s="21">
        <f t="shared" si="22"/>
        <v>54.722189956325956</v>
      </c>
      <c r="U25" s="71"/>
      <c r="V25" s="61"/>
      <c r="W25" s="13"/>
      <c r="X25" s="2"/>
      <c r="Y25" s="2"/>
    </row>
    <row r="26" spans="1:25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7">
        <f>+R_2014_12_priskirta!E27+'R_2014_12_atkelta(viso)'!E26</f>
        <v>25</v>
      </c>
      <c r="F26" s="127">
        <f>+R_2014_12_priskirta!F27+'R_2014_12_atkelta(viso)'!F26</f>
        <v>6411.6666666666661</v>
      </c>
      <c r="G26" s="127">
        <f>+R_2014_12_priskirta!G27+'R_2014_12_atkelta(viso)'!G26</f>
        <v>580</v>
      </c>
      <c r="H26" s="127">
        <f>+R_2014_12_priskirta!H27+'R_2014_12_atkelta(viso)'!H26</f>
        <v>1123.3399999999999</v>
      </c>
      <c r="I26" s="127">
        <f>+R_2014_12_priskirta!I27+'R_2014_12_atkelta(viso)'!I26</f>
        <v>0</v>
      </c>
      <c r="J26" s="127">
        <f>+R_2014_12_priskirta!J27+'R_2014_12_atkelta(viso)'!J26</f>
        <v>0</v>
      </c>
      <c r="K26" s="127">
        <f>+R_2014_12_priskirta!K27+'R_2014_12_atkelta(viso)'!K26</f>
        <v>0</v>
      </c>
      <c r="L26" s="127">
        <f>+R_2014_12_priskirta!L27+'R_2014_12_atkelta(viso)'!L26</f>
        <v>0</v>
      </c>
      <c r="M26" s="127">
        <f>+R_2014_12_priskirta!M27+'R_2014_12_atkelta(viso)'!M26</f>
        <v>321.66666666666663</v>
      </c>
      <c r="N26" s="127">
        <f>+R_2014_12_priskirta!N27+'R_2014_12_atkelta(viso)'!N26</f>
        <v>30.000000000000007</v>
      </c>
      <c r="O26" s="127">
        <f>+R_2014_12_priskirta!O27+'R_2014_12_atkelta(viso)'!O26</f>
        <v>1243.3333908081054</v>
      </c>
      <c r="P26" s="127">
        <f>+R_2014_12_priskirta!P27+'R_2014_12_atkelta(viso)'!P26</f>
        <v>0</v>
      </c>
      <c r="Q26" s="24">
        <f t="shared" si="21"/>
        <v>9735.0067241414381</v>
      </c>
      <c r="R26" s="229">
        <f t="shared" si="6"/>
        <v>8931.1988294875573</v>
      </c>
      <c r="S26" s="73">
        <f t="shared" si="23"/>
        <v>803.80789465388079</v>
      </c>
      <c r="T26" s="21">
        <f t="shared" si="22"/>
        <v>64.900044827609591</v>
      </c>
      <c r="U26" s="71"/>
      <c r="V26" s="61">
        <v>150</v>
      </c>
      <c r="W26" s="13">
        <f t="shared" ref="W26:W42" si="26">+T26*V26</f>
        <v>9735.0067241414381</v>
      </c>
      <c r="X26" s="2"/>
      <c r="Y26" s="2"/>
    </row>
    <row r="27" spans="1:25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7">
        <f>+R_2014_12_priskirta!E28+'R_2014_12_atkelta(viso)'!E27</f>
        <v>660</v>
      </c>
      <c r="F27" s="127">
        <f>+R_2014_12_priskirta!F28+'R_2014_12_atkelta(viso)'!F27</f>
        <v>11676</v>
      </c>
      <c r="G27" s="127">
        <f>+R_2014_12_priskirta!G28+'R_2014_12_atkelta(viso)'!G27</f>
        <v>1692.6666666666631</v>
      </c>
      <c r="H27" s="127">
        <f>+R_2014_12_priskirta!H28+'R_2014_12_atkelta(viso)'!H27</f>
        <v>1042.6599999999999</v>
      </c>
      <c r="I27" s="127">
        <f>+R_2014_12_priskirta!I28+'R_2014_12_atkelta(viso)'!I27</f>
        <v>0</v>
      </c>
      <c r="J27" s="127">
        <f>+R_2014_12_priskirta!J28+'R_2014_12_atkelta(viso)'!J27</f>
        <v>0</v>
      </c>
      <c r="K27" s="127">
        <f>+R_2014_12_priskirta!K28+'R_2014_12_atkelta(viso)'!K27</f>
        <v>0</v>
      </c>
      <c r="L27" s="127">
        <f>+R_2014_12_priskirta!L28+'R_2014_12_atkelta(viso)'!L27</f>
        <v>0</v>
      </c>
      <c r="M27" s="127">
        <f>+R_2014_12_priskirta!M28+'R_2014_12_atkelta(viso)'!M27</f>
        <v>319.33</v>
      </c>
      <c r="N27" s="127">
        <f>+R_2014_12_priskirta!N28+'R_2014_12_atkelta(viso)'!N27</f>
        <v>569.33333333333337</v>
      </c>
      <c r="O27" s="127">
        <f>+R_2014_12_priskirta!O28+'R_2014_12_atkelta(viso)'!O27</f>
        <v>9986.67</v>
      </c>
      <c r="P27" s="127">
        <f>+R_2014_12_priskirta!P28+'R_2014_12_atkelta(viso)'!P27</f>
        <v>0</v>
      </c>
      <c r="Q27" s="24">
        <f t="shared" si="21"/>
        <v>25946.659999999996</v>
      </c>
      <c r="R27" s="229">
        <f t="shared" si="6"/>
        <v>23804.275229357794</v>
      </c>
      <c r="S27" s="73">
        <f t="shared" si="23"/>
        <v>2142.3847706422021</v>
      </c>
      <c r="T27" s="21">
        <f t="shared" si="22"/>
        <v>432.44433333333325</v>
      </c>
      <c r="U27" s="71"/>
      <c r="V27" s="61">
        <v>240</v>
      </c>
      <c r="W27" s="13">
        <f t="shared" si="26"/>
        <v>103786.63999999998</v>
      </c>
      <c r="X27" s="2"/>
      <c r="Y27" s="2"/>
    </row>
    <row r="28" spans="1:25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27">
        <f>+R_2014_12_priskirta!E29+'R_2014_12_atkelta(viso)'!E28</f>
        <v>186</v>
      </c>
      <c r="F28" s="127">
        <f>+R_2014_12_priskirta!F29+'R_2014_12_atkelta(viso)'!F28</f>
        <v>1158</v>
      </c>
      <c r="G28" s="127">
        <f>+R_2014_12_priskirta!G29+'R_2014_12_atkelta(viso)'!G28</f>
        <v>141</v>
      </c>
      <c r="H28" s="127">
        <f>+R_2014_12_priskirta!H29+'R_2014_12_atkelta(viso)'!H28</f>
        <v>231</v>
      </c>
      <c r="I28" s="127">
        <f>+R_2014_12_priskirta!I29+'R_2014_12_atkelta(viso)'!I28</f>
        <v>0</v>
      </c>
      <c r="J28" s="127">
        <f>+R_2014_12_priskirta!J29+'R_2014_12_atkelta(viso)'!J28</f>
        <v>0</v>
      </c>
      <c r="K28" s="127">
        <f>+R_2014_12_priskirta!K29+'R_2014_12_atkelta(viso)'!K28</f>
        <v>0</v>
      </c>
      <c r="L28" s="127">
        <f>+R_2014_12_priskirta!L29+'R_2014_12_atkelta(viso)'!L28</f>
        <v>0</v>
      </c>
      <c r="M28" s="127">
        <f>+R_2014_12_priskirta!M29+'R_2014_12_atkelta(viso)'!M28</f>
        <v>0</v>
      </c>
      <c r="N28" s="127">
        <f>+R_2014_12_priskirta!N29+'R_2014_12_atkelta(viso)'!N28</f>
        <v>93</v>
      </c>
      <c r="O28" s="127">
        <f>+R_2014_12_priskirta!O29+'R_2014_12_atkelta(viso)'!O28</f>
        <v>3486</v>
      </c>
      <c r="P28" s="127">
        <f>+R_2014_12_priskirta!P29+'R_2014_12_atkelta(viso)'!P28</f>
        <v>0</v>
      </c>
      <c r="Q28" s="24">
        <f t="shared" si="21"/>
        <v>5295</v>
      </c>
      <c r="R28" s="229">
        <f t="shared" si="6"/>
        <v>4857.798165137614</v>
      </c>
      <c r="S28" s="73">
        <f t="shared" si="23"/>
        <v>437.20183486238602</v>
      </c>
      <c r="T28" s="21">
        <f t="shared" si="22"/>
        <v>19.611111111111111</v>
      </c>
      <c r="U28" s="71"/>
      <c r="V28" s="61"/>
      <c r="W28" s="13"/>
      <c r="X28" s="2"/>
      <c r="Y28" s="2"/>
    </row>
    <row r="29" spans="1:25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27">
        <f>+R_2014_12_priskirta!E30+'R_2014_12_atkelta(viso)'!E29</f>
        <v>30</v>
      </c>
      <c r="F29" s="127">
        <f>+R_2014_12_priskirta!F30+'R_2014_12_atkelta(viso)'!F29</f>
        <v>84</v>
      </c>
      <c r="G29" s="127">
        <f>+R_2014_12_priskirta!G30+'R_2014_12_atkelta(viso)'!G29</f>
        <v>46.5</v>
      </c>
      <c r="H29" s="127">
        <f>+R_2014_12_priskirta!H30+'R_2014_12_atkelta(viso)'!H29</f>
        <v>1.5</v>
      </c>
      <c r="I29" s="127">
        <f>+R_2014_12_priskirta!I30+'R_2014_12_atkelta(viso)'!I29</f>
        <v>0</v>
      </c>
      <c r="J29" s="127">
        <f>+R_2014_12_priskirta!J30+'R_2014_12_atkelta(viso)'!J29</f>
        <v>0</v>
      </c>
      <c r="K29" s="127">
        <f>+R_2014_12_priskirta!K30+'R_2014_12_atkelta(viso)'!K29</f>
        <v>0</v>
      </c>
      <c r="L29" s="127">
        <f>+R_2014_12_priskirta!L30+'R_2014_12_atkelta(viso)'!L29</f>
        <v>0</v>
      </c>
      <c r="M29" s="127">
        <f>+R_2014_12_priskirta!M30+'R_2014_12_atkelta(viso)'!M29</f>
        <v>0</v>
      </c>
      <c r="N29" s="127">
        <f>+R_2014_12_priskirta!N30+'R_2014_12_atkelta(viso)'!N29</f>
        <v>0</v>
      </c>
      <c r="O29" s="127">
        <f>+R_2014_12_priskirta!O30+'R_2014_12_atkelta(viso)'!O29</f>
        <v>82.5</v>
      </c>
      <c r="P29" s="127">
        <f>+R_2014_12_priskirta!P30+'R_2014_12_atkelta(viso)'!P29</f>
        <v>0</v>
      </c>
      <c r="Q29" s="24">
        <f t="shared" si="21"/>
        <v>244.5</v>
      </c>
      <c r="R29" s="229">
        <f t="shared" si="6"/>
        <v>224.31192660550457</v>
      </c>
      <c r="S29" s="73">
        <f t="shared" si="23"/>
        <v>20.188073394495433</v>
      </c>
      <c r="T29" s="21">
        <f t="shared" si="22"/>
        <v>1.8111111111111111</v>
      </c>
      <c r="U29" s="71"/>
      <c r="V29" s="61">
        <v>135</v>
      </c>
      <c r="W29" s="13">
        <f t="shared" si="26"/>
        <v>244.5</v>
      </c>
      <c r="X29" s="2"/>
      <c r="Y29" s="2"/>
    </row>
    <row r="30" spans="1:25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27">
        <f>+R_2014_12_priskirta!E31+'R_2014_12_atkelta(viso)'!E30</f>
        <v>97.2</v>
      </c>
      <c r="F30" s="127">
        <f>+R_2014_12_priskirta!F31+'R_2014_12_atkelta(viso)'!F30</f>
        <v>307.8</v>
      </c>
      <c r="G30" s="127">
        <f>+R_2014_12_priskirta!G31+'R_2014_12_atkelta(viso)'!G30</f>
        <v>48</v>
      </c>
      <c r="H30" s="127">
        <f>+R_2014_12_priskirta!H31+'R_2014_12_atkelta(viso)'!H30</f>
        <v>105.6</v>
      </c>
      <c r="I30" s="127">
        <f>+R_2014_12_priskirta!I31+'R_2014_12_atkelta(viso)'!I30</f>
        <v>0</v>
      </c>
      <c r="J30" s="127">
        <f>+R_2014_12_priskirta!J31+'R_2014_12_atkelta(viso)'!J30</f>
        <v>0</v>
      </c>
      <c r="K30" s="127">
        <f>+R_2014_12_priskirta!K31+'R_2014_12_atkelta(viso)'!K30</f>
        <v>0</v>
      </c>
      <c r="L30" s="127">
        <f>+R_2014_12_priskirta!L31+'R_2014_12_atkelta(viso)'!L30</f>
        <v>0</v>
      </c>
      <c r="M30" s="127">
        <f>+R_2014_12_priskirta!M31+'R_2014_12_atkelta(viso)'!M30</f>
        <v>0</v>
      </c>
      <c r="N30" s="127">
        <f>+R_2014_12_priskirta!N31+'R_2014_12_atkelta(viso)'!N30</f>
        <v>91.199999999999989</v>
      </c>
      <c r="O30" s="127">
        <f>+R_2014_12_priskirta!O31+'R_2014_12_atkelta(viso)'!O30</f>
        <v>1167.5999999999999</v>
      </c>
      <c r="P30" s="127">
        <f>+R_2014_12_priskirta!P31+'R_2014_12_atkelta(viso)'!P30</f>
        <v>0</v>
      </c>
      <c r="Q30" s="24">
        <f t="shared" si="21"/>
        <v>1817.3999999999999</v>
      </c>
      <c r="R30" s="229">
        <f t="shared" si="6"/>
        <v>1667.3394495412842</v>
      </c>
      <c r="S30" s="73">
        <f t="shared" si="23"/>
        <v>150.06055045871562</v>
      </c>
      <c r="T30" s="21">
        <f t="shared" si="22"/>
        <v>33.655555555555551</v>
      </c>
      <c r="U30" s="71"/>
      <c r="V30" s="61">
        <v>216</v>
      </c>
      <c r="W30" s="13">
        <f t="shared" si="26"/>
        <v>7269.5999999999995</v>
      </c>
      <c r="X30" s="2"/>
      <c r="Y30" s="2"/>
    </row>
    <row r="31" spans="1:25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7">
        <f>+R_2014_12_priskirta!E32+'R_2014_12_atkelta(viso)'!E31</f>
        <v>103.33333333333331</v>
      </c>
      <c r="F31" s="127">
        <f>+R_2014_12_priskirta!F32+'R_2014_12_atkelta(viso)'!F31</f>
        <v>793.33333333333326</v>
      </c>
      <c r="G31" s="127">
        <f>+R_2014_12_priskirta!G32+'R_2014_12_atkelta(viso)'!G31</f>
        <v>123.33333333333331</v>
      </c>
      <c r="H31" s="127">
        <f>+R_2014_12_priskirta!H32+'R_2014_12_atkelta(viso)'!H31</f>
        <v>259.99666666666627</v>
      </c>
      <c r="I31" s="127">
        <f>+R_2014_12_priskirta!I32+'R_2014_12_atkelta(viso)'!I31</f>
        <v>0</v>
      </c>
      <c r="J31" s="127">
        <f>+R_2014_12_priskirta!J32+'R_2014_12_atkelta(viso)'!J31</f>
        <v>0</v>
      </c>
      <c r="K31" s="127">
        <f>+R_2014_12_priskirta!K32+'R_2014_12_atkelta(viso)'!K31</f>
        <v>0</v>
      </c>
      <c r="L31" s="127">
        <f>+R_2014_12_priskirta!L32+'R_2014_12_atkelta(viso)'!L31</f>
        <v>0</v>
      </c>
      <c r="M31" s="127">
        <f>+R_2014_12_priskirta!M32+'R_2014_12_atkelta(viso)'!M31</f>
        <v>0</v>
      </c>
      <c r="N31" s="127">
        <f>+R_2014_12_priskirta!N32+'R_2014_12_atkelta(viso)'!N31</f>
        <v>0</v>
      </c>
      <c r="O31" s="127">
        <f>+R_2014_12_priskirta!O32+'R_2014_12_atkelta(viso)'!O31</f>
        <v>306.66667968749999</v>
      </c>
      <c r="P31" s="127">
        <f>+R_2014_12_priskirta!P32+'R_2014_12_atkelta(viso)'!P31</f>
        <v>0</v>
      </c>
      <c r="Q31" s="24">
        <f t="shared" si="21"/>
        <v>1586.6633463541659</v>
      </c>
      <c r="R31" s="229">
        <f t="shared" si="6"/>
        <v>1455.6544461964825</v>
      </c>
      <c r="S31" s="73">
        <f t="shared" si="23"/>
        <v>131.00890015768346</v>
      </c>
      <c r="T31" s="21">
        <f t="shared" si="22"/>
        <v>2.6444389105902766</v>
      </c>
      <c r="U31" s="71"/>
      <c r="V31" s="61"/>
      <c r="W31" s="13"/>
      <c r="X31" s="2"/>
      <c r="Y31" s="2"/>
    </row>
    <row r="32" spans="1:25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7">
        <f>+R_2014_12_priskirta!E33+'R_2014_12_atkelta(viso)'!E32</f>
        <v>48.333333333333329</v>
      </c>
      <c r="F32" s="127">
        <f>+R_2014_12_priskirta!F33+'R_2014_12_atkelta(viso)'!F32</f>
        <v>596.66666666666652</v>
      </c>
      <c r="G32" s="127">
        <f>+R_2014_12_priskirta!G33+'R_2014_12_atkelta(viso)'!G32</f>
        <v>161.66666666666663</v>
      </c>
      <c r="H32" s="127">
        <f>+R_2014_12_priskirta!H33+'R_2014_12_atkelta(viso)'!H32</f>
        <v>195.00666666666672</v>
      </c>
      <c r="I32" s="127">
        <f>+R_2014_12_priskirta!I33+'R_2014_12_atkelta(viso)'!I32</f>
        <v>0</v>
      </c>
      <c r="J32" s="127">
        <f>+R_2014_12_priskirta!J33+'R_2014_12_atkelta(viso)'!J32</f>
        <v>0</v>
      </c>
      <c r="K32" s="127">
        <f>+R_2014_12_priskirta!K33+'R_2014_12_atkelta(viso)'!K32</f>
        <v>0</v>
      </c>
      <c r="L32" s="127">
        <f>+R_2014_12_priskirta!L33+'R_2014_12_atkelta(viso)'!L32</f>
        <v>0</v>
      </c>
      <c r="M32" s="127">
        <f>+R_2014_12_priskirta!M33+'R_2014_12_atkelta(viso)'!M32</f>
        <v>0</v>
      </c>
      <c r="N32" s="127">
        <f>+R_2014_12_priskirta!N33+'R_2014_12_atkelta(viso)'!N32</f>
        <v>0</v>
      </c>
      <c r="O32" s="127">
        <f>+R_2014_12_priskirta!O33+'R_2014_12_atkelta(viso)'!O32</f>
        <v>206.66667968749999</v>
      </c>
      <c r="P32" s="127">
        <f>+R_2014_12_priskirta!P33+'R_2014_12_atkelta(viso)'!P32</f>
        <v>0</v>
      </c>
      <c r="Q32" s="24">
        <f t="shared" si="21"/>
        <v>1208.3400130208331</v>
      </c>
      <c r="R32" s="229">
        <f t="shared" si="6"/>
        <v>1108.5688192851678</v>
      </c>
      <c r="S32" s="73">
        <f t="shared" si="23"/>
        <v>99.771193735665292</v>
      </c>
      <c r="T32" s="21">
        <f t="shared" si="22"/>
        <v>4.0278000434027774</v>
      </c>
      <c r="U32" s="71"/>
      <c r="V32" s="61">
        <v>300</v>
      </c>
      <c r="W32" s="13">
        <f t="shared" si="26"/>
        <v>1208.3400130208333</v>
      </c>
      <c r="X32" s="2"/>
      <c r="Y32" s="2"/>
    </row>
    <row r="33" spans="1:25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7">
        <f>+R_2014_12_priskirta!E34+'R_2014_12_atkelta(viso)'!E33</f>
        <v>217.33666666666664</v>
      </c>
      <c r="F33" s="127">
        <f>+R_2014_12_priskirta!F34+'R_2014_12_atkelta(viso)'!F33</f>
        <v>1724.67</v>
      </c>
      <c r="G33" s="127">
        <f>+R_2014_12_priskirta!G34+'R_2014_12_atkelta(viso)'!G33</f>
        <v>164.00000000000003</v>
      </c>
      <c r="H33" s="127">
        <f>+R_2014_12_priskirta!H34+'R_2014_12_atkelta(viso)'!H33</f>
        <v>142.66333333333338</v>
      </c>
      <c r="I33" s="127">
        <f>+R_2014_12_priskirta!I34+'R_2014_12_atkelta(viso)'!I33</f>
        <v>0</v>
      </c>
      <c r="J33" s="127">
        <f>+R_2014_12_priskirta!J34+'R_2014_12_atkelta(viso)'!J33</f>
        <v>0</v>
      </c>
      <c r="K33" s="127">
        <f>+R_2014_12_priskirta!K34+'R_2014_12_atkelta(viso)'!K33</f>
        <v>0</v>
      </c>
      <c r="L33" s="127">
        <f>+R_2014_12_priskirta!L34+'R_2014_12_atkelta(viso)'!L33</f>
        <v>0</v>
      </c>
      <c r="M33" s="127">
        <f>+R_2014_12_priskirta!M34+'R_2014_12_atkelta(viso)'!M33</f>
        <v>41.333333333333343</v>
      </c>
      <c r="N33" s="127">
        <f>+R_2014_12_priskirta!N34+'R_2014_12_atkelta(viso)'!N33</f>
        <v>148</v>
      </c>
      <c r="O33" s="127">
        <f>+R_2014_12_priskirta!O34+'R_2014_12_atkelta(viso)'!O33</f>
        <v>2556.67</v>
      </c>
      <c r="P33" s="127">
        <f>+R_2014_12_priskirta!P34+'R_2014_12_atkelta(viso)'!P33</f>
        <v>0</v>
      </c>
      <c r="Q33" s="24">
        <f t="shared" si="21"/>
        <v>4994.6733333333341</v>
      </c>
      <c r="R33" s="229">
        <f t="shared" si="6"/>
        <v>4582.2691131498477</v>
      </c>
      <c r="S33" s="73">
        <f t="shared" si="23"/>
        <v>412.40422018348636</v>
      </c>
      <c r="T33" s="21">
        <f t="shared" si="22"/>
        <v>41.622277777777782</v>
      </c>
      <c r="U33" s="71"/>
      <c r="V33" s="61">
        <v>480</v>
      </c>
      <c r="W33" s="13">
        <f t="shared" si="26"/>
        <v>19978.693333333336</v>
      </c>
      <c r="X33" s="2"/>
      <c r="Y33" s="2"/>
    </row>
    <row r="34" spans="1:25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7">
        <f>+R_2014_12_priskirta!E35+'R_2014_12_atkelta(viso)'!E34</f>
        <v>0</v>
      </c>
      <c r="F34" s="127">
        <f>+R_2014_12_priskirta!F35+'R_2014_12_atkelta(viso)'!F34</f>
        <v>6</v>
      </c>
      <c r="G34" s="127">
        <f>+R_2014_12_priskirta!G35+'R_2014_12_atkelta(viso)'!G34</f>
        <v>0</v>
      </c>
      <c r="H34" s="127">
        <f>+R_2014_12_priskirta!H35+'R_2014_12_atkelta(viso)'!H34</f>
        <v>81</v>
      </c>
      <c r="I34" s="127">
        <f>+R_2014_12_priskirta!I35+'R_2014_12_atkelta(viso)'!I34</f>
        <v>0</v>
      </c>
      <c r="J34" s="127">
        <f>+R_2014_12_priskirta!J35+'R_2014_12_atkelta(viso)'!J34</f>
        <v>0</v>
      </c>
      <c r="K34" s="127">
        <f>+R_2014_12_priskirta!K35+'R_2014_12_atkelta(viso)'!K34</f>
        <v>0</v>
      </c>
      <c r="L34" s="127">
        <f>+R_2014_12_priskirta!L35+'R_2014_12_atkelta(viso)'!L34</f>
        <v>0</v>
      </c>
      <c r="M34" s="127">
        <f>+R_2014_12_priskirta!M35+'R_2014_12_atkelta(viso)'!M34</f>
        <v>36</v>
      </c>
      <c r="N34" s="127">
        <f>+R_2014_12_priskirta!N35+'R_2014_12_atkelta(viso)'!N34</f>
        <v>0</v>
      </c>
      <c r="O34" s="127">
        <f>+R_2014_12_priskirta!O35+'R_2014_12_atkelta(viso)'!O34</f>
        <v>930</v>
      </c>
      <c r="P34" s="127">
        <f>+R_2014_12_priskirta!P35+'R_2014_12_atkelta(viso)'!P34</f>
        <v>0</v>
      </c>
      <c r="Q34" s="24">
        <f t="shared" si="21"/>
        <v>1053</v>
      </c>
      <c r="R34" s="229">
        <f t="shared" si="6"/>
        <v>966.05504587155951</v>
      </c>
      <c r="S34" s="73">
        <f t="shared" si="23"/>
        <v>86.944954128440486</v>
      </c>
      <c r="T34" s="21">
        <f t="shared" si="22"/>
        <v>1.95</v>
      </c>
      <c r="U34" s="71"/>
      <c r="V34" s="61"/>
      <c r="W34" s="13"/>
      <c r="X34" s="2"/>
      <c r="Y34" s="2"/>
    </row>
    <row r="35" spans="1:25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7">
        <f>+R_2014_12_priskirta!E36+'R_2014_12_atkelta(viso)'!E35</f>
        <v>0</v>
      </c>
      <c r="F35" s="127">
        <f>+R_2014_12_priskirta!F36+'R_2014_12_atkelta(viso)'!F35</f>
        <v>70.5</v>
      </c>
      <c r="G35" s="127">
        <f>+R_2014_12_priskirta!G36+'R_2014_12_atkelta(viso)'!G35</f>
        <v>0</v>
      </c>
      <c r="H35" s="127">
        <f>+R_2014_12_priskirta!H36+'R_2014_12_atkelta(viso)'!H35</f>
        <v>0</v>
      </c>
      <c r="I35" s="127">
        <f>+R_2014_12_priskirta!I36+'R_2014_12_atkelta(viso)'!I35</f>
        <v>0</v>
      </c>
      <c r="J35" s="127">
        <f>+R_2014_12_priskirta!J36+'R_2014_12_atkelta(viso)'!J35</f>
        <v>0</v>
      </c>
      <c r="K35" s="127">
        <f>+R_2014_12_priskirta!K36+'R_2014_12_atkelta(viso)'!K35</f>
        <v>0</v>
      </c>
      <c r="L35" s="127">
        <f>+R_2014_12_priskirta!L36+'R_2014_12_atkelta(viso)'!L35</f>
        <v>0</v>
      </c>
      <c r="M35" s="127">
        <f>+R_2014_12_priskirta!M36+'R_2014_12_atkelta(viso)'!M35</f>
        <v>0</v>
      </c>
      <c r="N35" s="127">
        <f>+R_2014_12_priskirta!N36+'R_2014_12_atkelta(viso)'!N35</f>
        <v>0</v>
      </c>
      <c r="O35" s="127">
        <f>+R_2014_12_priskirta!O36+'R_2014_12_atkelta(viso)'!O35</f>
        <v>0</v>
      </c>
      <c r="P35" s="127">
        <f>+R_2014_12_priskirta!P36+'R_2014_12_atkelta(viso)'!P35</f>
        <v>0</v>
      </c>
      <c r="Q35" s="24">
        <f t="shared" si="21"/>
        <v>70.5</v>
      </c>
      <c r="R35" s="229">
        <f t="shared" si="6"/>
        <v>64.678899082568805</v>
      </c>
      <c r="S35" s="73">
        <f t="shared" si="23"/>
        <v>5.8211009174311954</v>
      </c>
      <c r="T35" s="21">
        <f t="shared" si="22"/>
        <v>0.26111111111111113</v>
      </c>
      <c r="U35" s="71"/>
      <c r="V35" s="61">
        <v>270</v>
      </c>
      <c r="W35" s="13">
        <f t="shared" si="26"/>
        <v>70.5</v>
      </c>
      <c r="X35" s="2"/>
      <c r="Y35" s="2"/>
    </row>
    <row r="36" spans="1:25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7">
        <f>+R_2014_12_priskirta!E37+'R_2014_12_atkelta(viso)'!E36</f>
        <v>74.400000000000006</v>
      </c>
      <c r="F36" s="127">
        <f>+R_2014_12_priskirta!F37+'R_2014_12_atkelta(viso)'!F36</f>
        <v>74.400000000000006</v>
      </c>
      <c r="G36" s="127">
        <f>+R_2014_12_priskirta!G37+'R_2014_12_atkelta(viso)'!G36</f>
        <v>0</v>
      </c>
      <c r="H36" s="127">
        <f>+R_2014_12_priskirta!H37+'R_2014_12_atkelta(viso)'!H36</f>
        <v>18.600000000000001</v>
      </c>
      <c r="I36" s="127">
        <f>+R_2014_12_priskirta!I37+'R_2014_12_atkelta(viso)'!I36</f>
        <v>0</v>
      </c>
      <c r="J36" s="127">
        <f>+R_2014_12_priskirta!J37+'R_2014_12_atkelta(viso)'!J36</f>
        <v>0</v>
      </c>
      <c r="K36" s="127">
        <f>+R_2014_12_priskirta!K37+'R_2014_12_atkelta(viso)'!K36</f>
        <v>0</v>
      </c>
      <c r="L36" s="127">
        <f>+R_2014_12_priskirta!L37+'R_2014_12_atkelta(viso)'!L36</f>
        <v>0</v>
      </c>
      <c r="M36" s="127">
        <f>+R_2014_12_priskirta!M37+'R_2014_12_atkelta(viso)'!M36</f>
        <v>0</v>
      </c>
      <c r="N36" s="127">
        <f>+R_2014_12_priskirta!N37+'R_2014_12_atkelta(viso)'!N36</f>
        <v>18.600000000000001</v>
      </c>
      <c r="O36" s="127">
        <f>+R_2014_12_priskirta!O37+'R_2014_12_atkelta(viso)'!O36</f>
        <v>164.39999999999998</v>
      </c>
      <c r="P36" s="127">
        <f>+R_2014_12_priskirta!P37+'R_2014_12_atkelta(viso)'!P36</f>
        <v>0</v>
      </c>
      <c r="Q36" s="24">
        <f t="shared" si="21"/>
        <v>350.4</v>
      </c>
      <c r="R36" s="229">
        <f t="shared" si="6"/>
        <v>321.46788990825684</v>
      </c>
      <c r="S36" s="73">
        <f t="shared" si="23"/>
        <v>28.932110091743141</v>
      </c>
      <c r="T36" s="21">
        <f t="shared" si="22"/>
        <v>3.244444444444444</v>
      </c>
      <c r="U36" s="71"/>
      <c r="V36" s="61">
        <v>432</v>
      </c>
      <c r="W36" s="13">
        <f t="shared" si="26"/>
        <v>1401.6</v>
      </c>
      <c r="X36" s="2"/>
      <c r="Y36" s="2"/>
    </row>
    <row r="37" spans="1:25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7">
        <f>+R_2014_12_priskirta!E38+'R_2014_12_atkelta(viso)'!E37</f>
        <v>0</v>
      </c>
      <c r="F37" s="127">
        <f>+R_2014_12_priskirta!F38+'R_2014_12_atkelta(viso)'!F37</f>
        <v>219.99999999999997</v>
      </c>
      <c r="G37" s="127">
        <f>+R_2014_12_priskirta!G38+'R_2014_12_atkelta(viso)'!G37</f>
        <v>0</v>
      </c>
      <c r="H37" s="127">
        <f>+R_2014_12_priskirta!H38+'R_2014_12_atkelta(viso)'!H37</f>
        <v>206.67</v>
      </c>
      <c r="I37" s="127">
        <f>+R_2014_12_priskirta!I38+'R_2014_12_atkelta(viso)'!I37</f>
        <v>0</v>
      </c>
      <c r="J37" s="127">
        <f>+R_2014_12_priskirta!J38+'R_2014_12_atkelta(viso)'!J37</f>
        <v>0</v>
      </c>
      <c r="K37" s="127">
        <f>+R_2014_12_priskirta!K38+'R_2014_12_atkelta(viso)'!K37</f>
        <v>0</v>
      </c>
      <c r="L37" s="127">
        <f>+R_2014_12_priskirta!L38+'R_2014_12_atkelta(viso)'!L37</f>
        <v>0</v>
      </c>
      <c r="M37" s="127">
        <f>+R_2014_12_priskirta!M38+'R_2014_12_atkelta(viso)'!M37</f>
        <v>0</v>
      </c>
      <c r="N37" s="127">
        <f>+R_2014_12_priskirta!N38+'R_2014_12_atkelta(viso)'!N37</f>
        <v>0</v>
      </c>
      <c r="O37" s="127">
        <f>+R_2014_12_priskirta!O38+'R_2014_12_atkelta(viso)'!O37</f>
        <v>103.33333984375</v>
      </c>
      <c r="P37" s="127">
        <f>+R_2014_12_priskirta!P38+'R_2014_12_atkelta(viso)'!P37</f>
        <v>0</v>
      </c>
      <c r="Q37" s="24">
        <f t="shared" si="21"/>
        <v>530.00333984374993</v>
      </c>
      <c r="R37" s="229">
        <f t="shared" si="6"/>
        <v>486.24159618692653</v>
      </c>
      <c r="S37" s="73">
        <f t="shared" si="23"/>
        <v>43.761743656823398</v>
      </c>
      <c r="T37" s="21">
        <f t="shared" si="22"/>
        <v>0.58889259982638886</v>
      </c>
      <c r="U37" s="71"/>
      <c r="V37" s="61"/>
      <c r="W37" s="13"/>
      <c r="X37" s="2"/>
      <c r="Y37" s="2"/>
    </row>
    <row r="38" spans="1:25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7">
        <f>+R_2014_12_priskirta!E39+'R_2014_12_atkelta(viso)'!E38</f>
        <v>0</v>
      </c>
      <c r="F38" s="127">
        <f>+R_2014_12_priskirta!F39+'R_2014_12_atkelta(viso)'!F38</f>
        <v>258.33333333333326</v>
      </c>
      <c r="G38" s="127">
        <f>+R_2014_12_priskirta!G39+'R_2014_12_atkelta(viso)'!G38</f>
        <v>0</v>
      </c>
      <c r="H38" s="127">
        <f>+R_2014_12_priskirta!H39+'R_2014_12_atkelta(viso)'!H38</f>
        <v>45</v>
      </c>
      <c r="I38" s="127">
        <f>+R_2014_12_priskirta!I39+'R_2014_12_atkelta(viso)'!I38</f>
        <v>0</v>
      </c>
      <c r="J38" s="127">
        <f>+R_2014_12_priskirta!J39+'R_2014_12_atkelta(viso)'!J38</f>
        <v>0</v>
      </c>
      <c r="K38" s="127">
        <f>+R_2014_12_priskirta!K39+'R_2014_12_atkelta(viso)'!K38</f>
        <v>0</v>
      </c>
      <c r="L38" s="127">
        <f>+R_2014_12_priskirta!L39+'R_2014_12_atkelta(viso)'!L38</f>
        <v>0</v>
      </c>
      <c r="M38" s="127">
        <f>+R_2014_12_priskirta!M39+'R_2014_12_atkelta(viso)'!M38</f>
        <v>0</v>
      </c>
      <c r="N38" s="127">
        <f>+R_2014_12_priskirta!N39+'R_2014_12_atkelta(viso)'!N38</f>
        <v>0</v>
      </c>
      <c r="O38" s="127">
        <f>+R_2014_12_priskirta!O39+'R_2014_12_atkelta(viso)'!O38</f>
        <v>0</v>
      </c>
      <c r="P38" s="127">
        <f>+R_2014_12_priskirta!P39+'R_2014_12_atkelta(viso)'!P38</f>
        <v>0</v>
      </c>
      <c r="Q38" s="24">
        <f t="shared" si="21"/>
        <v>303.33333333333326</v>
      </c>
      <c r="R38" s="229">
        <f t="shared" si="6"/>
        <v>278.28746177370022</v>
      </c>
      <c r="S38" s="73">
        <f t="shared" si="23"/>
        <v>25.045871559633042</v>
      </c>
      <c r="T38" s="21">
        <f t="shared" si="22"/>
        <v>0.67407407407407394</v>
      </c>
      <c r="U38" s="71"/>
      <c r="V38" s="61">
        <v>450</v>
      </c>
      <c r="W38" s="13">
        <f t="shared" si="26"/>
        <v>303.33333333333326</v>
      </c>
      <c r="X38" s="2"/>
      <c r="Y38" s="2"/>
    </row>
    <row r="39" spans="1:25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7">
        <f>+R_2014_12_priskirta!E40+'R_2014_12_atkelta(viso)'!E39</f>
        <v>144.66999999999999</v>
      </c>
      <c r="F39" s="127">
        <f>+R_2014_12_priskirta!F40+'R_2014_12_atkelta(viso)'!F39</f>
        <v>2298</v>
      </c>
      <c r="G39" s="127">
        <f>+R_2014_12_priskirta!G40+'R_2014_12_atkelta(viso)'!G39</f>
        <v>310</v>
      </c>
      <c r="H39" s="127">
        <f>+R_2014_12_priskirta!H40+'R_2014_12_atkelta(viso)'!H39</f>
        <v>268.66999999999996</v>
      </c>
      <c r="I39" s="127">
        <f>+R_2014_12_priskirta!I40+'R_2014_12_atkelta(viso)'!I39</f>
        <v>0</v>
      </c>
      <c r="J39" s="127">
        <f>+R_2014_12_priskirta!J40+'R_2014_12_atkelta(viso)'!J39</f>
        <v>0</v>
      </c>
      <c r="K39" s="127">
        <f>+R_2014_12_priskirta!K40+'R_2014_12_atkelta(viso)'!K39</f>
        <v>0</v>
      </c>
      <c r="L39" s="127">
        <f>+R_2014_12_priskirta!L40+'R_2014_12_atkelta(viso)'!L39</f>
        <v>0</v>
      </c>
      <c r="M39" s="127">
        <f>+R_2014_12_priskirta!M40+'R_2014_12_atkelta(viso)'!M39</f>
        <v>82.67</v>
      </c>
      <c r="N39" s="127">
        <f>+R_2014_12_priskirta!N40+'R_2014_12_atkelta(viso)'!N39</f>
        <v>64.666666666666671</v>
      </c>
      <c r="O39" s="127">
        <f>+R_2014_12_priskirta!O40+'R_2014_12_atkelta(viso)'!O39</f>
        <v>2357.9999989318849</v>
      </c>
      <c r="P39" s="127">
        <f>+R_2014_12_priskirta!P40+'R_2014_12_atkelta(viso)'!P39</f>
        <v>0</v>
      </c>
      <c r="Q39" s="24">
        <f t="shared" si="21"/>
        <v>5526.6766655985521</v>
      </c>
      <c r="R39" s="229">
        <f t="shared" si="6"/>
        <v>5070.3455647693136</v>
      </c>
      <c r="S39" s="73">
        <f t="shared" si="23"/>
        <v>456.33110082923849</v>
      </c>
      <c r="T39" s="21">
        <f t="shared" si="22"/>
        <v>30.703759253325288</v>
      </c>
      <c r="U39" s="71"/>
      <c r="V39" s="61">
        <v>720</v>
      </c>
      <c r="W39" s="13">
        <f t="shared" si="26"/>
        <v>22106.706662394208</v>
      </c>
      <c r="X39" s="2"/>
      <c r="Y39" s="2"/>
    </row>
    <row r="40" spans="1:25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7">
        <f>+R_2014_12_priskirta!E41+'R_2014_12_atkelta(viso)'!E40</f>
        <v>0</v>
      </c>
      <c r="F40" s="127">
        <f>+R_2014_12_priskirta!F41+'R_2014_12_atkelta(viso)'!F40</f>
        <v>0</v>
      </c>
      <c r="G40" s="127">
        <f>+R_2014_12_priskirta!G41+'R_2014_12_atkelta(viso)'!G40</f>
        <v>0</v>
      </c>
      <c r="H40" s="127">
        <f>+R_2014_12_priskirta!H41+'R_2014_12_atkelta(viso)'!H40</f>
        <v>0</v>
      </c>
      <c r="I40" s="127">
        <f>+R_2014_12_priskirta!I41+'R_2014_12_atkelta(viso)'!I40</f>
        <v>0</v>
      </c>
      <c r="J40" s="127">
        <f>+R_2014_12_priskirta!J41+'R_2014_12_atkelta(viso)'!J40</f>
        <v>0</v>
      </c>
      <c r="K40" s="127">
        <f>+R_2014_12_priskirta!K41+'R_2014_12_atkelta(viso)'!K40</f>
        <v>0</v>
      </c>
      <c r="L40" s="127">
        <f>+R_2014_12_priskirta!L41+'R_2014_12_atkelta(viso)'!L40</f>
        <v>0</v>
      </c>
      <c r="M40" s="127">
        <f>+R_2014_12_priskirta!M41+'R_2014_12_atkelta(viso)'!M40</f>
        <v>0</v>
      </c>
      <c r="N40" s="127">
        <f>+R_2014_12_priskirta!N41+'R_2014_12_atkelta(viso)'!N40</f>
        <v>0</v>
      </c>
      <c r="O40" s="127">
        <f>+R_2014_12_priskirta!O41+'R_2014_12_atkelta(viso)'!O40</f>
        <v>495</v>
      </c>
      <c r="P40" s="127">
        <f>+R_2014_12_priskirta!P41+'R_2014_12_atkelta(viso)'!P40</f>
        <v>0</v>
      </c>
      <c r="Q40" s="24">
        <f t="shared" si="21"/>
        <v>495</v>
      </c>
      <c r="R40" s="229">
        <f t="shared" si="6"/>
        <v>454.12844036697243</v>
      </c>
      <c r="S40" s="73">
        <f t="shared" si="23"/>
        <v>40.871559633027573</v>
      </c>
      <c r="T40" s="21">
        <f t="shared" si="22"/>
        <v>0.61111111111111116</v>
      </c>
      <c r="U40" s="71"/>
      <c r="V40" s="61"/>
      <c r="W40" s="13"/>
      <c r="X40" s="2"/>
      <c r="Y40" s="2"/>
    </row>
    <row r="41" spans="1:25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7">
        <f>+R_2014_12_priskirta!E42+'R_2014_12_atkelta(viso)'!E41</f>
        <v>0</v>
      </c>
      <c r="F41" s="127">
        <f>+R_2014_12_priskirta!F42+'R_2014_12_atkelta(viso)'!F41</f>
        <v>0</v>
      </c>
      <c r="G41" s="127">
        <f>+R_2014_12_priskirta!G42+'R_2014_12_atkelta(viso)'!G41</f>
        <v>0</v>
      </c>
      <c r="H41" s="127">
        <f>+R_2014_12_priskirta!H42+'R_2014_12_atkelta(viso)'!H41</f>
        <v>0</v>
      </c>
      <c r="I41" s="127">
        <f>+R_2014_12_priskirta!I42+'R_2014_12_atkelta(viso)'!I41</f>
        <v>0</v>
      </c>
      <c r="J41" s="127">
        <f>+R_2014_12_priskirta!J42+'R_2014_12_atkelta(viso)'!J41</f>
        <v>0</v>
      </c>
      <c r="K41" s="127">
        <f>+R_2014_12_priskirta!K42+'R_2014_12_atkelta(viso)'!K41</f>
        <v>0</v>
      </c>
      <c r="L41" s="127">
        <f>+R_2014_12_priskirta!L42+'R_2014_12_atkelta(viso)'!L41</f>
        <v>0</v>
      </c>
      <c r="M41" s="127">
        <f>+R_2014_12_priskirta!M42+'R_2014_12_atkelta(viso)'!M41</f>
        <v>0</v>
      </c>
      <c r="N41" s="127">
        <f>+R_2014_12_priskirta!N42+'R_2014_12_atkelta(viso)'!N41</f>
        <v>0</v>
      </c>
      <c r="O41" s="127">
        <f>+R_2014_12_priskirta!O42+'R_2014_12_atkelta(viso)'!O41</f>
        <v>46.5</v>
      </c>
      <c r="P41" s="127">
        <f>+R_2014_12_priskirta!P42+'R_2014_12_atkelta(viso)'!P41</f>
        <v>0</v>
      </c>
      <c r="Q41" s="24">
        <f t="shared" si="21"/>
        <v>46.5</v>
      </c>
      <c r="R41" s="229">
        <f t="shared" si="6"/>
        <v>42.660550458715591</v>
      </c>
      <c r="S41" s="73">
        <f t="shared" si="23"/>
        <v>3.8394495412844094</v>
      </c>
      <c r="T41" s="21">
        <f t="shared" si="22"/>
        <v>0.11481481481481481</v>
      </c>
      <c r="U41" s="71"/>
      <c r="V41" s="61">
        <v>405</v>
      </c>
      <c r="W41" s="13">
        <f t="shared" si="26"/>
        <v>46.5</v>
      </c>
      <c r="X41" s="2"/>
      <c r="Y41" s="2"/>
    </row>
    <row r="42" spans="1:25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127">
        <f>+R_2014_12_priskirta!E43+'R_2014_12_atkelta(viso)'!E42</f>
        <v>0</v>
      </c>
      <c r="F42" s="127">
        <f>+R_2014_12_priskirta!F43+'R_2014_12_atkelta(viso)'!F42</f>
        <v>167.4</v>
      </c>
      <c r="G42" s="127">
        <f>+R_2014_12_priskirta!G43+'R_2014_12_atkelta(viso)'!G42</f>
        <v>0</v>
      </c>
      <c r="H42" s="127">
        <f>+R_2014_12_priskirta!H43+'R_2014_12_atkelta(viso)'!H42</f>
        <v>18.600000000000001</v>
      </c>
      <c r="I42" s="127">
        <f>+R_2014_12_priskirta!I43+'R_2014_12_atkelta(viso)'!I42</f>
        <v>0</v>
      </c>
      <c r="J42" s="127">
        <f>+R_2014_12_priskirta!J43+'R_2014_12_atkelta(viso)'!J42</f>
        <v>0</v>
      </c>
      <c r="K42" s="127">
        <f>+R_2014_12_priskirta!K43+'R_2014_12_atkelta(viso)'!K42</f>
        <v>0</v>
      </c>
      <c r="L42" s="127">
        <f>+R_2014_12_priskirta!L43+'R_2014_12_atkelta(viso)'!L42</f>
        <v>0</v>
      </c>
      <c r="M42" s="127">
        <f>+R_2014_12_priskirta!M43+'R_2014_12_atkelta(viso)'!M42</f>
        <v>0</v>
      </c>
      <c r="N42" s="127">
        <f>+R_2014_12_priskirta!N43+'R_2014_12_atkelta(viso)'!N42</f>
        <v>74.400000000000006</v>
      </c>
      <c r="O42" s="127">
        <f>+R_2014_12_priskirta!O43+'R_2014_12_atkelta(viso)'!O42</f>
        <v>390</v>
      </c>
      <c r="P42" s="127">
        <f>+R_2014_12_priskirta!P43+'R_2014_12_atkelta(viso)'!P42</f>
        <v>0</v>
      </c>
      <c r="Q42" s="24">
        <f t="shared" si="21"/>
        <v>650.4</v>
      </c>
      <c r="R42" s="229">
        <f t="shared" si="6"/>
        <v>596.69724770642199</v>
      </c>
      <c r="S42" s="207">
        <f t="shared" si="23"/>
        <v>53.702752293577987</v>
      </c>
      <c r="T42" s="39">
        <f t="shared" si="22"/>
        <v>4.0148148148148151</v>
      </c>
      <c r="U42" s="71"/>
      <c r="V42" s="61">
        <v>648</v>
      </c>
      <c r="W42" s="13">
        <f t="shared" si="26"/>
        <v>2601.6000000000004</v>
      </c>
      <c r="X42" s="2"/>
      <c r="Y42" s="2"/>
    </row>
    <row r="43" spans="1:25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7">
        <f>+R_2014_12_priskirta!E44+'R_2014_12_atkelta(viso)'!E43</f>
        <v>187.26027397260282</v>
      </c>
      <c r="F43" s="127">
        <f>+R_2014_12_priskirta!F44+'R_2014_12_atkelta(viso)'!F43</f>
        <v>13233.287671232614</v>
      </c>
      <c r="G43" s="127">
        <f>+R_2014_12_priskirta!G44+'R_2014_12_atkelta(viso)'!G43</f>
        <v>1729.1232876712313</v>
      </c>
      <c r="H43" s="127">
        <f>+R_2014_12_priskirta!H44+'R_2014_12_atkelta(viso)'!H43</f>
        <v>2562.8521917808212</v>
      </c>
      <c r="I43" s="127">
        <f>+R_2014_12_priskirta!I44+'R_2014_12_atkelta(viso)'!I43</f>
        <v>0</v>
      </c>
      <c r="J43" s="127">
        <f>+R_2014_12_priskirta!J44+'R_2014_12_atkelta(viso)'!J43</f>
        <v>0</v>
      </c>
      <c r="K43" s="127">
        <f>+R_2014_12_priskirta!K44+'R_2014_12_atkelta(viso)'!K43</f>
        <v>0</v>
      </c>
      <c r="L43" s="127">
        <f>+R_2014_12_priskirta!L44+'R_2014_12_atkelta(viso)'!L43</f>
        <v>0</v>
      </c>
      <c r="M43" s="127">
        <f>+R_2014_12_priskirta!M44+'R_2014_12_atkelta(viso)'!M43</f>
        <v>56.214383561643828</v>
      </c>
      <c r="N43" s="127">
        <f>+R_2014_12_priskirta!N44+'R_2014_12_atkelta(viso)'!N43</f>
        <v>0.84931506849315075</v>
      </c>
      <c r="O43" s="127">
        <f>+R_2014_12_priskirta!O44+'R_2014_12_atkelta(viso)'!O43</f>
        <v>31.726028861999509</v>
      </c>
      <c r="P43" s="127">
        <f>+R_2014_12_priskirta!P44+'R_2014_12_atkelta(viso)'!P43</f>
        <v>0</v>
      </c>
      <c r="Q43" s="24">
        <f t="shared" si="21"/>
        <v>17801.313152149403</v>
      </c>
      <c r="R43" s="229">
        <f t="shared" si="6"/>
        <v>16331.479956100369</v>
      </c>
      <c r="S43" s="147">
        <f t="shared" si="23"/>
        <v>1469.8331960490341</v>
      </c>
      <c r="T43" s="22">
        <f t="shared" si="22"/>
        <v>1780.1313152149403</v>
      </c>
      <c r="U43" s="71"/>
      <c r="V43" s="61"/>
      <c r="W43" s="13"/>
      <c r="X43" s="2"/>
      <c r="Y43" s="2"/>
    </row>
    <row r="44" spans="1:25" ht="12" customHeight="1" x14ac:dyDescent="0.25">
      <c r="A44" s="70" t="s">
        <v>16</v>
      </c>
      <c r="B44" s="52" t="s">
        <v>34</v>
      </c>
      <c r="C44" s="98" t="s">
        <v>91</v>
      </c>
      <c r="D44" s="78"/>
      <c r="E44" s="118">
        <f>+SUM(E45:E53)</f>
        <v>9541.8299999999981</v>
      </c>
      <c r="F44" s="82">
        <f>+SUM(F45:F53)</f>
        <v>166041.51999999999</v>
      </c>
      <c r="G44" s="82">
        <f t="shared" ref="G44:T44" si="27">+SUM(G45:G53)</f>
        <v>23112.35</v>
      </c>
      <c r="H44" s="82">
        <f>+SUM(H45:H53)</f>
        <v>3847.5200000000004</v>
      </c>
      <c r="I44" s="82">
        <f t="shared" si="27"/>
        <v>0</v>
      </c>
      <c r="J44" s="82">
        <f t="shared" si="27"/>
        <v>0</v>
      </c>
      <c r="K44" s="100">
        <f t="shared" si="27"/>
        <v>0</v>
      </c>
      <c r="L44" s="100">
        <f t="shared" si="27"/>
        <v>0</v>
      </c>
      <c r="M44" s="100">
        <f t="shared" si="27"/>
        <v>1038.04</v>
      </c>
      <c r="N44" s="100">
        <f t="shared" si="27"/>
        <v>4954.82</v>
      </c>
      <c r="O44" s="100">
        <f t="shared" si="27"/>
        <v>18330.949999999997</v>
      </c>
      <c r="P44" s="100">
        <f t="shared" si="27"/>
        <v>0</v>
      </c>
      <c r="Q44" s="42">
        <f>+SUM(Q45:Q53)</f>
        <v>226867.02999999997</v>
      </c>
      <c r="R44" s="82">
        <f t="shared" si="27"/>
        <v>208134.88990825685</v>
      </c>
      <c r="S44" s="82">
        <f t="shared" si="27"/>
        <v>18732.140091743142</v>
      </c>
      <c r="T44" s="19">
        <f t="shared" si="27"/>
        <v>31851.733333333334</v>
      </c>
      <c r="U44" s="71"/>
      <c r="V44" s="61"/>
      <c r="W44" s="105">
        <f>+SUM(W45:W53)</f>
        <v>330667.37</v>
      </c>
      <c r="X44" s="2"/>
      <c r="Y44" s="2"/>
    </row>
    <row r="45" spans="1:25" ht="12" customHeight="1" x14ac:dyDescent="0.25">
      <c r="A45" s="65" t="s">
        <v>17</v>
      </c>
      <c r="B45" s="86" t="s">
        <v>35</v>
      </c>
      <c r="C45" s="375" t="s">
        <v>2</v>
      </c>
      <c r="D45" s="376">
        <v>12</v>
      </c>
      <c r="E45" s="289">
        <f>+R_2014_12_priskirta!E46+'R_2014_12_atkelta(viso)'!E45</f>
        <v>912</v>
      </c>
      <c r="F45" s="289">
        <f>+R_2014_12_priskirta!F46+'R_2014_12_atkelta(viso)'!F45</f>
        <v>15300</v>
      </c>
      <c r="G45" s="289">
        <f>+R_2014_12_priskirta!G46+'R_2014_12_atkelta(viso)'!G45</f>
        <v>2172</v>
      </c>
      <c r="H45" s="289">
        <f>+R_2014_12_priskirta!H46+'R_2014_12_atkelta(viso)'!H45</f>
        <v>312</v>
      </c>
      <c r="I45" s="289">
        <f>+R_2014_12_priskirta!I46+'R_2014_12_atkelta(viso)'!I45</f>
        <v>0</v>
      </c>
      <c r="J45" s="289">
        <f>+R_2014_12_priskirta!J46+'R_2014_12_atkelta(viso)'!J45</f>
        <v>0</v>
      </c>
      <c r="K45" s="289">
        <f>+R_2014_12_priskirta!K46+'R_2014_12_atkelta(viso)'!K45</f>
        <v>0</v>
      </c>
      <c r="L45" s="289">
        <f>+R_2014_12_priskirta!L46+'R_2014_12_atkelta(viso)'!L45</f>
        <v>0</v>
      </c>
      <c r="M45" s="289">
        <f>+R_2014_12_priskirta!M46+'R_2014_12_atkelta(viso)'!M45</f>
        <v>84</v>
      </c>
      <c r="N45" s="289">
        <f>+R_2014_12_priskirta!N46+'R_2014_12_atkelta(viso)'!N45</f>
        <v>720</v>
      </c>
      <c r="O45" s="289">
        <f>+R_2014_12_priskirta!O46+'R_2014_12_atkelta(viso)'!O45</f>
        <v>1680</v>
      </c>
      <c r="P45" s="529">
        <f>+R_2014_12_priskirta!P46+'R_2014_12_atkelta(viso)'!P45</f>
        <v>0</v>
      </c>
      <c r="Q45" s="24">
        <f t="shared" si="21"/>
        <v>21180</v>
      </c>
      <c r="R45" s="229">
        <f t="shared" si="6"/>
        <v>19431.192660550456</v>
      </c>
      <c r="S45" s="99">
        <f t="shared" ref="S45:S53" si="28">+Q45-R45</f>
        <v>1748.8073394495441</v>
      </c>
      <c r="T45" s="116">
        <f t="shared" ref="T45:T53" si="29">Q45/D45</f>
        <v>1765</v>
      </c>
      <c r="U45" s="71"/>
      <c r="V45" s="61"/>
      <c r="W45" s="13"/>
      <c r="X45" s="2"/>
      <c r="Y45" s="2"/>
    </row>
    <row r="46" spans="1:25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7">
        <f>+R_2014_12_priskirta!E47+'R_2014_12_atkelta(viso)'!E46</f>
        <v>204</v>
      </c>
      <c r="F46" s="127">
        <f>+R_2014_12_priskirta!F47+'R_2014_12_atkelta(viso)'!F46</f>
        <v>1662</v>
      </c>
      <c r="G46" s="127">
        <f>+R_2014_12_priskirta!G47+'R_2014_12_atkelta(viso)'!G46</f>
        <v>240</v>
      </c>
      <c r="H46" s="127">
        <f>+R_2014_12_priskirta!H47+'R_2014_12_atkelta(viso)'!H46</f>
        <v>30</v>
      </c>
      <c r="I46" s="127">
        <f>+R_2014_12_priskirta!I47+'R_2014_12_atkelta(viso)'!I46</f>
        <v>0</v>
      </c>
      <c r="J46" s="127">
        <f>+R_2014_12_priskirta!J47+'R_2014_12_atkelta(viso)'!J46</f>
        <v>0</v>
      </c>
      <c r="K46" s="127">
        <f>+R_2014_12_priskirta!K47+'R_2014_12_atkelta(viso)'!K46</f>
        <v>0</v>
      </c>
      <c r="L46" s="127">
        <f>+R_2014_12_priskirta!L47+'R_2014_12_atkelta(viso)'!L46</f>
        <v>0</v>
      </c>
      <c r="M46" s="127">
        <f>+R_2014_12_priskirta!M47+'R_2014_12_atkelta(viso)'!M46</f>
        <v>24</v>
      </c>
      <c r="N46" s="127">
        <f>+R_2014_12_priskirta!N47+'R_2014_12_atkelta(viso)'!N46</f>
        <v>126</v>
      </c>
      <c r="O46" s="127">
        <f>+R_2014_12_priskirta!O47+'R_2014_12_atkelta(viso)'!O46</f>
        <v>186</v>
      </c>
      <c r="P46" s="291">
        <f>+R_2014_12_priskirta!P47+'R_2014_12_atkelta(viso)'!P46</f>
        <v>0</v>
      </c>
      <c r="Q46" s="5">
        <f t="shared" si="21"/>
        <v>2472</v>
      </c>
      <c r="R46" s="229">
        <f t="shared" si="6"/>
        <v>2267.8899082568805</v>
      </c>
      <c r="S46" s="5">
        <f t="shared" si="28"/>
        <v>204.11009174311948</v>
      </c>
      <c r="T46" s="31">
        <f t="shared" si="29"/>
        <v>412</v>
      </c>
      <c r="U46" s="71"/>
      <c r="V46" s="61">
        <v>6</v>
      </c>
      <c r="W46" s="13">
        <f t="shared" ref="W46:W47" si="30">+T46*V46</f>
        <v>2472</v>
      </c>
      <c r="X46" s="2"/>
      <c r="Y46" s="2"/>
    </row>
    <row r="47" spans="1:25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7">
        <f>+R_2014_12_priskirta!E48+'R_2014_12_atkelta(viso)'!E47</f>
        <v>1867.2</v>
      </c>
      <c r="F47" s="127">
        <f>+R_2014_12_priskirta!F48+'R_2014_12_atkelta(viso)'!F47</f>
        <v>38136</v>
      </c>
      <c r="G47" s="127">
        <f>+R_2014_12_priskirta!G48+'R_2014_12_atkelta(viso)'!G47</f>
        <v>5940</v>
      </c>
      <c r="H47" s="127">
        <f>+R_2014_12_priskirta!H48+'R_2014_12_atkelta(viso)'!H47</f>
        <v>220.8</v>
      </c>
      <c r="I47" s="127">
        <f>+R_2014_12_priskirta!I48+'R_2014_12_atkelta(viso)'!I47</f>
        <v>0</v>
      </c>
      <c r="J47" s="127">
        <f>+R_2014_12_priskirta!J48+'R_2014_12_atkelta(viso)'!J47</f>
        <v>0</v>
      </c>
      <c r="K47" s="127">
        <f>+R_2014_12_priskirta!K48+'R_2014_12_atkelta(viso)'!K47</f>
        <v>0</v>
      </c>
      <c r="L47" s="127">
        <f>+R_2014_12_priskirta!L48+'R_2014_12_atkelta(viso)'!L47</f>
        <v>0</v>
      </c>
      <c r="M47" s="127">
        <f>+R_2014_12_priskirta!M48+'R_2014_12_atkelta(viso)'!M47</f>
        <v>247.2</v>
      </c>
      <c r="N47" s="127">
        <f>+R_2014_12_priskirta!N48+'R_2014_12_atkelta(viso)'!N47</f>
        <v>1003.1999999999998</v>
      </c>
      <c r="O47" s="127">
        <f>+R_2014_12_priskirta!O48+'R_2014_12_atkelta(viso)'!O47</f>
        <v>2176.8000000000002</v>
      </c>
      <c r="P47" s="291">
        <f>+R_2014_12_priskirta!P48+'R_2014_12_atkelta(viso)'!P47</f>
        <v>0</v>
      </c>
      <c r="Q47" s="24">
        <f t="shared" si="21"/>
        <v>49591.199999999997</v>
      </c>
      <c r="R47" s="229">
        <f t="shared" si="6"/>
        <v>45496.513761467882</v>
      </c>
      <c r="S47" s="5">
        <f t="shared" si="28"/>
        <v>4094.6862385321147</v>
      </c>
      <c r="T47" s="31">
        <f t="shared" si="29"/>
        <v>20663</v>
      </c>
      <c r="U47" s="71"/>
      <c r="V47" s="61">
        <v>9.6</v>
      </c>
      <c r="W47" s="13">
        <f t="shared" si="30"/>
        <v>198364.79999999999</v>
      </c>
      <c r="X47" s="2"/>
      <c r="Y47" s="2"/>
    </row>
    <row r="48" spans="1:25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7">
        <f>+R_2014_12_priskirta!E49+'R_2014_12_atkelta(viso)'!E48</f>
        <v>1071</v>
      </c>
      <c r="F48" s="127">
        <f>+R_2014_12_priskirta!F49+'R_2014_12_atkelta(viso)'!F48</f>
        <v>17885</v>
      </c>
      <c r="G48" s="127">
        <f>+R_2014_12_priskirta!G49+'R_2014_12_atkelta(viso)'!G48</f>
        <v>2401</v>
      </c>
      <c r="H48" s="127">
        <f>+R_2014_12_priskirta!H49+'R_2014_12_atkelta(viso)'!H48</f>
        <v>672</v>
      </c>
      <c r="I48" s="127">
        <f>+R_2014_12_priskirta!I49+'R_2014_12_atkelta(viso)'!I48</f>
        <v>0</v>
      </c>
      <c r="J48" s="127">
        <f>+R_2014_12_priskirta!J49+'R_2014_12_atkelta(viso)'!J48</f>
        <v>0</v>
      </c>
      <c r="K48" s="127">
        <f>+R_2014_12_priskirta!K49+'R_2014_12_atkelta(viso)'!K48</f>
        <v>0</v>
      </c>
      <c r="L48" s="127">
        <f>+R_2014_12_priskirta!L49+'R_2014_12_atkelta(viso)'!L48</f>
        <v>0</v>
      </c>
      <c r="M48" s="127">
        <f>+R_2014_12_priskirta!M49+'R_2014_12_atkelta(viso)'!M48</f>
        <v>84</v>
      </c>
      <c r="N48" s="127">
        <f>+R_2014_12_priskirta!N49+'R_2014_12_atkelta(viso)'!N48</f>
        <v>525</v>
      </c>
      <c r="O48" s="127">
        <f>+R_2014_12_priskirta!O49+'R_2014_12_atkelta(viso)'!O48</f>
        <v>2212</v>
      </c>
      <c r="P48" s="291">
        <f>+R_2014_12_priskirta!P49+'R_2014_12_atkelta(viso)'!P48</f>
        <v>0</v>
      </c>
      <c r="Q48" s="5">
        <f t="shared" si="21"/>
        <v>24850</v>
      </c>
      <c r="R48" s="229">
        <f t="shared" si="6"/>
        <v>22798.165137614676</v>
      </c>
      <c r="S48" s="5">
        <f t="shared" si="28"/>
        <v>2051.8348623853235</v>
      </c>
      <c r="T48" s="31">
        <f t="shared" si="29"/>
        <v>1183.3333333333333</v>
      </c>
      <c r="U48" s="71"/>
      <c r="V48" s="61"/>
      <c r="W48" s="13"/>
      <c r="X48" s="2"/>
      <c r="Y48" s="2"/>
    </row>
    <row r="49" spans="1:25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7">
        <f>+R_2014_12_priskirta!E50+'R_2014_12_atkelta(viso)'!E49</f>
        <v>122.5</v>
      </c>
      <c r="F49" s="127">
        <f>+R_2014_12_priskirta!F50+'R_2014_12_atkelta(viso)'!F49</f>
        <v>1309</v>
      </c>
      <c r="G49" s="127">
        <f>+R_2014_12_priskirta!G50+'R_2014_12_atkelta(viso)'!G49</f>
        <v>297.5</v>
      </c>
      <c r="H49" s="127">
        <f>+R_2014_12_priskirta!H50+'R_2014_12_atkelta(viso)'!H49</f>
        <v>42</v>
      </c>
      <c r="I49" s="127">
        <f>+R_2014_12_priskirta!I50+'R_2014_12_atkelta(viso)'!I49</f>
        <v>0</v>
      </c>
      <c r="J49" s="127">
        <f>+R_2014_12_priskirta!J50+'R_2014_12_atkelta(viso)'!J49</f>
        <v>0</v>
      </c>
      <c r="K49" s="127">
        <f>+R_2014_12_priskirta!K50+'R_2014_12_atkelta(viso)'!K49</f>
        <v>0</v>
      </c>
      <c r="L49" s="127">
        <f>+R_2014_12_priskirta!L50+'R_2014_12_atkelta(viso)'!L49</f>
        <v>0</v>
      </c>
      <c r="M49" s="127">
        <f>+R_2014_12_priskirta!M50+'R_2014_12_atkelta(viso)'!M49</f>
        <v>21</v>
      </c>
      <c r="N49" s="127">
        <f>+R_2014_12_priskirta!N50+'R_2014_12_atkelta(viso)'!N49</f>
        <v>52.5</v>
      </c>
      <c r="O49" s="127">
        <f>+R_2014_12_priskirta!O50+'R_2014_12_atkelta(viso)'!O49</f>
        <v>136.5</v>
      </c>
      <c r="P49" s="291">
        <f>+R_2014_12_priskirta!P50+'R_2014_12_atkelta(viso)'!P49</f>
        <v>0</v>
      </c>
      <c r="Q49" s="24">
        <f t="shared" si="21"/>
        <v>1981</v>
      </c>
      <c r="R49" s="229">
        <f t="shared" si="6"/>
        <v>1817.4311926605503</v>
      </c>
      <c r="S49" s="5">
        <f t="shared" si="28"/>
        <v>163.56880733944968</v>
      </c>
      <c r="T49" s="21">
        <f t="shared" si="29"/>
        <v>188.66666666666666</v>
      </c>
      <c r="U49" s="71"/>
      <c r="V49" s="61">
        <v>10.5</v>
      </c>
      <c r="W49" s="13">
        <f t="shared" ref="W49:W50" si="31">+T49*V49</f>
        <v>1981</v>
      </c>
      <c r="X49" s="2"/>
      <c r="Y49" s="2"/>
    </row>
    <row r="50" spans="1:25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7">
        <f>+R_2014_12_priskirta!E51+'R_2014_12_atkelta(viso)'!E50</f>
        <v>505.4</v>
      </c>
      <c r="F50" s="127">
        <f>+R_2014_12_priskirta!F51+'R_2014_12_atkelta(viso)'!F50</f>
        <v>8736</v>
      </c>
      <c r="G50" s="127">
        <f>+R_2014_12_priskirta!G51+'R_2014_12_atkelta(viso)'!G50</f>
        <v>1104.5999999999999</v>
      </c>
      <c r="H50" s="127">
        <f>+R_2014_12_priskirta!H51+'R_2014_12_atkelta(viso)'!H50</f>
        <v>138.60000000000002</v>
      </c>
      <c r="I50" s="127">
        <f>+R_2014_12_priskirta!I51+'R_2014_12_atkelta(viso)'!I50</f>
        <v>0</v>
      </c>
      <c r="J50" s="127">
        <f>+R_2014_12_priskirta!J51+'R_2014_12_atkelta(viso)'!J50</f>
        <v>0</v>
      </c>
      <c r="K50" s="127">
        <f>+R_2014_12_priskirta!K51+'R_2014_12_atkelta(viso)'!K50</f>
        <v>0</v>
      </c>
      <c r="L50" s="127">
        <f>+R_2014_12_priskirta!L51+'R_2014_12_atkelta(viso)'!L50</f>
        <v>0</v>
      </c>
      <c r="M50" s="127">
        <f>+R_2014_12_priskirta!M51+'R_2014_12_atkelta(viso)'!M50</f>
        <v>35</v>
      </c>
      <c r="N50" s="127">
        <f>+R_2014_12_priskirta!N51+'R_2014_12_atkelta(viso)'!N50</f>
        <v>415.8</v>
      </c>
      <c r="O50" s="127">
        <f>+R_2014_12_priskirta!O51+'R_2014_12_atkelta(viso)'!O50</f>
        <v>1367.8</v>
      </c>
      <c r="P50" s="291">
        <f>+R_2014_12_priskirta!P51+'R_2014_12_atkelta(viso)'!P50</f>
        <v>0</v>
      </c>
      <c r="Q50" s="24">
        <f t="shared" si="21"/>
        <v>12303.199999999999</v>
      </c>
      <c r="R50" s="229">
        <f t="shared" si="6"/>
        <v>11287.339449541283</v>
      </c>
      <c r="S50" s="5">
        <f t="shared" si="28"/>
        <v>1015.8605504587158</v>
      </c>
      <c r="T50" s="21">
        <f t="shared" si="29"/>
        <v>2929.333333333333</v>
      </c>
      <c r="U50" s="71"/>
      <c r="V50" s="61">
        <v>16.8</v>
      </c>
      <c r="W50" s="13">
        <f t="shared" si="31"/>
        <v>49212.799999999996</v>
      </c>
      <c r="X50" s="2"/>
      <c r="Y50" s="2"/>
    </row>
    <row r="51" spans="1:25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7">
        <f>+R_2014_12_priskirta!E52+'R_2014_12_atkelta(viso)'!E51</f>
        <v>4030.3</v>
      </c>
      <c r="F51" s="127">
        <f>+R_2014_12_priskirta!F52+'R_2014_12_atkelta(viso)'!F51</f>
        <v>65899.3</v>
      </c>
      <c r="G51" s="127">
        <f>+R_2014_12_priskirta!G52+'R_2014_12_atkelta(viso)'!G51</f>
        <v>8446</v>
      </c>
      <c r="H51" s="127">
        <f>+R_2014_12_priskirta!H52+'R_2014_12_atkelta(viso)'!H51</f>
        <v>2017.2</v>
      </c>
      <c r="I51" s="127">
        <f>+R_2014_12_priskirta!I52+'R_2014_12_atkelta(viso)'!I51</f>
        <v>0</v>
      </c>
      <c r="J51" s="127">
        <f>+R_2014_12_priskirta!J52+'R_2014_12_atkelta(viso)'!J51</f>
        <v>0</v>
      </c>
      <c r="K51" s="127">
        <f>+R_2014_12_priskirta!K52+'R_2014_12_atkelta(viso)'!K51</f>
        <v>0</v>
      </c>
      <c r="L51" s="127">
        <f>+R_2014_12_priskirta!L52+'R_2014_12_atkelta(viso)'!L51</f>
        <v>0</v>
      </c>
      <c r="M51" s="127">
        <f>+R_2014_12_priskirta!M52+'R_2014_12_atkelta(viso)'!M51</f>
        <v>340.3</v>
      </c>
      <c r="N51" s="127">
        <f>+R_2014_12_priskirta!N52+'R_2014_12_atkelta(viso)'!N51</f>
        <v>1615.3999999999999</v>
      </c>
      <c r="O51" s="127">
        <f>+R_2014_12_priskirta!O52+'R_2014_12_atkelta(viso)'!O51</f>
        <v>7511.2</v>
      </c>
      <c r="P51" s="291">
        <f>+R_2014_12_priskirta!P52+'R_2014_12_atkelta(viso)'!P51</f>
        <v>0</v>
      </c>
      <c r="Q51" s="24">
        <f t="shared" si="21"/>
        <v>89859.7</v>
      </c>
      <c r="R51" s="229">
        <f t="shared" si="6"/>
        <v>82440.09174311925</v>
      </c>
      <c r="S51" s="5">
        <f t="shared" si="28"/>
        <v>7419.6082568807469</v>
      </c>
      <c r="T51" s="21">
        <f t="shared" si="29"/>
        <v>2191.6999999999998</v>
      </c>
      <c r="U51" s="71"/>
      <c r="V51" s="61"/>
      <c r="W51" s="13"/>
      <c r="X51" s="2"/>
      <c r="Y51" s="2"/>
    </row>
    <row r="52" spans="1:25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7">
        <f>+R_2014_12_priskirta!E53+'R_2014_12_atkelta(viso)'!E52</f>
        <v>227.54999999999998</v>
      </c>
      <c r="F52" s="127">
        <f>+R_2014_12_priskirta!F53+'R_2014_12_atkelta(viso)'!F52</f>
        <v>5096.3</v>
      </c>
      <c r="G52" s="127">
        <f>+R_2014_12_priskirta!G53+'R_2014_12_atkelta(viso)'!G52</f>
        <v>785.15</v>
      </c>
      <c r="H52" s="127">
        <f>+R_2014_12_priskirta!H53+'R_2014_12_atkelta(viso)'!H52</f>
        <v>147.6</v>
      </c>
      <c r="I52" s="127">
        <f>+R_2014_12_priskirta!I53+'R_2014_12_atkelta(viso)'!I52</f>
        <v>0</v>
      </c>
      <c r="J52" s="127">
        <f>+R_2014_12_priskirta!J53+'R_2014_12_atkelta(viso)'!J52</f>
        <v>0</v>
      </c>
      <c r="K52" s="127">
        <f>+R_2014_12_priskirta!K53+'R_2014_12_atkelta(viso)'!K52</f>
        <v>0</v>
      </c>
      <c r="L52" s="127">
        <f>+R_2014_12_priskirta!L53+'R_2014_12_atkelta(viso)'!L52</f>
        <v>0</v>
      </c>
      <c r="M52" s="127">
        <f>+R_2014_12_priskirta!M53+'R_2014_12_atkelta(viso)'!M52</f>
        <v>82</v>
      </c>
      <c r="N52" s="127">
        <f>+R_2014_12_priskirta!N53+'R_2014_12_atkelta(viso)'!N52</f>
        <v>20.500000000000004</v>
      </c>
      <c r="O52" s="127">
        <f>+R_2014_12_priskirta!O53+'R_2014_12_atkelta(viso)'!O52</f>
        <v>268.55</v>
      </c>
      <c r="P52" s="291">
        <f>+R_2014_12_priskirta!P53+'R_2014_12_atkelta(viso)'!P52</f>
        <v>0</v>
      </c>
      <c r="Q52" s="24">
        <f t="shared" si="21"/>
        <v>6627.6500000000005</v>
      </c>
      <c r="R52" s="229">
        <f t="shared" si="6"/>
        <v>6080.4128440366976</v>
      </c>
      <c r="S52" s="5">
        <f t="shared" si="28"/>
        <v>547.23715596330294</v>
      </c>
      <c r="T52" s="21">
        <f t="shared" si="29"/>
        <v>323.3</v>
      </c>
      <c r="U52" s="71"/>
      <c r="V52" s="61">
        <v>20.5</v>
      </c>
      <c r="W52" s="13">
        <f t="shared" ref="W52:W53" si="32">+T52*V52</f>
        <v>6627.6500000000005</v>
      </c>
      <c r="X52" s="2"/>
      <c r="Y52" s="2"/>
    </row>
    <row r="53" spans="1:25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99">
        <f>+R_2014_12_priskirta!E54+'R_2014_12_atkelta(viso)'!E53</f>
        <v>601.88</v>
      </c>
      <c r="F53" s="199">
        <f>+R_2014_12_priskirta!F54+'R_2014_12_atkelta(viso)'!F53</f>
        <v>12017.92</v>
      </c>
      <c r="G53" s="199">
        <f>+R_2014_12_priskirta!G54+'R_2014_12_atkelta(viso)'!G53</f>
        <v>1726.1000000000001</v>
      </c>
      <c r="H53" s="199">
        <f>+R_2014_12_priskirta!H54+'R_2014_12_atkelta(viso)'!H53</f>
        <v>267.31999999999994</v>
      </c>
      <c r="I53" s="199">
        <f>+R_2014_12_priskirta!I54+'R_2014_12_atkelta(viso)'!I53</f>
        <v>0</v>
      </c>
      <c r="J53" s="199">
        <f>+R_2014_12_priskirta!J54+'R_2014_12_atkelta(viso)'!J53</f>
        <v>0</v>
      </c>
      <c r="K53" s="199">
        <f>+R_2014_12_priskirta!K54+'R_2014_12_atkelta(viso)'!K53</f>
        <v>0</v>
      </c>
      <c r="L53" s="199">
        <f>+R_2014_12_priskirta!L54+'R_2014_12_atkelta(viso)'!L53</f>
        <v>0</v>
      </c>
      <c r="M53" s="199">
        <f>+R_2014_12_priskirta!M54+'R_2014_12_atkelta(viso)'!M53</f>
        <v>120.53999999999999</v>
      </c>
      <c r="N53" s="199">
        <f>+R_2014_12_priskirta!N54+'R_2014_12_atkelta(viso)'!N53</f>
        <v>476.41999999999985</v>
      </c>
      <c r="O53" s="199">
        <f>+R_2014_12_priskirta!O54+'R_2014_12_atkelta(viso)'!O53</f>
        <v>2792.1000000000004</v>
      </c>
      <c r="P53" s="292">
        <f>+R_2014_12_priskirta!P54+'R_2014_12_atkelta(viso)'!P53</f>
        <v>0</v>
      </c>
      <c r="Q53" s="359">
        <f t="shared" si="21"/>
        <v>18002.28</v>
      </c>
      <c r="R53" s="140">
        <f t="shared" si="6"/>
        <v>16515.853211009173</v>
      </c>
      <c r="S53" s="6">
        <f t="shared" si="28"/>
        <v>1486.426788990826</v>
      </c>
      <c r="T53" s="22">
        <f t="shared" si="29"/>
        <v>2195.4</v>
      </c>
      <c r="U53" s="71"/>
      <c r="V53" s="61">
        <v>32.799999999999997</v>
      </c>
      <c r="W53" s="13">
        <f t="shared" si="32"/>
        <v>72009.119999999995</v>
      </c>
      <c r="X53" s="2"/>
      <c r="Y53" s="2"/>
    </row>
    <row r="54" spans="1:25" x14ac:dyDescent="0.25">
      <c r="F54" s="2"/>
      <c r="G54" s="2"/>
      <c r="H54" s="2"/>
      <c r="I54" s="2"/>
      <c r="J54" s="2"/>
      <c r="K54" s="2"/>
      <c r="L54" s="2"/>
      <c r="M54" s="2"/>
      <c r="N54" s="2"/>
      <c r="Q54" s="2"/>
      <c r="R54" s="2"/>
      <c r="S54" s="2"/>
    </row>
    <row r="55" spans="1:25" x14ac:dyDescent="0.25">
      <c r="E55" s="2"/>
      <c r="F55" s="2"/>
      <c r="G55" s="2"/>
      <c r="H55" s="2"/>
      <c r="I55" s="2"/>
      <c r="J55" s="2"/>
      <c r="M55" s="2"/>
      <c r="N55" s="2"/>
      <c r="Q55" s="2"/>
      <c r="R55" s="2"/>
      <c r="S55" s="2"/>
    </row>
    <row r="57" spans="1:25" x14ac:dyDescent="0.25">
      <c r="O57" s="137"/>
      <c r="P57" s="137"/>
    </row>
    <row r="73" spans="2:2" x14ac:dyDescent="0.25">
      <c r="B73" s="1"/>
    </row>
  </sheetData>
  <mergeCells count="19"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  <mergeCell ref="W3:W4"/>
    <mergeCell ref="N3:N4"/>
    <mergeCell ref="O3:P4"/>
    <mergeCell ref="Q3:Q4"/>
    <mergeCell ref="R3:R4"/>
    <mergeCell ref="S3:S4"/>
    <mergeCell ref="T3:T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73"/>
  <sheetViews>
    <sheetView zoomScaleNormal="100" workbookViewId="0">
      <pane xSplit="4" ySplit="4" topLeftCell="M5" activePane="bottomRight" state="frozen"/>
      <selection pane="topRight" activeCell="E1" sqref="E1"/>
      <selection pane="bottomLeft" activeCell="A5" sqref="A5"/>
      <selection pane="bottomRight" activeCell="N10" sqref="N10"/>
    </sheetView>
  </sheetViews>
  <sheetFormatPr defaultColWidth="8.88671875" defaultRowHeight="13.2" outlineLevelCol="1" x14ac:dyDescent="0.25"/>
  <cols>
    <col min="1" max="1" width="11.33203125" style="1" customWidth="1"/>
    <col min="2" max="2" width="5.88671875" style="3" customWidth="1"/>
    <col min="3" max="3" width="52" style="1" customWidth="1"/>
    <col min="4" max="4" width="7.6640625" style="4" customWidth="1"/>
    <col min="5" max="5" width="14" style="4" customWidth="1"/>
    <col min="6" max="6" width="13" style="1" customWidth="1"/>
    <col min="7" max="7" width="11.33203125" style="1" customWidth="1"/>
    <col min="8" max="8" width="12.109375" style="1" customWidth="1"/>
    <col min="9" max="9" width="14.77734375" style="1" customWidth="1"/>
    <col min="10" max="10" width="14.109375" style="1" customWidth="1"/>
    <col min="11" max="11" width="11.33203125" style="1" customWidth="1"/>
    <col min="12" max="12" width="12.33203125" style="1" customWidth="1"/>
    <col min="13" max="13" width="13" style="1" customWidth="1"/>
    <col min="14" max="14" width="12.6640625" style="1" customWidth="1"/>
    <col min="15" max="15" width="13" style="1" customWidth="1"/>
    <col min="16" max="16" width="11.5546875" style="1" hidden="1" customWidth="1" outlineLevel="1"/>
    <col min="17" max="17" width="15.109375" style="1" bestFit="1" customWidth="1" collapsed="1"/>
    <col min="18" max="19" width="12.33203125" style="1" customWidth="1"/>
    <col min="20" max="20" width="11.6640625" style="1" customWidth="1"/>
    <col min="21" max="21" width="13.77734375" style="1" customWidth="1"/>
    <col min="22" max="22" width="4.88671875" style="1" customWidth="1"/>
    <col min="23" max="23" width="12.88671875" style="2" customWidth="1"/>
    <col min="24" max="16384" width="8.88671875" style="1"/>
  </cols>
  <sheetData>
    <row r="1" spans="1:23" ht="22.2" customHeight="1" x14ac:dyDescent="0.3">
      <c r="A1" s="40" t="s">
        <v>560</v>
      </c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</row>
    <row r="2" spans="1:23" ht="18" customHeight="1" x14ac:dyDescent="0.25">
      <c r="A2" s="1" t="s">
        <v>176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ht="25.95" customHeight="1" x14ac:dyDescent="0.25">
      <c r="A3" s="576" t="s">
        <v>39</v>
      </c>
      <c r="B3" s="578" t="s">
        <v>37</v>
      </c>
      <c r="C3" s="574" t="s">
        <v>40</v>
      </c>
      <c r="D3" s="580" t="s">
        <v>38</v>
      </c>
      <c r="E3" s="582" t="s">
        <v>144</v>
      </c>
      <c r="F3" s="574" t="s">
        <v>26</v>
      </c>
      <c r="G3" s="574" t="s">
        <v>0</v>
      </c>
      <c r="H3" s="574" t="s">
        <v>142</v>
      </c>
      <c r="I3" s="574" t="s">
        <v>27</v>
      </c>
      <c r="J3" s="586" t="s">
        <v>28</v>
      </c>
      <c r="K3" s="588" t="s">
        <v>114</v>
      </c>
      <c r="L3" s="589"/>
      <c r="M3" s="574" t="s">
        <v>153</v>
      </c>
      <c r="N3" s="574" t="s">
        <v>387</v>
      </c>
      <c r="O3" s="601" t="s">
        <v>178</v>
      </c>
      <c r="P3" s="602"/>
      <c r="Q3" s="590" t="s">
        <v>43</v>
      </c>
      <c r="R3" s="590" t="s">
        <v>44</v>
      </c>
      <c r="S3" s="590" t="s">
        <v>41</v>
      </c>
      <c r="T3" s="590" t="s">
        <v>149</v>
      </c>
      <c r="V3" s="61"/>
      <c r="W3" s="584" t="s">
        <v>449</v>
      </c>
    </row>
    <row r="4" spans="1:23" ht="26.4" customHeight="1" x14ac:dyDescent="0.25">
      <c r="A4" s="577"/>
      <c r="B4" s="579"/>
      <c r="C4" s="575"/>
      <c r="D4" s="581"/>
      <c r="E4" s="583"/>
      <c r="F4" s="575"/>
      <c r="G4" s="575"/>
      <c r="H4" s="575"/>
      <c r="I4" s="575"/>
      <c r="J4" s="587"/>
      <c r="K4" s="254" t="s">
        <v>203</v>
      </c>
      <c r="L4" s="254" t="s">
        <v>586</v>
      </c>
      <c r="M4" s="575"/>
      <c r="N4" s="575"/>
      <c r="O4" s="520" t="s">
        <v>481</v>
      </c>
      <c r="P4" s="521" t="s">
        <v>585</v>
      </c>
      <c r="Q4" s="591"/>
      <c r="R4" s="592"/>
      <c r="S4" s="592"/>
      <c r="T4" s="592"/>
      <c r="V4" s="87"/>
      <c r="W4" s="585"/>
    </row>
    <row r="5" spans="1:23" ht="12" customHeight="1" x14ac:dyDescent="0.25">
      <c r="A5" s="70" t="s">
        <v>29</v>
      </c>
      <c r="B5" s="52" t="s">
        <v>36</v>
      </c>
      <c r="C5" s="9" t="s">
        <v>45</v>
      </c>
      <c r="D5" s="78"/>
      <c r="E5" s="217">
        <f t="shared" ref="E5:T5" si="0">+E6+E18+E44</f>
        <v>422030.52053380001</v>
      </c>
      <c r="F5" s="187">
        <f t="shared" si="0"/>
        <v>6635900.0200000005</v>
      </c>
      <c r="G5" s="82">
        <f t="shared" si="0"/>
        <v>933503.6</v>
      </c>
      <c r="H5" s="82">
        <f t="shared" si="0"/>
        <v>173811.22</v>
      </c>
      <c r="I5" s="187">
        <f t="shared" si="0"/>
        <v>623613.9</v>
      </c>
      <c r="J5" s="187">
        <f t="shared" si="0"/>
        <v>1074900.3999999999</v>
      </c>
      <c r="K5" s="187">
        <f t="shared" si="0"/>
        <v>959888.7</v>
      </c>
      <c r="L5" s="187">
        <f t="shared" si="0"/>
        <v>3304.3700000001104</v>
      </c>
      <c r="M5" s="187">
        <f t="shared" si="0"/>
        <v>67071.199999999997</v>
      </c>
      <c r="N5" s="192">
        <f>+N6+N18+N44</f>
        <v>162275.16000000003</v>
      </c>
      <c r="O5" s="187">
        <f>+O6+O18+O44</f>
        <v>597203.14</v>
      </c>
      <c r="P5" s="19">
        <f>+P6+P18+P44</f>
        <v>0</v>
      </c>
      <c r="Q5" s="42">
        <f t="shared" ref="Q5:Q10" si="1">+SUM(E5:P5)</f>
        <v>11653502.230533799</v>
      </c>
      <c r="R5" s="42">
        <f t="shared" si="0"/>
        <v>10691286.450031009</v>
      </c>
      <c r="S5" s="42">
        <f t="shared" si="0"/>
        <v>962215.78050279175</v>
      </c>
      <c r="T5" s="42">
        <f t="shared" si="0"/>
        <v>2681538.2888329425</v>
      </c>
      <c r="U5" s="71"/>
      <c r="V5" s="87"/>
      <c r="W5" s="135">
        <f>+W7+W18+W44</f>
        <v>6780585.4818189992</v>
      </c>
    </row>
    <row r="6" spans="1:23" ht="12" customHeight="1" x14ac:dyDescent="0.25">
      <c r="A6" s="70" t="s">
        <v>12</v>
      </c>
      <c r="B6" s="52" t="s">
        <v>30</v>
      </c>
      <c r="C6" s="9" t="s">
        <v>1</v>
      </c>
      <c r="D6" s="78"/>
      <c r="E6" s="218">
        <f t="shared" ref="E6:T6" si="2">+E7+E11</f>
        <v>107639.420088</v>
      </c>
      <c r="F6" s="187">
        <f t="shared" si="2"/>
        <v>1889784.2200000002</v>
      </c>
      <c r="G6" s="82">
        <f t="shared" si="2"/>
        <v>264452.69999999995</v>
      </c>
      <c r="H6" s="82">
        <f t="shared" si="2"/>
        <v>40211.920000000006</v>
      </c>
      <c r="I6" s="187">
        <f t="shared" si="2"/>
        <v>623613.9</v>
      </c>
      <c r="J6" s="187">
        <f t="shared" si="2"/>
        <v>1074900.3999999999</v>
      </c>
      <c r="K6" s="187">
        <f t="shared" si="2"/>
        <v>959888.7</v>
      </c>
      <c r="L6" s="187">
        <f t="shared" si="2"/>
        <v>3304.3700000001104</v>
      </c>
      <c r="M6" s="187">
        <f t="shared" si="2"/>
        <v>19348.399999999998</v>
      </c>
      <c r="N6" s="192">
        <f>+N7+N11</f>
        <v>110713.16000000002</v>
      </c>
      <c r="O6" s="187">
        <f t="shared" si="2"/>
        <v>149620.34</v>
      </c>
      <c r="P6" s="19">
        <f t="shared" si="2"/>
        <v>0</v>
      </c>
      <c r="Q6" s="42">
        <f t="shared" si="1"/>
        <v>5243477.530088</v>
      </c>
      <c r="R6" s="42">
        <f t="shared" si="2"/>
        <v>4810529.844117431</v>
      </c>
      <c r="S6" s="42">
        <f t="shared" si="2"/>
        <v>432947.68597056915</v>
      </c>
      <c r="T6" s="42">
        <f t="shared" si="2"/>
        <v>2534039.2887738636</v>
      </c>
      <c r="V6" s="61"/>
      <c r="W6" s="13"/>
    </row>
    <row r="7" spans="1:23" ht="12" customHeight="1" x14ac:dyDescent="0.25">
      <c r="A7" s="70" t="s">
        <v>52</v>
      </c>
      <c r="B7" s="52" t="s">
        <v>31</v>
      </c>
      <c r="C7" s="8" t="s">
        <v>11</v>
      </c>
      <c r="D7" s="79"/>
      <c r="E7" s="79">
        <f t="shared" ref="E7:L7" si="3">+SUM(E8:E10)</f>
        <v>0</v>
      </c>
      <c r="F7" s="219">
        <f t="shared" si="3"/>
        <v>0</v>
      </c>
      <c r="G7" s="79">
        <f t="shared" si="3"/>
        <v>0</v>
      </c>
      <c r="H7" s="79">
        <f t="shared" si="3"/>
        <v>0</v>
      </c>
      <c r="I7" s="126">
        <f t="shared" si="3"/>
        <v>623613.9</v>
      </c>
      <c r="J7" s="380">
        <f t="shared" si="3"/>
        <v>1074900.3999999999</v>
      </c>
      <c r="K7" s="79">
        <f t="shared" si="3"/>
        <v>0</v>
      </c>
      <c r="L7" s="79">
        <f t="shared" si="3"/>
        <v>0</v>
      </c>
      <c r="M7" s="79">
        <f t="shared" ref="M7:T7" si="4">+SUM(M8:M10)</f>
        <v>0</v>
      </c>
      <c r="N7" s="79">
        <f t="shared" si="4"/>
        <v>0</v>
      </c>
      <c r="O7" s="219">
        <f t="shared" si="4"/>
        <v>0</v>
      </c>
      <c r="P7" s="226">
        <f t="shared" si="4"/>
        <v>0</v>
      </c>
      <c r="Q7" s="43">
        <f t="shared" si="1"/>
        <v>1698514.2999999998</v>
      </c>
      <c r="R7" s="43">
        <f t="shared" si="4"/>
        <v>1558270</v>
      </c>
      <c r="S7" s="43">
        <f t="shared" si="4"/>
        <v>140244.30000000013</v>
      </c>
      <c r="T7" s="43">
        <f t="shared" si="4"/>
        <v>630878</v>
      </c>
      <c r="U7" s="71"/>
      <c r="V7" s="134"/>
      <c r="W7" s="105">
        <f>+SUM(W8:W17)</f>
        <v>1220443.1803519998</v>
      </c>
    </row>
    <row r="8" spans="1:23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122"/>
      <c r="F8" s="17"/>
      <c r="G8" s="13"/>
      <c r="H8" s="13"/>
      <c r="I8" s="127">
        <v>449970.5</v>
      </c>
      <c r="J8" s="127">
        <f>764396.5+30016</f>
        <v>794412.5</v>
      </c>
      <c r="K8" s="36"/>
      <c r="L8" s="36"/>
      <c r="M8" s="36"/>
      <c r="N8" s="127"/>
      <c r="O8" s="362"/>
      <c r="P8" s="355"/>
      <c r="Q8" s="24">
        <f t="shared" si="1"/>
        <v>1244383</v>
      </c>
      <c r="R8" s="5">
        <f t="shared" ref="R8:R10" si="5">+Q8/1.09</f>
        <v>1141635.7798165136</v>
      </c>
      <c r="S8" s="5">
        <f t="shared" ref="S8:S10" si="6">+Q8-R8</f>
        <v>102747.22018348635</v>
      </c>
      <c r="T8" s="5">
        <f>Q8/D8</f>
        <v>355538</v>
      </c>
      <c r="U8" s="71"/>
      <c r="V8" s="61"/>
      <c r="W8" s="13"/>
    </row>
    <row r="9" spans="1:23" ht="12" customHeight="1" x14ac:dyDescent="0.25">
      <c r="A9" s="54" t="s">
        <v>49</v>
      </c>
      <c r="B9" s="55" t="s">
        <v>48</v>
      </c>
      <c r="C9" s="27" t="s">
        <v>51</v>
      </c>
      <c r="D9" s="10">
        <f t="shared" ref="D9" si="7">+D8*0.5</f>
        <v>1.75</v>
      </c>
      <c r="E9" s="122"/>
      <c r="F9" s="17"/>
      <c r="G9" s="13"/>
      <c r="H9" s="13"/>
      <c r="I9" s="127">
        <v>167520.5</v>
      </c>
      <c r="J9" s="127">
        <f>259435.75+8699.25</f>
        <v>268135</v>
      </c>
      <c r="K9" s="143"/>
      <c r="L9" s="143"/>
      <c r="M9" s="143"/>
      <c r="N9" s="127"/>
      <c r="O9" s="17"/>
      <c r="P9" s="350"/>
      <c r="Q9" s="24">
        <f t="shared" si="1"/>
        <v>435655.5</v>
      </c>
      <c r="R9" s="26">
        <f t="shared" si="5"/>
        <v>399683.94495412841</v>
      </c>
      <c r="S9" s="26">
        <f t="shared" si="6"/>
        <v>35971.555045871588</v>
      </c>
      <c r="T9" s="26">
        <f>Q9/D9</f>
        <v>248946</v>
      </c>
      <c r="U9" s="71"/>
      <c r="V9" s="61">
        <v>1.75</v>
      </c>
      <c r="W9" s="13">
        <f>+T9*V9</f>
        <v>435655.5</v>
      </c>
    </row>
    <row r="10" spans="1:23" ht="12" customHeight="1" x14ac:dyDescent="0.25">
      <c r="A10" s="54" t="s">
        <v>185</v>
      </c>
      <c r="B10" s="111" t="s">
        <v>186</v>
      </c>
      <c r="C10" s="27" t="s">
        <v>187</v>
      </c>
      <c r="D10" s="213">
        <v>0.7</v>
      </c>
      <c r="E10" s="216"/>
      <c r="F10" s="220"/>
      <c r="G10" s="214"/>
      <c r="H10" s="215"/>
      <c r="I10" s="2">
        <v>6122.9</v>
      </c>
      <c r="J10" s="144">
        <f>12004.3+348.6</f>
        <v>12352.9</v>
      </c>
      <c r="K10" s="144"/>
      <c r="L10" s="144"/>
      <c r="M10" s="144"/>
      <c r="N10" s="144"/>
      <c r="O10" s="18"/>
      <c r="P10" s="350"/>
      <c r="Q10" s="24">
        <f t="shared" si="1"/>
        <v>18475.8</v>
      </c>
      <c r="R10" s="26">
        <f t="shared" si="5"/>
        <v>16950.275229357798</v>
      </c>
      <c r="S10" s="26">
        <f t="shared" si="6"/>
        <v>1525.5247706422015</v>
      </c>
      <c r="T10" s="26">
        <f>Q10/D10</f>
        <v>26394</v>
      </c>
      <c r="U10" s="71"/>
      <c r="V10" s="107">
        <v>2.8</v>
      </c>
      <c r="W10" s="13">
        <f>+T10*V10</f>
        <v>73903.199999999997</v>
      </c>
    </row>
    <row r="11" spans="1:23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>
        <f t="shared" ref="E11:T11" si="8">+SUM(E12:E17)</f>
        <v>107639.420088</v>
      </c>
      <c r="F11" s="16">
        <f t="shared" si="8"/>
        <v>1889784.2200000002</v>
      </c>
      <c r="G11" s="84">
        <f t="shared" si="8"/>
        <v>264452.69999999995</v>
      </c>
      <c r="H11" s="84">
        <f t="shared" si="8"/>
        <v>40211.920000000006</v>
      </c>
      <c r="I11" s="84">
        <f t="shared" si="8"/>
        <v>0</v>
      </c>
      <c r="J11" s="74">
        <f t="shared" si="8"/>
        <v>0</v>
      </c>
      <c r="K11" s="101">
        <f t="shared" si="8"/>
        <v>959888.7</v>
      </c>
      <c r="L11" s="101">
        <f t="shared" si="8"/>
        <v>3304.3700000001104</v>
      </c>
      <c r="M11" s="101">
        <f t="shared" si="8"/>
        <v>19348.399999999998</v>
      </c>
      <c r="N11" s="101">
        <f t="shared" si="8"/>
        <v>110713.16000000002</v>
      </c>
      <c r="O11" s="101">
        <f t="shared" si="8"/>
        <v>149620.34</v>
      </c>
      <c r="P11" s="101">
        <f t="shared" si="8"/>
        <v>0</v>
      </c>
      <c r="Q11" s="43">
        <f t="shared" si="8"/>
        <v>3544963.2300879997</v>
      </c>
      <c r="R11" s="43">
        <f t="shared" si="8"/>
        <v>3252259.844117431</v>
      </c>
      <c r="S11" s="43">
        <f t="shared" si="8"/>
        <v>292703.38597056898</v>
      </c>
      <c r="T11" s="43">
        <f t="shared" si="8"/>
        <v>1903161.2887738633</v>
      </c>
      <c r="U11" s="71"/>
      <c r="V11" s="61"/>
      <c r="W11" s="13"/>
    </row>
    <row r="12" spans="1:23" ht="14.4" x14ac:dyDescent="0.3">
      <c r="A12" s="58" t="s">
        <v>53</v>
      </c>
      <c r="B12" s="53" t="s">
        <v>145</v>
      </c>
      <c r="C12" s="59" t="s">
        <v>54</v>
      </c>
      <c r="D12" s="60">
        <v>2.2000000000000002</v>
      </c>
      <c r="E12" s="120">
        <v>84163.199999999997</v>
      </c>
      <c r="F12" s="17">
        <v>1405239</v>
      </c>
      <c r="G12" s="17">
        <v>188823.8</v>
      </c>
      <c r="H12" s="17">
        <v>28778.199999999997</v>
      </c>
      <c r="I12" s="17"/>
      <c r="J12" s="36"/>
      <c r="K12" s="36">
        <v>736078.2</v>
      </c>
      <c r="L12" s="530">
        <v>2436.9600000000792</v>
      </c>
      <c r="M12" s="362">
        <v>12753.4</v>
      </c>
      <c r="N12" s="536">
        <f>97257.6-11</f>
        <v>97246.6</v>
      </c>
      <c r="O12" s="361">
        <f>130849.4+2.2</f>
        <v>130851.59999999999</v>
      </c>
      <c r="P12" s="164"/>
      <c r="Q12" s="24">
        <f t="shared" ref="Q12:Q17" si="9">+SUM(E12:P12)</f>
        <v>2686370.96</v>
      </c>
      <c r="R12" s="5">
        <f t="shared" ref="R12:R17" si="10">+Q12/1.09</f>
        <v>2464560.5137614678</v>
      </c>
      <c r="S12" s="5">
        <f t="shared" ref="S12:S17" si="11">+Q12-R12</f>
        <v>221810.4462385322</v>
      </c>
      <c r="T12" s="5">
        <f t="shared" ref="T12:T17" si="12">Q12/D12</f>
        <v>1221077.709090909</v>
      </c>
      <c r="U12" s="2"/>
      <c r="V12" s="61"/>
      <c r="W12" s="13"/>
    </row>
    <row r="13" spans="1:23" ht="14.4" x14ac:dyDescent="0.3">
      <c r="A13" s="58" t="s">
        <v>55</v>
      </c>
      <c r="B13" s="53" t="s">
        <v>139</v>
      </c>
      <c r="C13" s="59" t="s">
        <v>92</v>
      </c>
      <c r="D13" s="60">
        <v>1.1000000000000001</v>
      </c>
      <c r="E13" s="120">
        <v>22093.5</v>
      </c>
      <c r="F13" s="17">
        <v>454180.1</v>
      </c>
      <c r="G13" s="17">
        <v>70645.299999999988</v>
      </c>
      <c r="H13" s="17">
        <v>11059.400000000001</v>
      </c>
      <c r="I13" s="17"/>
      <c r="J13" s="36"/>
      <c r="K13" s="36">
        <v>77379.5</v>
      </c>
      <c r="L13" s="531">
        <v>267.30000000001746</v>
      </c>
      <c r="M13" s="17">
        <v>6404.2</v>
      </c>
      <c r="N13" s="127">
        <v>2965.6000000000008</v>
      </c>
      <c r="O13" s="96">
        <v>9775.7000000000007</v>
      </c>
      <c r="P13" s="164"/>
      <c r="Q13" s="24">
        <f t="shared" si="9"/>
        <v>654770.59999999986</v>
      </c>
      <c r="R13" s="5">
        <f t="shared" si="10"/>
        <v>600706.972477064</v>
      </c>
      <c r="S13" s="5">
        <f t="shared" si="11"/>
        <v>54063.627522935858</v>
      </c>
      <c r="T13" s="5">
        <f t="shared" si="12"/>
        <v>595245.99999999977</v>
      </c>
      <c r="U13" s="71"/>
      <c r="V13" s="107">
        <v>1.1000000000000001</v>
      </c>
      <c r="W13" s="13">
        <f t="shared" ref="W13:W14" si="13">+T13*V13</f>
        <v>654770.59999999974</v>
      </c>
    </row>
    <row r="14" spans="1:23" ht="14.4" x14ac:dyDescent="0.3">
      <c r="A14" s="58" t="s">
        <v>56</v>
      </c>
      <c r="B14" s="53" t="s">
        <v>140</v>
      </c>
      <c r="C14" s="59" t="s">
        <v>93</v>
      </c>
      <c r="D14" s="62">
        <v>0.44</v>
      </c>
      <c r="E14" s="120">
        <v>214.72</v>
      </c>
      <c r="F14" s="17">
        <v>4854.08</v>
      </c>
      <c r="G14" s="17">
        <v>701.36</v>
      </c>
      <c r="H14" s="17">
        <v>131.12</v>
      </c>
      <c r="I14" s="17"/>
      <c r="J14" s="36"/>
      <c r="K14" s="36">
        <v>1227.1600000000001</v>
      </c>
      <c r="L14" s="531">
        <v>6.9100000000003092</v>
      </c>
      <c r="M14" s="17">
        <v>48.4</v>
      </c>
      <c r="N14" s="127">
        <v>550.87999999999988</v>
      </c>
      <c r="O14" s="96">
        <v>161.04</v>
      </c>
      <c r="P14" s="164"/>
      <c r="Q14" s="24">
        <f t="shared" si="9"/>
        <v>7895.67</v>
      </c>
      <c r="R14" s="5">
        <f t="shared" si="10"/>
        <v>7243.7339449541278</v>
      </c>
      <c r="S14" s="5">
        <f t="shared" si="11"/>
        <v>651.93605504587231</v>
      </c>
      <c r="T14" s="5">
        <f t="shared" si="12"/>
        <v>17944.704545454544</v>
      </c>
      <c r="U14" s="71"/>
      <c r="V14" s="61">
        <v>1.76</v>
      </c>
      <c r="W14" s="13">
        <f t="shared" si="13"/>
        <v>31582.679999999997</v>
      </c>
    </row>
    <row r="15" spans="1:23" ht="14.4" x14ac:dyDescent="0.3">
      <c r="A15" s="58" t="s">
        <v>57</v>
      </c>
      <c r="B15" s="53" t="s">
        <v>192</v>
      </c>
      <c r="C15" s="59" t="s">
        <v>58</v>
      </c>
      <c r="D15" s="62">
        <v>3.2</v>
      </c>
      <c r="E15" s="120">
        <v>899.2</v>
      </c>
      <c r="F15" s="17">
        <v>21056</v>
      </c>
      <c r="G15" s="17">
        <v>3372.8</v>
      </c>
      <c r="H15" s="17">
        <v>140.80000000000001</v>
      </c>
      <c r="I15" s="17"/>
      <c r="J15" s="36"/>
      <c r="K15" s="36">
        <v>129987.2</v>
      </c>
      <c r="L15" s="531">
        <v>518.00000000001455</v>
      </c>
      <c r="M15" s="17">
        <v>89.6</v>
      </c>
      <c r="N15" s="127">
        <v>9228.7999999999993</v>
      </c>
      <c r="O15" s="96">
        <v>8137.6</v>
      </c>
      <c r="P15" s="164"/>
      <c r="Q15" s="24">
        <f t="shared" si="9"/>
        <v>173430</v>
      </c>
      <c r="R15" s="5">
        <f t="shared" si="10"/>
        <v>159110.09174311926</v>
      </c>
      <c r="S15" s="5">
        <f t="shared" si="11"/>
        <v>14319.908256880735</v>
      </c>
      <c r="T15" s="5">
        <f t="shared" si="12"/>
        <v>54196.875</v>
      </c>
      <c r="U15" s="71"/>
      <c r="V15" s="61"/>
      <c r="W15" s="13"/>
    </row>
    <row r="16" spans="1:23" ht="14.4" x14ac:dyDescent="0.3">
      <c r="A16" s="58" t="s">
        <v>59</v>
      </c>
      <c r="B16" s="53" t="s">
        <v>193</v>
      </c>
      <c r="C16" s="59" t="s">
        <v>94</v>
      </c>
      <c r="D16" s="62">
        <v>1.6</v>
      </c>
      <c r="E16" s="120">
        <v>256</v>
      </c>
      <c r="F16" s="17">
        <v>4307.2</v>
      </c>
      <c r="G16" s="17">
        <v>892.80000000000007</v>
      </c>
      <c r="H16" s="17">
        <v>102.4</v>
      </c>
      <c r="I16" s="17"/>
      <c r="J16" s="36"/>
      <c r="K16" s="36">
        <v>14905.6</v>
      </c>
      <c r="L16" s="531">
        <v>75.199999999998909</v>
      </c>
      <c r="M16" s="17">
        <v>52.8</v>
      </c>
      <c r="N16" s="127">
        <v>531.20000000000005</v>
      </c>
      <c r="O16" s="96">
        <v>694.4</v>
      </c>
      <c r="P16" s="164"/>
      <c r="Q16" s="24">
        <f t="shared" si="9"/>
        <v>21817.599999999999</v>
      </c>
      <c r="R16" s="5">
        <f t="shared" si="10"/>
        <v>20016.146788990824</v>
      </c>
      <c r="S16" s="5">
        <f t="shared" si="11"/>
        <v>1801.453211009175</v>
      </c>
      <c r="T16" s="5">
        <f t="shared" si="12"/>
        <v>13635.999999999998</v>
      </c>
      <c r="U16" s="71"/>
      <c r="V16" s="61">
        <v>1.6</v>
      </c>
      <c r="W16" s="13">
        <f t="shared" ref="W16:W17" si="14">+T16*V16</f>
        <v>21817.599999999999</v>
      </c>
    </row>
    <row r="17" spans="1:23" ht="14.4" x14ac:dyDescent="0.3">
      <c r="A17" s="58" t="s">
        <v>60</v>
      </c>
      <c r="B17" s="53" t="s">
        <v>194</v>
      </c>
      <c r="C17" s="63" t="s">
        <v>95</v>
      </c>
      <c r="D17" s="63">
        <v>0.64</v>
      </c>
      <c r="E17" s="249">
        <v>12.800088000000001</v>
      </c>
      <c r="F17" s="17">
        <v>147.84</v>
      </c>
      <c r="G17" s="17">
        <v>16.64</v>
      </c>
      <c r="H17" s="18">
        <v>0</v>
      </c>
      <c r="I17" s="18"/>
      <c r="J17" s="144"/>
      <c r="K17" s="144">
        <v>311.04000000000002</v>
      </c>
      <c r="L17" s="532">
        <v>0</v>
      </c>
      <c r="M17" s="18"/>
      <c r="N17" s="127">
        <v>190.07999999999998</v>
      </c>
      <c r="O17" s="148"/>
      <c r="P17" s="164"/>
      <c r="Q17" s="24">
        <f t="shared" si="9"/>
        <v>678.40008799999998</v>
      </c>
      <c r="R17" s="5">
        <f t="shared" si="10"/>
        <v>622.38540183486236</v>
      </c>
      <c r="S17" s="5">
        <f t="shared" si="11"/>
        <v>56.014686165137618</v>
      </c>
      <c r="T17" s="6">
        <f t="shared" si="12"/>
        <v>1060.0001374999999</v>
      </c>
      <c r="U17" s="71"/>
      <c r="V17" s="61">
        <v>2.56</v>
      </c>
      <c r="W17" s="13">
        <f t="shared" si="14"/>
        <v>2713.6003519999999</v>
      </c>
    </row>
    <row r="18" spans="1:23" ht="12" customHeight="1" x14ac:dyDescent="0.25">
      <c r="A18" s="70" t="s">
        <v>15</v>
      </c>
      <c r="B18" s="52" t="s">
        <v>33</v>
      </c>
      <c r="C18" s="9" t="s">
        <v>141</v>
      </c>
      <c r="D18" s="78"/>
      <c r="E18" s="118">
        <f>+SUM(E19:E43)</f>
        <v>304629</v>
      </c>
      <c r="F18" s="118">
        <f t="shared" ref="F18:T18" si="15">+SUM(F19:F43)</f>
        <v>4579139</v>
      </c>
      <c r="G18" s="231">
        <f t="shared" si="15"/>
        <v>645581</v>
      </c>
      <c r="H18" s="118">
        <f t="shared" si="15"/>
        <v>129735</v>
      </c>
      <c r="I18" s="231">
        <f t="shared" si="15"/>
        <v>0</v>
      </c>
      <c r="J18" s="118">
        <f t="shared" si="15"/>
        <v>0</v>
      </c>
      <c r="K18" s="118">
        <f t="shared" si="15"/>
        <v>0</v>
      </c>
      <c r="L18" s="118">
        <f t="shared" si="15"/>
        <v>0</v>
      </c>
      <c r="M18" s="118">
        <f t="shared" si="15"/>
        <v>46737</v>
      </c>
      <c r="N18" s="231">
        <f t="shared" ref="N18" si="16">+SUM(N19:N43)</f>
        <v>46464</v>
      </c>
      <c r="O18" s="118">
        <f>+SUM(O19:O43)</f>
        <v>429755</v>
      </c>
      <c r="P18" s="118">
        <f t="shared" ref="P18" si="17">+SUM(P19:P43)</f>
        <v>0</v>
      </c>
      <c r="Q18" s="42">
        <f>+SUM(Q19:Q43)</f>
        <v>6182040</v>
      </c>
      <c r="R18" s="118">
        <f t="shared" si="15"/>
        <v>5671596.3302752282</v>
      </c>
      <c r="S18" s="118">
        <f t="shared" si="15"/>
        <v>510443.66972477123</v>
      </c>
      <c r="T18" s="253">
        <f t="shared" si="15"/>
        <v>115472</v>
      </c>
      <c r="U18" s="71"/>
      <c r="V18" s="61"/>
      <c r="W18" s="105">
        <f>+SUM(W19:W43)</f>
        <v>5225920</v>
      </c>
    </row>
    <row r="19" spans="1:23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19">
        <v>195599.99999999997</v>
      </c>
      <c r="F19" s="92">
        <v>2686200</v>
      </c>
      <c r="G19" s="92">
        <v>362400</v>
      </c>
      <c r="H19" s="92">
        <v>67000</v>
      </c>
      <c r="I19" s="28"/>
      <c r="J19" s="367"/>
      <c r="K19" s="367"/>
      <c r="L19" s="367"/>
      <c r="M19" s="367">
        <v>26800</v>
      </c>
      <c r="N19" s="127">
        <v>29800</v>
      </c>
      <c r="O19" s="483">
        <f>229800-100</f>
        <v>229700</v>
      </c>
      <c r="P19" s="434"/>
      <c r="Q19" s="24">
        <f t="shared" ref="Q19:Q43" si="18">+SUM(E19:P19)</f>
        <v>3597500</v>
      </c>
      <c r="R19" s="99">
        <f t="shared" ref="R19:R43" si="19">+Q19/1.09</f>
        <v>3300458.7155963299</v>
      </c>
      <c r="S19" s="24">
        <f>+Q19-R19</f>
        <v>297041.28440367011</v>
      </c>
      <c r="T19" s="24">
        <f t="shared" ref="T19:T43" si="20">Q19/D19</f>
        <v>35975</v>
      </c>
      <c r="U19" s="41"/>
      <c r="V19" s="61"/>
      <c r="W19" s="106"/>
    </row>
    <row r="20" spans="1:23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20">
        <v>38799.999999999993</v>
      </c>
      <c r="F20" s="48">
        <v>762050</v>
      </c>
      <c r="G20" s="48">
        <v>107200</v>
      </c>
      <c r="H20" s="48">
        <v>25750</v>
      </c>
      <c r="I20" s="17"/>
      <c r="J20" s="36"/>
      <c r="K20" s="36"/>
      <c r="L20" s="36"/>
      <c r="M20" s="36">
        <v>11200</v>
      </c>
      <c r="N20" s="127">
        <v>350</v>
      </c>
      <c r="O20" s="17">
        <v>13000</v>
      </c>
      <c r="P20" s="355"/>
      <c r="Q20" s="24">
        <f t="shared" si="18"/>
        <v>958350</v>
      </c>
      <c r="R20" s="5">
        <f t="shared" si="19"/>
        <v>879220.18348623847</v>
      </c>
      <c r="S20" s="5">
        <f t="shared" ref="S20:S43" si="21">+Q20-R20</f>
        <v>79129.816513761529</v>
      </c>
      <c r="T20" s="5">
        <f t="shared" si="20"/>
        <v>19167</v>
      </c>
      <c r="U20" s="41"/>
      <c r="V20" s="61">
        <v>50</v>
      </c>
      <c r="W20" s="13">
        <f t="shared" ref="W20:W21" si="22">+T20*V20</f>
        <v>958350</v>
      </c>
    </row>
    <row r="21" spans="1:23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20">
        <v>43560</v>
      </c>
      <c r="F21" s="96">
        <v>728320</v>
      </c>
      <c r="G21" s="96">
        <v>120160</v>
      </c>
      <c r="H21" s="96">
        <v>10180</v>
      </c>
      <c r="I21" s="17"/>
      <c r="J21" s="36"/>
      <c r="K21" s="36"/>
      <c r="L21" s="36"/>
      <c r="M21" s="36">
        <v>4040</v>
      </c>
      <c r="N21" s="221">
        <v>9360</v>
      </c>
      <c r="O21" s="17">
        <v>78620</v>
      </c>
      <c r="P21" s="355"/>
      <c r="Q21" s="24">
        <f t="shared" si="18"/>
        <v>994240</v>
      </c>
      <c r="R21" s="5">
        <f t="shared" si="19"/>
        <v>912146.78899082565</v>
      </c>
      <c r="S21" s="5">
        <f t="shared" si="21"/>
        <v>82093.211009174353</v>
      </c>
      <c r="T21" s="402">
        <f t="shared" si="20"/>
        <v>49712</v>
      </c>
      <c r="U21" s="41"/>
      <c r="V21" s="61">
        <v>80</v>
      </c>
      <c r="W21" s="13">
        <f t="shared" si="22"/>
        <v>3976960</v>
      </c>
    </row>
    <row r="22" spans="1:23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20">
        <v>20879.999999999996</v>
      </c>
      <c r="F22" s="96">
        <v>283140</v>
      </c>
      <c r="G22" s="96">
        <v>43200</v>
      </c>
      <c r="H22" s="96">
        <v>12600</v>
      </c>
      <c r="I22" s="17"/>
      <c r="J22" s="36"/>
      <c r="K22" s="36"/>
      <c r="L22" s="36"/>
      <c r="M22" s="36">
        <v>2880</v>
      </c>
      <c r="N22" s="401">
        <v>4410</v>
      </c>
      <c r="O22" s="400">
        <v>55890</v>
      </c>
      <c r="P22" s="355"/>
      <c r="Q22" s="24">
        <f t="shared" si="18"/>
        <v>423000</v>
      </c>
      <c r="R22" s="5">
        <f t="shared" si="19"/>
        <v>388073.39449541282</v>
      </c>
      <c r="S22" s="5">
        <f t="shared" si="21"/>
        <v>34926.605504587176</v>
      </c>
      <c r="T22" s="5">
        <f t="shared" si="20"/>
        <v>4700</v>
      </c>
      <c r="U22" s="41"/>
      <c r="V22" s="61"/>
      <c r="W22" s="13"/>
    </row>
    <row r="23" spans="1:23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20">
        <v>1304.9999999999998</v>
      </c>
      <c r="F23" s="96">
        <v>19125</v>
      </c>
      <c r="G23" s="96">
        <v>2700</v>
      </c>
      <c r="H23" s="96">
        <v>945</v>
      </c>
      <c r="I23" s="17"/>
      <c r="J23" s="36"/>
      <c r="K23" s="36"/>
      <c r="L23" s="36"/>
      <c r="M23" s="36">
        <v>135</v>
      </c>
      <c r="N23" s="127">
        <v>0</v>
      </c>
      <c r="O23" s="17">
        <v>2430</v>
      </c>
      <c r="P23" s="355"/>
      <c r="Q23" s="24">
        <f t="shared" si="18"/>
        <v>26640</v>
      </c>
      <c r="R23" s="5">
        <f t="shared" si="19"/>
        <v>24440.366972477063</v>
      </c>
      <c r="S23" s="5">
        <f t="shared" si="21"/>
        <v>2199.6330275229375</v>
      </c>
      <c r="T23" s="5">
        <f t="shared" si="20"/>
        <v>592</v>
      </c>
      <c r="U23" s="35"/>
      <c r="V23" s="61">
        <v>45</v>
      </c>
      <c r="W23" s="13">
        <f t="shared" ref="W23:W24" si="23">+T23*V23</f>
        <v>26640</v>
      </c>
    </row>
    <row r="24" spans="1:23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20">
        <v>1115.9999999999998</v>
      </c>
      <c r="F24" s="96">
        <v>10404</v>
      </c>
      <c r="G24" s="96">
        <v>1872</v>
      </c>
      <c r="H24" s="96">
        <v>288</v>
      </c>
      <c r="I24" s="17"/>
      <c r="J24" s="36"/>
      <c r="K24" s="36"/>
      <c r="L24" s="36"/>
      <c r="M24" s="36">
        <v>72</v>
      </c>
      <c r="N24" s="127">
        <v>540</v>
      </c>
      <c r="O24" s="17">
        <v>4104</v>
      </c>
      <c r="P24" s="355"/>
      <c r="Q24" s="24">
        <f t="shared" si="18"/>
        <v>18396</v>
      </c>
      <c r="R24" s="5">
        <f t="shared" si="19"/>
        <v>16877.064220183485</v>
      </c>
      <c r="S24" s="5">
        <f t="shared" si="21"/>
        <v>1518.9357798165147</v>
      </c>
      <c r="T24" s="5">
        <f t="shared" si="20"/>
        <v>1022</v>
      </c>
      <c r="U24" s="35"/>
      <c r="V24" s="61">
        <v>72</v>
      </c>
      <c r="W24" s="13">
        <f t="shared" si="23"/>
        <v>73584</v>
      </c>
    </row>
    <row r="25" spans="1:23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20">
        <v>299.99999999999994</v>
      </c>
      <c r="F25" s="96">
        <v>22500</v>
      </c>
      <c r="G25" s="96">
        <v>900</v>
      </c>
      <c r="H25" s="96">
        <v>1500</v>
      </c>
      <c r="I25" s="17"/>
      <c r="J25" s="36"/>
      <c r="K25" s="36"/>
      <c r="L25" s="36"/>
      <c r="M25" s="36"/>
      <c r="N25" s="127">
        <v>600</v>
      </c>
      <c r="O25" s="17">
        <v>10200</v>
      </c>
      <c r="P25" s="355"/>
      <c r="Q25" s="24">
        <f t="shared" si="18"/>
        <v>36000</v>
      </c>
      <c r="R25" s="5">
        <f t="shared" si="19"/>
        <v>33027.522935779816</v>
      </c>
      <c r="S25" s="5">
        <f t="shared" si="21"/>
        <v>2972.4770642201838</v>
      </c>
      <c r="T25" s="5">
        <f t="shared" si="20"/>
        <v>120</v>
      </c>
      <c r="U25" s="35"/>
      <c r="V25" s="61"/>
      <c r="W25" s="13"/>
    </row>
    <row r="26" spans="1:23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20">
        <v>599.99999999999989</v>
      </c>
      <c r="F26" s="96">
        <v>15150</v>
      </c>
      <c r="G26" s="96">
        <v>1050</v>
      </c>
      <c r="H26" s="96">
        <v>2700</v>
      </c>
      <c r="I26" s="17"/>
      <c r="J26" s="36"/>
      <c r="K26" s="36"/>
      <c r="L26" s="36"/>
      <c r="M26" s="36">
        <v>600</v>
      </c>
      <c r="N26" s="127">
        <v>150</v>
      </c>
      <c r="O26" s="17">
        <v>4650</v>
      </c>
      <c r="P26" s="355"/>
      <c r="Q26" s="24">
        <f t="shared" si="18"/>
        <v>24900</v>
      </c>
      <c r="R26" s="5">
        <f t="shared" si="19"/>
        <v>22844.036697247706</v>
      </c>
      <c r="S26" s="5">
        <f t="shared" si="21"/>
        <v>2055.9633027522941</v>
      </c>
      <c r="T26" s="5">
        <f t="shared" si="20"/>
        <v>166</v>
      </c>
      <c r="U26" s="35"/>
      <c r="V26" s="61">
        <v>150</v>
      </c>
      <c r="W26" s="13">
        <f t="shared" ref="W26:W42" si="24">+T26*V26</f>
        <v>24900</v>
      </c>
    </row>
    <row r="27" spans="1:23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20">
        <v>959.99999999999989</v>
      </c>
      <c r="F27" s="96">
        <v>14580</v>
      </c>
      <c r="G27" s="96">
        <v>1860</v>
      </c>
      <c r="H27" s="96">
        <v>540</v>
      </c>
      <c r="I27" s="17"/>
      <c r="J27" s="36"/>
      <c r="K27" s="36"/>
      <c r="L27" s="36"/>
      <c r="M27" s="36">
        <v>180</v>
      </c>
      <c r="N27" s="127">
        <v>300</v>
      </c>
      <c r="O27" s="17">
        <v>10620</v>
      </c>
      <c r="P27" s="355"/>
      <c r="Q27" s="24">
        <f t="shared" si="18"/>
        <v>29040</v>
      </c>
      <c r="R27" s="5">
        <f t="shared" si="19"/>
        <v>26642.201834862382</v>
      </c>
      <c r="S27" s="5">
        <f t="shared" si="21"/>
        <v>2397.7981651376176</v>
      </c>
      <c r="T27" s="5">
        <f t="shared" si="20"/>
        <v>484</v>
      </c>
      <c r="U27" s="35"/>
      <c r="V27" s="61">
        <v>240</v>
      </c>
      <c r="W27" s="13">
        <f t="shared" si="24"/>
        <v>116160</v>
      </c>
    </row>
    <row r="28" spans="1:23" x14ac:dyDescent="0.25">
      <c r="A28" s="46" t="s">
        <v>76</v>
      </c>
      <c r="B28" s="53" t="s">
        <v>124</v>
      </c>
      <c r="C28" s="59" t="s">
        <v>180</v>
      </c>
      <c r="D28" s="60">
        <v>270</v>
      </c>
      <c r="E28" s="120"/>
      <c r="F28" s="96">
        <v>1350</v>
      </c>
      <c r="G28" s="96">
        <v>270</v>
      </c>
      <c r="H28" s="96">
        <v>270</v>
      </c>
      <c r="I28" s="17"/>
      <c r="J28" s="36"/>
      <c r="K28" s="36"/>
      <c r="L28" s="36"/>
      <c r="M28" s="36"/>
      <c r="N28" s="127">
        <v>0</v>
      </c>
      <c r="O28" s="17">
        <v>13500</v>
      </c>
      <c r="P28" s="355"/>
      <c r="Q28" s="24">
        <f t="shared" si="18"/>
        <v>15390</v>
      </c>
      <c r="R28" s="5">
        <f t="shared" si="19"/>
        <v>14119.266055045871</v>
      </c>
      <c r="S28" s="5">
        <f t="shared" si="21"/>
        <v>1270.7339449541287</v>
      </c>
      <c r="T28" s="5">
        <f t="shared" si="20"/>
        <v>57</v>
      </c>
      <c r="U28" s="35"/>
      <c r="V28" s="61"/>
      <c r="W28" s="13"/>
    </row>
    <row r="29" spans="1:23" x14ac:dyDescent="0.25">
      <c r="A29" s="46" t="s">
        <v>77</v>
      </c>
      <c r="B29" s="53" t="s">
        <v>125</v>
      </c>
      <c r="C29" s="59" t="s">
        <v>181</v>
      </c>
      <c r="D29" s="60">
        <v>135</v>
      </c>
      <c r="E29" s="120"/>
      <c r="F29" s="96">
        <v>0</v>
      </c>
      <c r="G29" s="96">
        <v>135</v>
      </c>
      <c r="H29" s="96">
        <v>0</v>
      </c>
      <c r="I29" s="17"/>
      <c r="J29" s="36"/>
      <c r="K29" s="36"/>
      <c r="L29" s="36"/>
      <c r="M29" s="36"/>
      <c r="N29" s="127">
        <v>0</v>
      </c>
      <c r="O29" s="17">
        <v>135</v>
      </c>
      <c r="P29" s="355"/>
      <c r="Q29" s="24">
        <f t="shared" si="18"/>
        <v>270</v>
      </c>
      <c r="R29" s="5">
        <f t="shared" si="19"/>
        <v>247.7064220183486</v>
      </c>
      <c r="S29" s="5">
        <f t="shared" si="21"/>
        <v>22.293577981651396</v>
      </c>
      <c r="T29" s="5">
        <f t="shared" si="20"/>
        <v>2</v>
      </c>
      <c r="U29" s="35"/>
      <c r="V29" s="61">
        <v>135</v>
      </c>
      <c r="W29" s="13">
        <f t="shared" si="24"/>
        <v>270</v>
      </c>
    </row>
    <row r="30" spans="1:23" x14ac:dyDescent="0.25">
      <c r="A30" s="46" t="s">
        <v>78</v>
      </c>
      <c r="B30" s="53" t="s">
        <v>126</v>
      </c>
      <c r="C30" s="59" t="s">
        <v>182</v>
      </c>
      <c r="D30" s="60">
        <v>54</v>
      </c>
      <c r="E30" s="120">
        <v>107.99999999999999</v>
      </c>
      <c r="F30" s="96">
        <v>540</v>
      </c>
      <c r="G30" s="96">
        <v>54</v>
      </c>
      <c r="H30" s="96">
        <v>162</v>
      </c>
      <c r="I30" s="17"/>
      <c r="J30" s="36"/>
      <c r="K30" s="36"/>
      <c r="L30" s="36"/>
      <c r="M30" s="36"/>
      <c r="N30" s="127">
        <v>54</v>
      </c>
      <c r="O30" s="17">
        <v>810</v>
      </c>
      <c r="P30" s="355"/>
      <c r="Q30" s="24">
        <f t="shared" si="18"/>
        <v>1728</v>
      </c>
      <c r="R30" s="5">
        <f t="shared" si="19"/>
        <v>1585.3211009174311</v>
      </c>
      <c r="S30" s="5">
        <f t="shared" si="21"/>
        <v>142.67889908256893</v>
      </c>
      <c r="T30" s="5">
        <f t="shared" si="20"/>
        <v>32</v>
      </c>
      <c r="U30" s="35"/>
      <c r="V30" s="61">
        <v>216</v>
      </c>
      <c r="W30" s="13">
        <f t="shared" si="24"/>
        <v>6912</v>
      </c>
    </row>
    <row r="31" spans="1:23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20"/>
      <c r="F31" s="96">
        <v>4200</v>
      </c>
      <c r="G31" s="96">
        <v>600</v>
      </c>
      <c r="H31" s="96">
        <v>600</v>
      </c>
      <c r="I31" s="17"/>
      <c r="J31" s="36"/>
      <c r="K31" s="36"/>
      <c r="L31" s="36"/>
      <c r="M31" s="36"/>
      <c r="N31" s="127">
        <v>0</v>
      </c>
      <c r="O31" s="17">
        <v>600</v>
      </c>
      <c r="P31" s="355"/>
      <c r="Q31" s="24">
        <f t="shared" si="18"/>
        <v>6000</v>
      </c>
      <c r="R31" s="5">
        <f t="shared" si="19"/>
        <v>5504.5871559633024</v>
      </c>
      <c r="S31" s="5">
        <f t="shared" si="21"/>
        <v>495.41284403669761</v>
      </c>
      <c r="T31" s="5">
        <f t="shared" si="20"/>
        <v>10</v>
      </c>
      <c r="U31" s="35"/>
      <c r="V31" s="61"/>
      <c r="W31" s="13"/>
    </row>
    <row r="32" spans="1:23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20">
        <v>299.99999999999994</v>
      </c>
      <c r="F32" s="96">
        <v>2100</v>
      </c>
      <c r="G32" s="96">
        <v>300</v>
      </c>
      <c r="H32" s="96">
        <v>300</v>
      </c>
      <c r="I32" s="17"/>
      <c r="J32" s="36"/>
      <c r="K32" s="36"/>
      <c r="L32" s="36"/>
      <c r="M32" s="36"/>
      <c r="N32" s="127">
        <v>0</v>
      </c>
      <c r="O32" s="17"/>
      <c r="P32" s="355"/>
      <c r="Q32" s="24">
        <f t="shared" si="18"/>
        <v>3000</v>
      </c>
      <c r="R32" s="5">
        <f t="shared" si="19"/>
        <v>2752.2935779816512</v>
      </c>
      <c r="S32" s="5">
        <f t="shared" si="21"/>
        <v>247.7064220183488</v>
      </c>
      <c r="T32" s="5">
        <f t="shared" si="20"/>
        <v>10</v>
      </c>
      <c r="U32" s="35"/>
      <c r="V32" s="61">
        <v>300</v>
      </c>
      <c r="W32" s="13">
        <f t="shared" si="24"/>
        <v>3000</v>
      </c>
    </row>
    <row r="33" spans="1:23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20">
        <v>360</v>
      </c>
      <c r="F33" s="96">
        <v>2640</v>
      </c>
      <c r="G33" s="96">
        <v>120</v>
      </c>
      <c r="H33" s="96">
        <v>240</v>
      </c>
      <c r="I33" s="17"/>
      <c r="J33" s="36"/>
      <c r="K33" s="36"/>
      <c r="L33" s="36"/>
      <c r="M33" s="36"/>
      <c r="N33" s="127">
        <v>720</v>
      </c>
      <c r="O33" s="17">
        <v>3600</v>
      </c>
      <c r="P33" s="355"/>
      <c r="Q33" s="24">
        <f t="shared" si="18"/>
        <v>7680</v>
      </c>
      <c r="R33" s="5">
        <f t="shared" si="19"/>
        <v>7045.8715596330267</v>
      </c>
      <c r="S33" s="5">
        <f t="shared" si="21"/>
        <v>634.12844036697334</v>
      </c>
      <c r="T33" s="5">
        <f t="shared" si="20"/>
        <v>64</v>
      </c>
      <c r="U33" s="35"/>
      <c r="V33" s="61">
        <v>480</v>
      </c>
      <c r="W33" s="13">
        <f t="shared" si="24"/>
        <v>30720</v>
      </c>
    </row>
    <row r="34" spans="1:23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20"/>
      <c r="F34" s="96">
        <v>540</v>
      </c>
      <c r="G34" s="96"/>
      <c r="H34" s="96">
        <v>540</v>
      </c>
      <c r="I34" s="17"/>
      <c r="J34" s="36"/>
      <c r="K34" s="36"/>
      <c r="L34" s="36"/>
      <c r="M34" s="36">
        <v>540</v>
      </c>
      <c r="N34" s="127">
        <v>0</v>
      </c>
      <c r="O34" s="17"/>
      <c r="P34" s="355"/>
      <c r="Q34" s="24">
        <f t="shared" si="18"/>
        <v>1620</v>
      </c>
      <c r="R34" s="5">
        <f t="shared" si="19"/>
        <v>1486.2385321100917</v>
      </c>
      <c r="S34" s="5">
        <f t="shared" si="21"/>
        <v>133.76146788990832</v>
      </c>
      <c r="T34" s="5">
        <f t="shared" si="20"/>
        <v>3</v>
      </c>
      <c r="U34" s="35"/>
      <c r="V34" s="61"/>
      <c r="W34" s="13"/>
    </row>
    <row r="35" spans="1:23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20"/>
      <c r="F35" s="96">
        <v>540</v>
      </c>
      <c r="G35" s="96"/>
      <c r="H35" s="96"/>
      <c r="I35" s="17"/>
      <c r="J35" s="36"/>
      <c r="K35" s="36"/>
      <c r="L35" s="36"/>
      <c r="M35" s="36"/>
      <c r="N35" s="127">
        <v>0</v>
      </c>
      <c r="O35" s="17"/>
      <c r="P35" s="355"/>
      <c r="Q35" s="24">
        <f t="shared" si="18"/>
        <v>540</v>
      </c>
      <c r="R35" s="5">
        <f t="shared" si="19"/>
        <v>495.41284403669721</v>
      </c>
      <c r="S35" s="5">
        <f t="shared" si="21"/>
        <v>44.587155963302791</v>
      </c>
      <c r="T35" s="5">
        <f t="shared" si="20"/>
        <v>2</v>
      </c>
      <c r="U35" s="35"/>
      <c r="V35" s="61">
        <v>270</v>
      </c>
      <c r="W35" s="13">
        <f t="shared" si="24"/>
        <v>540</v>
      </c>
    </row>
    <row r="36" spans="1:23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20"/>
      <c r="F36" s="96">
        <v>0</v>
      </c>
      <c r="G36" s="96"/>
      <c r="H36" s="96"/>
      <c r="I36" s="17"/>
      <c r="J36" s="36"/>
      <c r="K36" s="36"/>
      <c r="L36" s="36"/>
      <c r="M36" s="36"/>
      <c r="N36" s="127">
        <v>0</v>
      </c>
      <c r="O36" s="17">
        <v>324</v>
      </c>
      <c r="P36" s="355"/>
      <c r="Q36" s="24">
        <f t="shared" si="18"/>
        <v>324</v>
      </c>
      <c r="R36" s="5">
        <f t="shared" si="19"/>
        <v>297.24770642201833</v>
      </c>
      <c r="S36" s="5">
        <f t="shared" si="21"/>
        <v>26.752293577981675</v>
      </c>
      <c r="T36" s="5">
        <f t="shared" si="20"/>
        <v>3</v>
      </c>
      <c r="U36" s="35"/>
      <c r="V36" s="61">
        <v>432</v>
      </c>
      <c r="W36" s="13">
        <f t="shared" si="24"/>
        <v>1296</v>
      </c>
    </row>
    <row r="37" spans="1:23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20"/>
      <c r="F37" s="96">
        <v>900</v>
      </c>
      <c r="G37" s="96"/>
      <c r="H37" s="96"/>
      <c r="I37" s="17"/>
      <c r="J37" s="36"/>
      <c r="K37" s="36"/>
      <c r="L37" s="36"/>
      <c r="M37" s="36"/>
      <c r="N37" s="127">
        <v>0</v>
      </c>
      <c r="O37" s="17"/>
      <c r="P37" s="355"/>
      <c r="Q37" s="24">
        <f t="shared" si="18"/>
        <v>900</v>
      </c>
      <c r="R37" s="5">
        <f t="shared" si="19"/>
        <v>825.6880733944954</v>
      </c>
      <c r="S37" s="5">
        <f t="shared" si="21"/>
        <v>74.311926605504595</v>
      </c>
      <c r="T37" s="5">
        <f t="shared" si="20"/>
        <v>1</v>
      </c>
      <c r="U37" s="35"/>
      <c r="V37" s="61"/>
      <c r="W37" s="13"/>
    </row>
    <row r="38" spans="1:23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20"/>
      <c r="F38" s="96">
        <v>0</v>
      </c>
      <c r="G38" s="96"/>
      <c r="H38" s="96">
        <v>900</v>
      </c>
      <c r="I38" s="17"/>
      <c r="J38" s="36"/>
      <c r="K38" s="36"/>
      <c r="L38" s="36"/>
      <c r="M38" s="36"/>
      <c r="N38" s="127">
        <v>0</v>
      </c>
      <c r="O38" s="17"/>
      <c r="P38" s="355"/>
      <c r="Q38" s="24">
        <f t="shared" si="18"/>
        <v>900</v>
      </c>
      <c r="R38" s="5">
        <f t="shared" si="19"/>
        <v>825.6880733944954</v>
      </c>
      <c r="S38" s="5">
        <f t="shared" si="21"/>
        <v>74.311926605504595</v>
      </c>
      <c r="T38" s="5">
        <f t="shared" si="20"/>
        <v>2</v>
      </c>
      <c r="U38" s="35"/>
      <c r="V38" s="61">
        <v>450</v>
      </c>
      <c r="W38" s="13">
        <f t="shared" si="24"/>
        <v>900</v>
      </c>
    </row>
    <row r="39" spans="1:23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20"/>
      <c r="F39" s="96">
        <v>540</v>
      </c>
      <c r="G39" s="96"/>
      <c r="H39" s="96"/>
      <c r="I39" s="17"/>
      <c r="J39" s="36"/>
      <c r="K39" s="36"/>
      <c r="L39" s="36"/>
      <c r="M39" s="36"/>
      <c r="N39" s="127">
        <v>180</v>
      </c>
      <c r="O39" s="17">
        <v>540</v>
      </c>
      <c r="P39" s="355"/>
      <c r="Q39" s="24">
        <f t="shared" si="18"/>
        <v>1260</v>
      </c>
      <c r="R39" s="5">
        <f t="shared" si="19"/>
        <v>1155.9633027522934</v>
      </c>
      <c r="S39" s="5">
        <f t="shared" si="21"/>
        <v>104.03669724770657</v>
      </c>
      <c r="T39" s="5">
        <f t="shared" si="20"/>
        <v>7</v>
      </c>
      <c r="U39" s="35"/>
      <c r="V39" s="61">
        <v>720</v>
      </c>
      <c r="W39" s="13">
        <f t="shared" si="24"/>
        <v>5040</v>
      </c>
    </row>
    <row r="40" spans="1:23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20"/>
      <c r="F40" s="96">
        <v>0</v>
      </c>
      <c r="G40" s="96"/>
      <c r="H40" s="96"/>
      <c r="I40" s="17"/>
      <c r="J40" s="36"/>
      <c r="K40" s="36"/>
      <c r="L40" s="36"/>
      <c r="M40" s="36"/>
      <c r="N40" s="127">
        <v>0</v>
      </c>
      <c r="O40" s="17">
        <v>810</v>
      </c>
      <c r="P40" s="355"/>
      <c r="Q40" s="24">
        <f t="shared" si="18"/>
        <v>810</v>
      </c>
      <c r="R40" s="5">
        <f t="shared" si="19"/>
        <v>743.11926605504584</v>
      </c>
      <c r="S40" s="5">
        <f t="shared" si="21"/>
        <v>66.880733944954159</v>
      </c>
      <c r="T40" s="5">
        <f t="shared" si="20"/>
        <v>1</v>
      </c>
      <c r="U40" s="71"/>
      <c r="V40" s="61"/>
      <c r="W40" s="13"/>
    </row>
    <row r="41" spans="1:23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20"/>
      <c r="F41" s="96">
        <v>0</v>
      </c>
      <c r="G41" s="96"/>
      <c r="H41" s="96"/>
      <c r="I41" s="17"/>
      <c r="J41" s="36"/>
      <c r="K41" s="36"/>
      <c r="L41" s="36"/>
      <c r="M41" s="36"/>
      <c r="N41" s="127">
        <v>0</v>
      </c>
      <c r="O41" s="17"/>
      <c r="P41" s="355"/>
      <c r="Q41" s="24">
        <f t="shared" si="18"/>
        <v>0</v>
      </c>
      <c r="R41" s="5">
        <f t="shared" si="19"/>
        <v>0</v>
      </c>
      <c r="S41" s="5">
        <f t="shared" si="21"/>
        <v>0</v>
      </c>
      <c r="T41" s="5">
        <f t="shared" si="20"/>
        <v>0</v>
      </c>
      <c r="U41" s="71"/>
      <c r="V41" s="61">
        <v>405</v>
      </c>
      <c r="W41" s="13">
        <f t="shared" si="24"/>
        <v>0</v>
      </c>
    </row>
    <row r="42" spans="1:23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249"/>
      <c r="F42" s="433">
        <v>0</v>
      </c>
      <c r="G42" s="433"/>
      <c r="H42" s="433"/>
      <c r="I42" s="196"/>
      <c r="J42" s="143"/>
      <c r="K42" s="143"/>
      <c r="L42" s="143"/>
      <c r="M42" s="143"/>
      <c r="N42" s="221">
        <v>0</v>
      </c>
      <c r="O42" s="17">
        <v>162</v>
      </c>
      <c r="P42" s="350"/>
      <c r="Q42" s="24">
        <f t="shared" si="18"/>
        <v>162</v>
      </c>
      <c r="R42" s="26">
        <f t="shared" si="19"/>
        <v>148.62385321100916</v>
      </c>
      <c r="S42" s="26">
        <f t="shared" si="21"/>
        <v>13.376146788990837</v>
      </c>
      <c r="T42" s="26">
        <f t="shared" si="20"/>
        <v>1</v>
      </c>
      <c r="U42" s="71"/>
      <c r="V42" s="61">
        <v>648</v>
      </c>
      <c r="W42" s="13">
        <f t="shared" si="24"/>
        <v>648</v>
      </c>
    </row>
    <row r="43" spans="1:23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24">
        <v>740</v>
      </c>
      <c r="F43" s="124">
        <v>24320</v>
      </c>
      <c r="G43" s="124">
        <v>2760</v>
      </c>
      <c r="H43" s="124">
        <v>5220</v>
      </c>
      <c r="I43" s="124"/>
      <c r="J43" s="124"/>
      <c r="K43" s="124"/>
      <c r="L43" s="124"/>
      <c r="M43" s="124">
        <v>290</v>
      </c>
      <c r="N43" s="124">
        <v>0</v>
      </c>
      <c r="O43" s="148">
        <v>60</v>
      </c>
      <c r="P43" s="352"/>
      <c r="Q43" s="24">
        <f t="shared" si="18"/>
        <v>33390</v>
      </c>
      <c r="R43" s="26">
        <f t="shared" si="19"/>
        <v>30633.027522935776</v>
      </c>
      <c r="S43" s="26">
        <f t="shared" si="21"/>
        <v>2756.9724770642242</v>
      </c>
      <c r="T43" s="26">
        <f t="shared" si="20"/>
        <v>3339</v>
      </c>
      <c r="U43" s="71"/>
      <c r="V43" s="61"/>
      <c r="W43" s="13"/>
    </row>
    <row r="44" spans="1:23" ht="12" customHeight="1" x14ac:dyDescent="0.25">
      <c r="A44" s="70" t="s">
        <v>16</v>
      </c>
      <c r="B44" s="52" t="s">
        <v>34</v>
      </c>
      <c r="C44" s="80" t="s">
        <v>91</v>
      </c>
      <c r="D44" s="78"/>
      <c r="E44" s="428">
        <f>+SUM(E45:E53)</f>
        <v>9762.1004457999989</v>
      </c>
      <c r="F44" s="426">
        <f>+SUM(F45:F53)</f>
        <v>166976.80000000002</v>
      </c>
      <c r="G44" s="426">
        <f t="shared" ref="G44:T44" si="25">+SUM(G45:G53)</f>
        <v>23469.899999999998</v>
      </c>
      <c r="H44" s="426">
        <f>+SUM(H45:H53)</f>
        <v>3864.3</v>
      </c>
      <c r="I44" s="426">
        <f t="shared" si="25"/>
        <v>0</v>
      </c>
      <c r="J44" s="426">
        <f t="shared" si="25"/>
        <v>0</v>
      </c>
      <c r="K44" s="426">
        <f t="shared" si="25"/>
        <v>0</v>
      </c>
      <c r="L44" s="426">
        <f t="shared" si="25"/>
        <v>0</v>
      </c>
      <c r="M44" s="426">
        <f t="shared" si="25"/>
        <v>985.8</v>
      </c>
      <c r="N44" s="426">
        <f t="shared" si="25"/>
        <v>5098</v>
      </c>
      <c r="O44" s="426">
        <f t="shared" si="25"/>
        <v>17827.8</v>
      </c>
      <c r="P44" s="427">
        <f t="shared" si="25"/>
        <v>0</v>
      </c>
      <c r="Q44" s="42">
        <f>+SUM(Q45:Q53)</f>
        <v>227984.7004458</v>
      </c>
      <c r="R44" s="82">
        <f t="shared" si="25"/>
        <v>209160.2756383486</v>
      </c>
      <c r="S44" s="82">
        <f t="shared" si="25"/>
        <v>18824.424807451393</v>
      </c>
      <c r="T44" s="19">
        <f t="shared" si="25"/>
        <v>32027.000059078862</v>
      </c>
      <c r="U44" s="71"/>
      <c r="V44" s="61"/>
      <c r="W44" s="105">
        <f>+SUM(W45:W68)</f>
        <v>334222.30146699998</v>
      </c>
    </row>
    <row r="45" spans="1:23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127">
        <v>912</v>
      </c>
      <c r="F45" s="28">
        <v>15300</v>
      </c>
      <c r="G45" s="28">
        <v>2172</v>
      </c>
      <c r="H45" s="524">
        <v>312</v>
      </c>
      <c r="I45" s="525"/>
      <c r="J45" s="526"/>
      <c r="K45" s="526"/>
      <c r="L45" s="526"/>
      <c r="M45" s="526">
        <v>84</v>
      </c>
      <c r="N45" s="127">
        <v>720</v>
      </c>
      <c r="O45" s="483">
        <f>1692-12</f>
        <v>1680</v>
      </c>
      <c r="P45" s="434"/>
      <c r="Q45" s="24">
        <f t="shared" ref="Q45:Q55" si="26">+SUM(E45:P45)</f>
        <v>21180</v>
      </c>
      <c r="R45" s="99">
        <f t="shared" ref="R45:R53" si="27">+Q45/1.09</f>
        <v>19431.192660550456</v>
      </c>
      <c r="S45" s="64">
        <f t="shared" ref="S45:S54" si="28">+Q45-R45</f>
        <v>1748.8073394495441</v>
      </c>
      <c r="T45" s="403">
        <f t="shared" ref="T45:T54" si="29">Q45/D45</f>
        <v>1765</v>
      </c>
      <c r="U45" s="71"/>
      <c r="V45" s="61"/>
      <c r="W45" s="13"/>
    </row>
    <row r="46" spans="1:23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123">
        <v>204.00010540000002</v>
      </c>
      <c r="F46" s="17">
        <v>1662</v>
      </c>
      <c r="G46" s="17">
        <v>240</v>
      </c>
      <c r="H46" s="524">
        <v>30</v>
      </c>
      <c r="I46" s="17"/>
      <c r="J46" s="36"/>
      <c r="K46" s="36"/>
      <c r="L46" s="36"/>
      <c r="M46" s="36">
        <v>24</v>
      </c>
      <c r="N46" s="127">
        <v>126</v>
      </c>
      <c r="O46" s="17">
        <v>186</v>
      </c>
      <c r="P46" s="355"/>
      <c r="Q46" s="24">
        <f t="shared" si="26"/>
        <v>2472.0001053999999</v>
      </c>
      <c r="R46" s="5">
        <f t="shared" si="27"/>
        <v>2267.890004954128</v>
      </c>
      <c r="S46" s="5">
        <f t="shared" si="28"/>
        <v>204.11010044587192</v>
      </c>
      <c r="T46" s="404">
        <f t="shared" si="29"/>
        <v>412.00001756666666</v>
      </c>
      <c r="U46" s="71"/>
      <c r="V46" s="61">
        <v>6</v>
      </c>
      <c r="W46" s="13">
        <f t="shared" ref="W46:W47" si="30">+T46*V46</f>
        <v>2472.0001053999999</v>
      </c>
    </row>
    <row r="47" spans="1:23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123">
        <v>1867.1999999999998</v>
      </c>
      <c r="F47" s="17">
        <v>38136</v>
      </c>
      <c r="G47" s="17">
        <v>5940</v>
      </c>
      <c r="H47" s="524">
        <v>220.8</v>
      </c>
      <c r="I47" s="17"/>
      <c r="J47" s="36"/>
      <c r="K47" s="36"/>
      <c r="L47" s="36"/>
      <c r="M47" s="36">
        <v>247.2</v>
      </c>
      <c r="N47" s="127">
        <v>1003.1999999999998</v>
      </c>
      <c r="O47" s="17">
        <v>2176.8000000000002</v>
      </c>
      <c r="P47" s="355"/>
      <c r="Q47" s="24">
        <f t="shared" si="26"/>
        <v>49591.199999999997</v>
      </c>
      <c r="R47" s="5">
        <f t="shared" si="27"/>
        <v>45496.513761467882</v>
      </c>
      <c r="S47" s="5">
        <f t="shared" si="28"/>
        <v>4094.6862385321147</v>
      </c>
      <c r="T47" s="404">
        <f t="shared" si="29"/>
        <v>20663</v>
      </c>
      <c r="U47" s="71"/>
      <c r="V47" s="61">
        <v>9.6</v>
      </c>
      <c r="W47" s="13">
        <f t="shared" si="30"/>
        <v>198364.79999999999</v>
      </c>
    </row>
    <row r="48" spans="1:23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123">
        <v>1071</v>
      </c>
      <c r="F48" s="17">
        <v>18480</v>
      </c>
      <c r="G48" s="17">
        <v>2394</v>
      </c>
      <c r="H48" s="17">
        <v>714</v>
      </c>
      <c r="I48" s="17"/>
      <c r="J48" s="36"/>
      <c r="K48" s="36"/>
      <c r="L48" s="36"/>
      <c r="M48" s="36">
        <v>84</v>
      </c>
      <c r="N48" s="127">
        <v>525</v>
      </c>
      <c r="O48" s="484">
        <f>2247-21</f>
        <v>2226</v>
      </c>
      <c r="P48" s="355"/>
      <c r="Q48" s="24">
        <f t="shared" si="26"/>
        <v>25494</v>
      </c>
      <c r="R48" s="5">
        <f t="shared" si="27"/>
        <v>23388.99082568807</v>
      </c>
      <c r="S48" s="5">
        <f t="shared" si="28"/>
        <v>2105.0091743119301</v>
      </c>
      <c r="T48" s="404">
        <f t="shared" si="29"/>
        <v>1214</v>
      </c>
      <c r="U48" s="71"/>
      <c r="V48" s="61"/>
      <c r="W48" s="13"/>
    </row>
    <row r="49" spans="1:23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123">
        <v>115.49999999999997</v>
      </c>
      <c r="F49" s="17">
        <v>1323</v>
      </c>
      <c r="G49" s="17">
        <v>294</v>
      </c>
      <c r="H49" s="17">
        <v>42</v>
      </c>
      <c r="I49" s="17"/>
      <c r="J49" s="36"/>
      <c r="K49" s="36"/>
      <c r="L49" s="36"/>
      <c r="M49" s="36">
        <v>21</v>
      </c>
      <c r="N49" s="127">
        <v>52.5</v>
      </c>
      <c r="O49" s="17">
        <v>136.5</v>
      </c>
      <c r="P49" s="355"/>
      <c r="Q49" s="24">
        <f t="shared" si="26"/>
        <v>1984.5</v>
      </c>
      <c r="R49" s="5">
        <f t="shared" si="27"/>
        <v>1820.6422018348624</v>
      </c>
      <c r="S49" s="5">
        <f t="shared" si="28"/>
        <v>163.85779816513764</v>
      </c>
      <c r="T49" s="5">
        <f t="shared" si="29"/>
        <v>189</v>
      </c>
      <c r="U49" s="71"/>
      <c r="V49" s="61">
        <v>10.5</v>
      </c>
      <c r="W49" s="13">
        <f t="shared" ref="W49:W50" si="31">+T49*V49</f>
        <v>1984.5</v>
      </c>
    </row>
    <row r="50" spans="1:23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123">
        <v>516.6</v>
      </c>
      <c r="F50" s="17">
        <v>9042.6</v>
      </c>
      <c r="G50" s="17">
        <v>1150.8</v>
      </c>
      <c r="H50" s="17">
        <v>147.00000000000003</v>
      </c>
      <c r="I50" s="17"/>
      <c r="J50" s="36"/>
      <c r="K50" s="36"/>
      <c r="L50" s="36"/>
      <c r="M50" s="36">
        <v>33.6</v>
      </c>
      <c r="N50" s="127">
        <v>436.8</v>
      </c>
      <c r="O50" s="17">
        <v>1373.4</v>
      </c>
      <c r="P50" s="355"/>
      <c r="Q50" s="24">
        <f t="shared" si="26"/>
        <v>12700.8</v>
      </c>
      <c r="R50" s="5">
        <f t="shared" si="27"/>
        <v>11652.110091743118</v>
      </c>
      <c r="S50" s="5">
        <f t="shared" si="28"/>
        <v>1048.6899082568816</v>
      </c>
      <c r="T50" s="5">
        <f t="shared" si="29"/>
        <v>3023.9999999999995</v>
      </c>
      <c r="U50" s="71"/>
      <c r="V50" s="61">
        <v>16.8</v>
      </c>
      <c r="W50" s="13">
        <f t="shared" si="31"/>
        <v>50803.199999999997</v>
      </c>
    </row>
    <row r="51" spans="1:23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123">
        <v>4181.9999999999991</v>
      </c>
      <c r="F51" s="17">
        <v>65682</v>
      </c>
      <c r="G51" s="17">
        <v>8692</v>
      </c>
      <c r="H51" s="17">
        <v>1968</v>
      </c>
      <c r="I51" s="17"/>
      <c r="J51" s="36"/>
      <c r="K51" s="36"/>
      <c r="L51" s="36"/>
      <c r="M51" s="36">
        <v>287</v>
      </c>
      <c r="N51" s="127">
        <v>1722</v>
      </c>
      <c r="O51" s="17">
        <v>6929</v>
      </c>
      <c r="P51" s="355"/>
      <c r="Q51" s="24">
        <f t="shared" si="26"/>
        <v>89462</v>
      </c>
      <c r="R51" s="5">
        <f t="shared" si="27"/>
        <v>82075.229357798162</v>
      </c>
      <c r="S51" s="5">
        <f t="shared" si="28"/>
        <v>7386.7706422018382</v>
      </c>
      <c r="T51" s="5">
        <f t="shared" si="29"/>
        <v>2182</v>
      </c>
      <c r="U51" s="71"/>
      <c r="V51" s="61"/>
      <c r="W51" s="13"/>
    </row>
    <row r="52" spans="1:23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123">
        <v>286.99999999999994</v>
      </c>
      <c r="F52" s="17">
        <v>5002</v>
      </c>
      <c r="G52" s="17">
        <v>799.5</v>
      </c>
      <c r="H52" s="17">
        <v>143.5</v>
      </c>
      <c r="I52" s="17"/>
      <c r="J52" s="36"/>
      <c r="K52" s="36"/>
      <c r="L52" s="36"/>
      <c r="M52" s="36">
        <v>82</v>
      </c>
      <c r="N52" s="127">
        <v>20.5</v>
      </c>
      <c r="O52" s="17">
        <v>266.5</v>
      </c>
      <c r="P52" s="355"/>
      <c r="Q52" s="24">
        <f t="shared" si="26"/>
        <v>6601</v>
      </c>
      <c r="R52" s="5">
        <f t="shared" si="27"/>
        <v>6055.9633027522932</v>
      </c>
      <c r="S52" s="5">
        <f t="shared" si="28"/>
        <v>545.0366972477068</v>
      </c>
      <c r="T52" s="5">
        <f t="shared" si="29"/>
        <v>322</v>
      </c>
      <c r="U52" s="71"/>
      <c r="V52" s="61">
        <v>20.5</v>
      </c>
      <c r="W52" s="13">
        <f t="shared" ref="W52:W53" si="32">+T52*V52</f>
        <v>6601</v>
      </c>
    </row>
    <row r="53" spans="1:23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124">
        <v>606.8003404000001</v>
      </c>
      <c r="F53" s="18">
        <v>12349.2</v>
      </c>
      <c r="G53" s="51">
        <v>1787.6000000000001</v>
      </c>
      <c r="H53" s="18">
        <v>286.99999999999994</v>
      </c>
      <c r="I53" s="18"/>
      <c r="J53" s="144"/>
      <c r="K53" s="144"/>
      <c r="L53" s="144"/>
      <c r="M53" s="144">
        <v>123</v>
      </c>
      <c r="N53" s="148">
        <v>491.99999999999977</v>
      </c>
      <c r="O53" s="196">
        <v>2853.6</v>
      </c>
      <c r="P53" s="360"/>
      <c r="Q53" s="359">
        <f t="shared" si="26"/>
        <v>18499.200340400002</v>
      </c>
      <c r="R53" s="6">
        <f t="shared" si="27"/>
        <v>16971.743431559633</v>
      </c>
      <c r="S53" s="6">
        <f t="shared" si="28"/>
        <v>1527.4569088403696</v>
      </c>
      <c r="T53" s="6">
        <f t="shared" si="29"/>
        <v>2256.0000415121958</v>
      </c>
      <c r="U53" s="35"/>
      <c r="V53" s="61">
        <v>32.799999999999997</v>
      </c>
      <c r="W53" s="13">
        <f t="shared" si="32"/>
        <v>73996.80136160001</v>
      </c>
    </row>
    <row r="54" spans="1:23" x14ac:dyDescent="0.25">
      <c r="C54" s="1" t="s">
        <v>150</v>
      </c>
      <c r="D54" s="4">
        <v>4</v>
      </c>
      <c r="E54" s="386">
        <f>1250*4</f>
        <v>5000</v>
      </c>
      <c r="F54" s="112">
        <v>34040</v>
      </c>
      <c r="G54" s="112">
        <v>4216</v>
      </c>
      <c r="H54" s="492">
        <v>2604</v>
      </c>
      <c r="I54" s="112"/>
      <c r="J54" s="112"/>
      <c r="K54" s="112"/>
      <c r="L54" s="112"/>
      <c r="O54" s="424"/>
      <c r="P54" s="425"/>
      <c r="Q54" s="230">
        <f t="shared" si="26"/>
        <v>45860</v>
      </c>
      <c r="R54" s="6">
        <f>+Q54/1.21</f>
        <v>37900.826446280989</v>
      </c>
      <c r="S54" s="6">
        <f t="shared" si="28"/>
        <v>7959.1735537190107</v>
      </c>
      <c r="T54" s="6">
        <f t="shared" si="29"/>
        <v>11465</v>
      </c>
      <c r="V54" s="405"/>
      <c r="W54" s="13"/>
    </row>
    <row r="55" spans="1:23" x14ac:dyDescent="0.25">
      <c r="C55" s="1" t="s">
        <v>143</v>
      </c>
      <c r="E55" s="2">
        <v>64191.94</v>
      </c>
      <c r="F55" s="2">
        <v>815247.71</v>
      </c>
      <c r="G55" s="2">
        <v>117213.52</v>
      </c>
      <c r="H55" s="138">
        <v>17062.57</v>
      </c>
      <c r="I55" s="2"/>
      <c r="J55" s="2"/>
      <c r="K55" s="2"/>
      <c r="L55" s="2"/>
      <c r="M55" s="2">
        <v>8472.41</v>
      </c>
      <c r="N55" s="2"/>
      <c r="O55" s="141">
        <v>164</v>
      </c>
      <c r="P55" s="141"/>
      <c r="Q55" s="6">
        <f t="shared" si="26"/>
        <v>1022352.1499999999</v>
      </c>
      <c r="R55" s="6">
        <f>+Q55</f>
        <v>1022352.1499999999</v>
      </c>
      <c r="S55" s="6"/>
      <c r="T55" s="6"/>
    </row>
    <row r="56" spans="1:23" x14ac:dyDescent="0.25">
      <c r="O56" s="141"/>
      <c r="P56" s="141"/>
    </row>
    <row r="57" spans="1:23" x14ac:dyDescent="0.25">
      <c r="D57" s="4" t="s">
        <v>151</v>
      </c>
      <c r="E57" s="136">
        <f>+E5+E54+E55</f>
        <v>491222.46053380001</v>
      </c>
      <c r="F57" s="136">
        <f t="shared" ref="F57:P57" si="33">+F5+F54+F55</f>
        <v>7485187.7300000004</v>
      </c>
      <c r="G57" s="136">
        <f t="shared" si="33"/>
        <v>1054933.1199999999</v>
      </c>
      <c r="H57" s="136">
        <f t="shared" si="33"/>
        <v>193477.79</v>
      </c>
      <c r="I57" s="136">
        <f t="shared" si="33"/>
        <v>623613.9</v>
      </c>
      <c r="J57" s="136">
        <f t="shared" si="33"/>
        <v>1074900.3999999999</v>
      </c>
      <c r="K57" s="136">
        <f t="shared" si="33"/>
        <v>959888.7</v>
      </c>
      <c r="L57" s="136">
        <f t="shared" si="33"/>
        <v>3304.3700000001104</v>
      </c>
      <c r="M57" s="136">
        <f t="shared" si="33"/>
        <v>75543.61</v>
      </c>
      <c r="N57" s="136">
        <f t="shared" si="33"/>
        <v>162275.16000000003</v>
      </c>
      <c r="O57" s="136">
        <f t="shared" si="33"/>
        <v>597367.14</v>
      </c>
      <c r="P57" s="136">
        <f t="shared" si="33"/>
        <v>0</v>
      </c>
      <c r="Q57" s="103">
        <f>+SUM(E57:O57)</f>
        <v>12721714.380533798</v>
      </c>
      <c r="R57" s="150"/>
      <c r="S57" s="150"/>
    </row>
    <row r="59" spans="1:23" x14ac:dyDescent="0.25">
      <c r="E59" s="125"/>
      <c r="F59" s="112"/>
      <c r="G59" s="2"/>
      <c r="H59" s="112"/>
      <c r="O59" s="141"/>
      <c r="Q59" s="112"/>
    </row>
    <row r="60" spans="1:23" x14ac:dyDescent="0.25">
      <c r="E60" s="125"/>
    </row>
    <row r="61" spans="1:23" x14ac:dyDescent="0.25">
      <c r="G61" s="2"/>
      <c r="M61" s="2"/>
      <c r="N61" s="2"/>
    </row>
    <row r="62" spans="1:23" x14ac:dyDescent="0.25">
      <c r="F62" s="408"/>
    </row>
    <row r="63" spans="1:23" x14ac:dyDescent="0.25">
      <c r="F63" s="408"/>
    </row>
    <row r="64" spans="1:23" x14ac:dyDescent="0.25">
      <c r="F64" s="408"/>
    </row>
    <row r="65" spans="2:6" x14ac:dyDescent="0.25">
      <c r="F65" s="35"/>
    </row>
    <row r="73" spans="2:6" x14ac:dyDescent="0.25">
      <c r="B73" s="1"/>
    </row>
  </sheetData>
  <mergeCells count="19">
    <mergeCell ref="M3:M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3"/>
    <mergeCell ref="W3:W4"/>
    <mergeCell ref="N3:N4"/>
    <mergeCell ref="O3:P3"/>
    <mergeCell ref="Q3:Q4"/>
    <mergeCell ref="R3:R4"/>
    <mergeCell ref="S3:S4"/>
    <mergeCell ref="T3:T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7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>
    <pageSetUpPr fitToPage="1"/>
  </sheetPr>
  <dimension ref="A1:Y72"/>
  <sheetViews>
    <sheetView zoomScaleNormal="100" workbookViewId="0">
      <pane xSplit="4" ySplit="3" topLeftCell="Q4" activePane="bottomRight" state="frozen"/>
      <selection pane="topRight" activeCell="E1" sqref="E1"/>
      <selection pane="bottomLeft" activeCell="A2" sqref="A2"/>
      <selection pane="bottomRight" activeCell="S2" sqref="S2"/>
    </sheetView>
  </sheetViews>
  <sheetFormatPr defaultColWidth="8.88671875" defaultRowHeight="13.2" outlineLevelRow="2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9.88671875" style="4" customWidth="1"/>
    <col min="5" max="5" width="4" style="4" customWidth="1"/>
    <col min="6" max="6" width="12.6640625" style="4" customWidth="1" outlineLevel="1"/>
    <col min="7" max="13" width="12.6640625" style="1" customWidth="1" outlineLevel="1"/>
    <col min="14" max="16" width="13" style="1" customWidth="1" outlineLevel="1"/>
    <col min="17" max="17" width="13.6640625" style="1" customWidth="1" outlineLevel="1"/>
    <col min="18" max="18" width="13.88671875" style="1" customWidth="1"/>
    <col min="19" max="20" width="13.6640625" style="1" customWidth="1"/>
    <col min="21" max="21" width="12.33203125" style="1" bestFit="1" customWidth="1"/>
    <col min="22" max="22" width="3.109375" style="1" customWidth="1"/>
    <col min="23" max="23" width="12.5546875" style="1" bestFit="1" customWidth="1"/>
    <col min="24" max="24" width="8.88671875" style="141"/>
    <col min="25" max="16384" width="8.88671875" style="1"/>
  </cols>
  <sheetData>
    <row r="1" spans="1:24" ht="17.399999999999999" customHeight="1" x14ac:dyDescent="0.3">
      <c r="A1" s="40" t="s">
        <v>197</v>
      </c>
      <c r="F1" s="136"/>
      <c r="N1" s="2"/>
      <c r="O1" s="2"/>
      <c r="P1" s="2"/>
      <c r="Q1" s="2"/>
      <c r="R1" s="2"/>
      <c r="S1" s="2"/>
    </row>
    <row r="2" spans="1:24" ht="18" customHeight="1" x14ac:dyDescent="0.25">
      <c r="D2" s="3"/>
      <c r="E2" s="3"/>
      <c r="F2" s="3"/>
      <c r="G2" s="2"/>
      <c r="H2" s="2"/>
      <c r="I2" s="2"/>
      <c r="K2" s="3"/>
      <c r="L2" s="3"/>
      <c r="M2" s="3"/>
      <c r="Q2" s="212"/>
      <c r="S2" s="151"/>
      <c r="T2" s="2"/>
      <c r="U2" s="3"/>
    </row>
    <row r="3" spans="1:24" ht="37.5" customHeight="1" x14ac:dyDescent="0.25">
      <c r="A3" s="81" t="s">
        <v>39</v>
      </c>
      <c r="B3" s="57" t="s">
        <v>37</v>
      </c>
      <c r="C3" s="20" t="s">
        <v>40</v>
      </c>
      <c r="D3" s="88" t="s">
        <v>38</v>
      </c>
      <c r="E3" s="146"/>
      <c r="F3" s="89" t="s">
        <v>154</v>
      </c>
      <c r="G3" s="89" t="s">
        <v>155</v>
      </c>
      <c r="H3" s="89" t="s">
        <v>156</v>
      </c>
      <c r="I3" s="89" t="s">
        <v>157</v>
      </c>
      <c r="J3" s="89" t="s">
        <v>158</v>
      </c>
      <c r="K3" s="89" t="s">
        <v>159</v>
      </c>
      <c r="L3" s="89" t="s">
        <v>160</v>
      </c>
      <c r="M3" s="89" t="s">
        <v>161</v>
      </c>
      <c r="N3" s="89" t="s">
        <v>162</v>
      </c>
      <c r="O3" s="89" t="s">
        <v>163</v>
      </c>
      <c r="P3" s="89" t="s">
        <v>164</v>
      </c>
      <c r="Q3" s="89" t="s">
        <v>165</v>
      </c>
      <c r="R3" s="32" t="s">
        <v>166</v>
      </c>
      <c r="S3" s="32" t="s">
        <v>167</v>
      </c>
      <c r="T3" s="32" t="s">
        <v>41</v>
      </c>
      <c r="U3" s="32" t="s">
        <v>42</v>
      </c>
    </row>
    <row r="4" spans="1:24" ht="12" customHeight="1" x14ac:dyDescent="0.25">
      <c r="A4" s="70" t="s">
        <v>29</v>
      </c>
      <c r="B4" s="52" t="s">
        <v>36</v>
      </c>
      <c r="C4" s="9" t="s">
        <v>45</v>
      </c>
      <c r="D4" s="78"/>
      <c r="E4" s="108"/>
      <c r="F4" s="238">
        <f t="shared" ref="F4:Q4" si="0">+F5+F17+F43</f>
        <v>11135133.68</v>
      </c>
      <c r="G4" s="82">
        <f t="shared" si="0"/>
        <v>10208780.790000003</v>
      </c>
      <c r="H4" s="82">
        <f t="shared" si="0"/>
        <v>11437816.339999998</v>
      </c>
      <c r="I4" s="82">
        <f t="shared" si="0"/>
        <v>11192689.609999999</v>
      </c>
      <c r="J4" s="82">
        <f t="shared" si="0"/>
        <v>11479738.680000002</v>
      </c>
      <c r="K4" s="82">
        <f t="shared" si="0"/>
        <v>10341408.204931518</v>
      </c>
      <c r="L4" s="82">
        <f t="shared" si="0"/>
        <v>10099659.844957616</v>
      </c>
      <c r="M4" s="82">
        <f t="shared" si="0"/>
        <v>9848533.6037061159</v>
      </c>
      <c r="N4" s="187">
        <f t="shared" si="0"/>
        <v>11480313.171320703</v>
      </c>
      <c r="O4" s="187">
        <f t="shared" si="0"/>
        <v>11978498.668534249</v>
      </c>
      <c r="P4" s="187">
        <f t="shared" si="0"/>
        <v>11312873.103249535</v>
      </c>
      <c r="Q4" s="19">
        <f t="shared" si="0"/>
        <v>11751251.192111371</v>
      </c>
      <c r="R4" s="42">
        <f>+SUM(F4:Q4)</f>
        <v>132266696.88881113</v>
      </c>
      <c r="S4" s="42">
        <f>+S5+S17+S43</f>
        <v>121345593.4759735</v>
      </c>
      <c r="T4" s="42">
        <f>+T5+T17+T43</f>
        <v>10921103.412837623</v>
      </c>
      <c r="U4" s="42">
        <f>+U5+U17+U43</f>
        <v>29006097.994917549</v>
      </c>
      <c r="V4" s="71"/>
      <c r="W4" s="2"/>
    </row>
    <row r="5" spans="1:24" ht="12" customHeight="1" x14ac:dyDescent="0.25">
      <c r="A5" s="70" t="s">
        <v>12</v>
      </c>
      <c r="B5" s="52" t="s">
        <v>30</v>
      </c>
      <c r="C5" s="9" t="s">
        <v>1</v>
      </c>
      <c r="D5" s="78"/>
      <c r="E5" s="108"/>
      <c r="F5" s="238">
        <f t="shared" ref="F5:Q5" si="1">+F6+F10</f>
        <v>4576424.83</v>
      </c>
      <c r="G5" s="82">
        <f t="shared" si="1"/>
        <v>4178454.7100000004</v>
      </c>
      <c r="H5" s="82">
        <f t="shared" si="1"/>
        <v>4679407.45</v>
      </c>
      <c r="I5" s="82">
        <f t="shared" si="1"/>
        <v>4865178.22</v>
      </c>
      <c r="J5" s="82">
        <f t="shared" si="1"/>
        <v>5006520</v>
      </c>
      <c r="K5" s="82">
        <f t="shared" si="1"/>
        <v>4545407.46</v>
      </c>
      <c r="L5" s="82">
        <f t="shared" si="1"/>
        <v>4769264.5299999993</v>
      </c>
      <c r="M5" s="82">
        <f t="shared" si="1"/>
        <v>4691660.7200000007</v>
      </c>
      <c r="N5" s="187">
        <f t="shared" si="1"/>
        <v>5128728.16</v>
      </c>
      <c r="O5" s="187">
        <f t="shared" si="1"/>
        <v>5184549.09</v>
      </c>
      <c r="P5" s="187">
        <f t="shared" si="1"/>
        <v>4723400.12</v>
      </c>
      <c r="Q5" s="19">
        <f t="shared" si="1"/>
        <v>5243477.53</v>
      </c>
      <c r="R5" s="42">
        <f>+SUM(F5:Q5)</f>
        <v>57592472.82</v>
      </c>
      <c r="S5" s="42">
        <f>+S6+S10</f>
        <v>52837131.027522936</v>
      </c>
      <c r="T5" s="42">
        <f>+T6+T10</f>
        <v>4755341.7924770676</v>
      </c>
      <c r="U5" s="44">
        <f>+U6+U10</f>
        <v>27286287.875</v>
      </c>
    </row>
    <row r="6" spans="1:24" ht="12" customHeight="1" x14ac:dyDescent="0.25">
      <c r="A6" s="70" t="s">
        <v>52</v>
      </c>
      <c r="B6" s="52" t="s">
        <v>31</v>
      </c>
      <c r="C6" s="8" t="s">
        <v>11</v>
      </c>
      <c r="D6" s="79"/>
      <c r="E6" s="79"/>
      <c r="F6" s="126">
        <f t="shared" ref="F6:U6" si="2">+SUM(F7:F9)</f>
        <v>1672731.55</v>
      </c>
      <c r="G6" s="126">
        <f t="shared" si="2"/>
        <v>1432539.85</v>
      </c>
      <c r="H6" s="126">
        <f t="shared" si="2"/>
        <v>1614246.55</v>
      </c>
      <c r="I6" s="126">
        <f t="shared" si="2"/>
        <v>1710187.5</v>
      </c>
      <c r="J6" s="126">
        <f t="shared" si="2"/>
        <v>1840036.8</v>
      </c>
      <c r="K6" s="126">
        <f t="shared" si="2"/>
        <v>1496916.4</v>
      </c>
      <c r="L6" s="126">
        <f t="shared" si="2"/>
        <v>1753979.15</v>
      </c>
      <c r="M6" s="126">
        <f t="shared" si="2"/>
        <v>1673649.6</v>
      </c>
      <c r="N6" s="269">
        <f t="shared" si="2"/>
        <v>1751630.3</v>
      </c>
      <c r="O6" s="269">
        <f t="shared" si="2"/>
        <v>1675791.95</v>
      </c>
      <c r="P6" s="269">
        <f t="shared" si="2"/>
        <v>1433218.15</v>
      </c>
      <c r="Q6" s="407">
        <f t="shared" si="2"/>
        <v>1698514.3</v>
      </c>
      <c r="R6" s="43">
        <f t="shared" si="2"/>
        <v>19753442.100000001</v>
      </c>
      <c r="S6" s="43">
        <f t="shared" si="2"/>
        <v>18122423.944954127</v>
      </c>
      <c r="T6" s="43">
        <f t="shared" si="2"/>
        <v>1631018.1550458726</v>
      </c>
      <c r="U6" s="43">
        <f t="shared" si="2"/>
        <v>7205766</v>
      </c>
      <c r="V6" s="71"/>
    </row>
    <row r="7" spans="1:24" ht="12" customHeight="1" x14ac:dyDescent="0.25">
      <c r="A7" s="46" t="s">
        <v>13</v>
      </c>
      <c r="B7" s="53" t="s">
        <v>47</v>
      </c>
      <c r="C7" s="37" t="s">
        <v>50</v>
      </c>
      <c r="D7" s="10">
        <v>3.5</v>
      </c>
      <c r="E7" s="49"/>
      <c r="F7" s="96">
        <v>1244621</v>
      </c>
      <c r="G7" s="96">
        <v>1056149.5</v>
      </c>
      <c r="H7" s="96">
        <v>1196601</v>
      </c>
      <c r="I7" s="96">
        <v>1213478</v>
      </c>
      <c r="J7" s="96">
        <v>1355347</v>
      </c>
      <c r="K7" s="96">
        <v>1066047.5</v>
      </c>
      <c r="L7" s="96">
        <v>1313445</v>
      </c>
      <c r="M7" s="96">
        <v>1237642</v>
      </c>
      <c r="N7" s="96">
        <v>1326906</v>
      </c>
      <c r="O7" s="96">
        <v>1236452</v>
      </c>
      <c r="P7" s="96">
        <v>1052583</v>
      </c>
      <c r="Q7" s="201">
        <v>1244383</v>
      </c>
      <c r="R7" s="5">
        <f t="shared" ref="R7:R16" si="3">+SUM(F7:Q7)</f>
        <v>14543655</v>
      </c>
      <c r="S7" s="5">
        <f t="shared" ref="S7:S52" si="4">+R7/1.09</f>
        <v>13342802.752293577</v>
      </c>
      <c r="T7" s="5">
        <f t="shared" ref="T7:T16" si="5">+R7-S7</f>
        <v>1200852.2477064226</v>
      </c>
      <c r="U7" s="21">
        <f t="shared" ref="U7:U8" si="6">R7/D7</f>
        <v>4155330</v>
      </c>
      <c r="V7" s="71"/>
    </row>
    <row r="8" spans="1:24" ht="12" customHeight="1" x14ac:dyDescent="0.25">
      <c r="A8" s="54" t="s">
        <v>49</v>
      </c>
      <c r="B8" s="55" t="s">
        <v>48</v>
      </c>
      <c r="C8" s="27" t="s">
        <v>51</v>
      </c>
      <c r="D8" s="38">
        <f t="shared" ref="D8" si="7">+D7*0.5</f>
        <v>1.75</v>
      </c>
      <c r="E8" s="49"/>
      <c r="F8" s="96">
        <v>424005.75</v>
      </c>
      <c r="G8" s="96">
        <v>373980.25</v>
      </c>
      <c r="H8" s="96">
        <v>413089.25</v>
      </c>
      <c r="I8" s="96">
        <v>480819.5</v>
      </c>
      <c r="J8" s="96">
        <v>473557</v>
      </c>
      <c r="K8" s="96">
        <v>424039</v>
      </c>
      <c r="L8" s="96">
        <v>435755.25</v>
      </c>
      <c r="M8" s="96">
        <v>431700.5</v>
      </c>
      <c r="N8" s="96">
        <v>420434</v>
      </c>
      <c r="O8" s="96">
        <v>434932.75</v>
      </c>
      <c r="P8" s="96">
        <v>376167.75</v>
      </c>
      <c r="Q8" s="201">
        <v>435655.5</v>
      </c>
      <c r="R8" s="5">
        <f t="shared" si="3"/>
        <v>5124136.5</v>
      </c>
      <c r="S8" s="5">
        <f t="shared" si="4"/>
        <v>4701042.6605504584</v>
      </c>
      <c r="T8" s="26">
        <f t="shared" si="5"/>
        <v>423093.83944954164</v>
      </c>
      <c r="U8" s="39">
        <f t="shared" si="6"/>
        <v>2928078</v>
      </c>
      <c r="V8" s="71"/>
    </row>
    <row r="9" spans="1:24" ht="12" customHeight="1" x14ac:dyDescent="0.25">
      <c r="A9" s="47" t="s">
        <v>185</v>
      </c>
      <c r="B9" s="56" t="s">
        <v>186</v>
      </c>
      <c r="C9" s="222" t="s">
        <v>187</v>
      </c>
      <c r="D9" s="50">
        <v>0.7</v>
      </c>
      <c r="E9" s="97"/>
      <c r="F9" s="18">
        <v>4104.8</v>
      </c>
      <c r="G9" s="14">
        <v>2410.1</v>
      </c>
      <c r="H9" s="14">
        <v>4556.3</v>
      </c>
      <c r="I9" s="14">
        <v>15890</v>
      </c>
      <c r="J9" s="14">
        <v>11132.8</v>
      </c>
      <c r="K9" s="14">
        <v>6829.9</v>
      </c>
      <c r="L9" s="14">
        <v>4778.8999999999996</v>
      </c>
      <c r="M9" s="18">
        <v>4307.1000000000004</v>
      </c>
      <c r="N9" s="18">
        <v>4290.3</v>
      </c>
      <c r="O9" s="18">
        <v>4407.2</v>
      </c>
      <c r="P9" s="14">
        <v>4467.3999999999996</v>
      </c>
      <c r="Q9" s="15">
        <v>18475.8</v>
      </c>
      <c r="R9" s="5">
        <f t="shared" si="3"/>
        <v>85650.6</v>
      </c>
      <c r="S9" s="5">
        <f t="shared" si="4"/>
        <v>78578.53211009175</v>
      </c>
      <c r="T9" s="26">
        <f t="shared" ref="T9" si="8">+R9-S9</f>
        <v>7072.0678899082559</v>
      </c>
      <c r="U9" s="39">
        <f t="shared" ref="U9" si="9">R9/D9</f>
        <v>122358.00000000001</v>
      </c>
      <c r="V9" s="71"/>
      <c r="W9" s="2"/>
      <c r="X9" s="1"/>
    </row>
    <row r="10" spans="1:24" ht="12" customHeight="1" x14ac:dyDescent="0.25">
      <c r="A10" s="70" t="s">
        <v>14</v>
      </c>
      <c r="B10" s="52" t="s">
        <v>32</v>
      </c>
      <c r="C10" s="8" t="s">
        <v>46</v>
      </c>
      <c r="D10" s="79"/>
      <c r="E10" s="109"/>
      <c r="F10" s="84">
        <f t="shared" ref="F10:U10" si="10">+SUM(F11:F16)</f>
        <v>2903693.28</v>
      </c>
      <c r="G10" s="84">
        <f t="shared" si="10"/>
        <v>2745914.8600000003</v>
      </c>
      <c r="H10" s="84">
        <f t="shared" si="10"/>
        <v>3065160.9</v>
      </c>
      <c r="I10" s="84">
        <f t="shared" si="10"/>
        <v>3154990.7199999997</v>
      </c>
      <c r="J10" s="84">
        <f t="shared" si="10"/>
        <v>3166483.1999999997</v>
      </c>
      <c r="K10" s="84">
        <f t="shared" si="10"/>
        <v>3048491.06</v>
      </c>
      <c r="L10" s="84">
        <f t="shared" si="10"/>
        <v>3015285.38</v>
      </c>
      <c r="M10" s="74">
        <f t="shared" si="10"/>
        <v>3018011.1200000006</v>
      </c>
      <c r="N10" s="101">
        <f t="shared" si="10"/>
        <v>3377097.8600000003</v>
      </c>
      <c r="O10" s="101">
        <f t="shared" si="10"/>
        <v>3508757.14</v>
      </c>
      <c r="P10" s="101">
        <f t="shared" si="10"/>
        <v>3290181.97</v>
      </c>
      <c r="Q10" s="101">
        <f t="shared" si="10"/>
        <v>3544963.23</v>
      </c>
      <c r="R10" s="43">
        <f t="shared" si="10"/>
        <v>37839030.719999999</v>
      </c>
      <c r="S10" s="43">
        <f t="shared" si="10"/>
        <v>34714707.082568809</v>
      </c>
      <c r="T10" s="43">
        <f t="shared" si="10"/>
        <v>3124323.6374311955</v>
      </c>
      <c r="U10" s="45">
        <f t="shared" si="10"/>
        <v>20080521.875</v>
      </c>
      <c r="V10" s="71"/>
    </row>
    <row r="11" spans="1:24" x14ac:dyDescent="0.25">
      <c r="A11" s="58" t="s">
        <v>53</v>
      </c>
      <c r="B11" s="53" t="s">
        <v>145</v>
      </c>
      <c r="C11" s="59" t="s">
        <v>54</v>
      </c>
      <c r="D11" s="60">
        <v>2.2000000000000002</v>
      </c>
      <c r="E11" s="155"/>
      <c r="F11" s="127">
        <v>2270578.1999999997</v>
      </c>
      <c r="G11" s="127">
        <v>2125349.6</v>
      </c>
      <c r="H11" s="127">
        <v>2353606.2000000002</v>
      </c>
      <c r="I11" s="127">
        <v>2409979</v>
      </c>
      <c r="J11" s="127">
        <v>2433494.7999999998</v>
      </c>
      <c r="K11" s="127">
        <v>2327859.5999999996</v>
      </c>
      <c r="L11" s="127">
        <v>2321937.2000000002</v>
      </c>
      <c r="M11" s="127">
        <v>2322463</v>
      </c>
      <c r="N11" s="127">
        <v>2601207.4000000008</v>
      </c>
      <c r="O11" s="127">
        <v>2693354.4</v>
      </c>
      <c r="P11" s="127">
        <v>2517099.8400000003</v>
      </c>
      <c r="Q11" s="127">
        <v>2686370.96</v>
      </c>
      <c r="R11" s="5">
        <f t="shared" si="3"/>
        <v>29063300.200000003</v>
      </c>
      <c r="S11" s="5">
        <f t="shared" si="4"/>
        <v>26663578.165137615</v>
      </c>
      <c r="T11" s="5">
        <f>+R11-S11</f>
        <v>2399722.0348623879</v>
      </c>
      <c r="U11" s="21">
        <f t="shared" ref="U11:U16" si="11">R11/D11</f>
        <v>13210591</v>
      </c>
      <c r="V11" s="2"/>
    </row>
    <row r="12" spans="1:24" x14ac:dyDescent="0.25">
      <c r="A12" s="58" t="s">
        <v>55</v>
      </c>
      <c r="B12" s="53" t="s">
        <v>139</v>
      </c>
      <c r="C12" s="59" t="s">
        <v>92</v>
      </c>
      <c r="D12" s="60">
        <v>1.1000000000000001</v>
      </c>
      <c r="E12" s="155"/>
      <c r="F12" s="127">
        <v>459595.39999999991</v>
      </c>
      <c r="G12" s="127">
        <v>461968.1</v>
      </c>
      <c r="H12" s="127">
        <v>538140.89999999991</v>
      </c>
      <c r="I12" s="127">
        <v>558888</v>
      </c>
      <c r="J12" s="127">
        <v>543807.00000000012</v>
      </c>
      <c r="K12" s="127">
        <v>533144.70000000007</v>
      </c>
      <c r="L12" s="127">
        <v>513170.9</v>
      </c>
      <c r="M12" s="127">
        <v>499435.2</v>
      </c>
      <c r="N12" s="127">
        <v>565376.9</v>
      </c>
      <c r="O12" s="127">
        <v>598849.89999999991</v>
      </c>
      <c r="P12" s="127">
        <v>569584.39999999991</v>
      </c>
      <c r="Q12" s="127">
        <v>654770.6</v>
      </c>
      <c r="R12" s="5">
        <f t="shared" si="3"/>
        <v>6496732</v>
      </c>
      <c r="S12" s="5">
        <f t="shared" si="4"/>
        <v>5960304.5871559633</v>
      </c>
      <c r="T12" s="5">
        <f t="shared" si="5"/>
        <v>536427.41284403671</v>
      </c>
      <c r="U12" s="21">
        <f t="shared" si="11"/>
        <v>5906119.9999999991</v>
      </c>
      <c r="V12" s="71"/>
    </row>
    <row r="13" spans="1:24" x14ac:dyDescent="0.25">
      <c r="A13" s="58" t="s">
        <v>56</v>
      </c>
      <c r="B13" s="53" t="s">
        <v>140</v>
      </c>
      <c r="C13" s="59" t="s">
        <v>93</v>
      </c>
      <c r="D13" s="62">
        <v>0.44</v>
      </c>
      <c r="E13" s="156"/>
      <c r="F13" s="127">
        <v>5723.5199999999995</v>
      </c>
      <c r="G13" s="127">
        <v>5485.4800000000005</v>
      </c>
      <c r="H13" s="127">
        <v>6882.920000000001</v>
      </c>
      <c r="I13" s="127">
        <v>6909.3200000000006</v>
      </c>
      <c r="J13" s="127">
        <v>6778.2</v>
      </c>
      <c r="K13" s="127">
        <v>7090.6</v>
      </c>
      <c r="L13" s="127">
        <v>6318.4</v>
      </c>
      <c r="M13" s="127">
        <v>6429.72</v>
      </c>
      <c r="N13" s="127">
        <v>7936.28</v>
      </c>
      <c r="O13" s="127">
        <v>7426.7600000000011</v>
      </c>
      <c r="P13" s="127">
        <v>6888.7699999999986</v>
      </c>
      <c r="Q13" s="127">
        <v>7895.67</v>
      </c>
      <c r="R13" s="5">
        <f t="shared" ref="R13:R15" si="12">+SUM(F13:Q13)</f>
        <v>81765.64</v>
      </c>
      <c r="S13" s="5">
        <f t="shared" si="4"/>
        <v>75014.348623853206</v>
      </c>
      <c r="T13" s="5">
        <f t="shared" ref="T13:T15" si="13">+R13-S13</f>
        <v>6751.2913761467935</v>
      </c>
      <c r="U13" s="21">
        <f t="shared" ref="U13:U15" si="14">R13/D13</f>
        <v>185831</v>
      </c>
      <c r="V13" s="71"/>
    </row>
    <row r="14" spans="1:24" x14ac:dyDescent="0.25">
      <c r="A14" s="58" t="s">
        <v>57</v>
      </c>
      <c r="B14" s="53" t="s">
        <v>192</v>
      </c>
      <c r="C14" s="59" t="s">
        <v>58</v>
      </c>
      <c r="D14" s="62">
        <v>3.2</v>
      </c>
      <c r="E14" s="156"/>
      <c r="F14" s="127">
        <v>149248</v>
      </c>
      <c r="G14" s="127">
        <v>135660.80000000002</v>
      </c>
      <c r="H14" s="127">
        <v>145782.39999999999</v>
      </c>
      <c r="I14" s="127">
        <v>155785.60000000001</v>
      </c>
      <c r="J14" s="127">
        <v>157967.99999999994</v>
      </c>
      <c r="K14" s="127">
        <v>155807.99999999997</v>
      </c>
      <c r="L14" s="127">
        <v>150582.39999999999</v>
      </c>
      <c r="M14" s="127">
        <v>165331.20000000001</v>
      </c>
      <c r="N14" s="127">
        <v>176998.39999999997</v>
      </c>
      <c r="O14" s="127">
        <v>182963.20000000001</v>
      </c>
      <c r="P14" s="127">
        <v>173049.60000000003</v>
      </c>
      <c r="Q14" s="127">
        <v>173430</v>
      </c>
      <c r="R14" s="5">
        <f t="shared" si="12"/>
        <v>1922607.5999999999</v>
      </c>
      <c r="S14" s="5">
        <f t="shared" si="4"/>
        <v>1763860.1834862384</v>
      </c>
      <c r="T14" s="5">
        <f t="shared" si="13"/>
        <v>158747.41651376151</v>
      </c>
      <c r="U14" s="21">
        <f t="shared" si="14"/>
        <v>600814.87499999988</v>
      </c>
      <c r="V14" s="71"/>
    </row>
    <row r="15" spans="1:24" ht="12.75" x14ac:dyDescent="0.2">
      <c r="A15" s="58" t="s">
        <v>59</v>
      </c>
      <c r="B15" s="53" t="s">
        <v>193</v>
      </c>
      <c r="C15" s="59" t="s">
        <v>94</v>
      </c>
      <c r="D15" s="62">
        <v>1.6</v>
      </c>
      <c r="E15" s="156"/>
      <c r="F15" s="127">
        <v>18200.000000000004</v>
      </c>
      <c r="G15" s="127">
        <v>17075.2</v>
      </c>
      <c r="H15" s="127">
        <v>20302.400000000001</v>
      </c>
      <c r="I15" s="127">
        <v>22964.800000000003</v>
      </c>
      <c r="J15" s="127">
        <v>23974.399999999998</v>
      </c>
      <c r="K15" s="127">
        <v>24121.599999999991</v>
      </c>
      <c r="L15" s="127">
        <v>22804.800000000007</v>
      </c>
      <c r="M15" s="127">
        <v>23894.399999999998</v>
      </c>
      <c r="N15" s="127">
        <v>25020.799999999999</v>
      </c>
      <c r="O15" s="127">
        <v>25579.199999999993</v>
      </c>
      <c r="P15" s="127">
        <v>22977.600000000002</v>
      </c>
      <c r="Q15" s="127">
        <v>21817.599999999999</v>
      </c>
      <c r="R15" s="5">
        <f t="shared" si="12"/>
        <v>268732.79999999999</v>
      </c>
      <c r="S15" s="5">
        <f t="shared" si="4"/>
        <v>246543.85321100915</v>
      </c>
      <c r="T15" s="5">
        <f t="shared" si="13"/>
        <v>22188.946788990841</v>
      </c>
      <c r="U15" s="21">
        <f t="shared" si="14"/>
        <v>167957.99999999997</v>
      </c>
      <c r="V15" s="71"/>
    </row>
    <row r="16" spans="1:24" x14ac:dyDescent="0.25">
      <c r="A16" s="58" t="s">
        <v>60</v>
      </c>
      <c r="B16" s="53" t="s">
        <v>194</v>
      </c>
      <c r="C16" s="63" t="s">
        <v>95</v>
      </c>
      <c r="D16" s="63">
        <v>0.64</v>
      </c>
      <c r="E16" s="157"/>
      <c r="F16" s="127">
        <v>348.15999999999997</v>
      </c>
      <c r="G16" s="127">
        <v>375.67999999999995</v>
      </c>
      <c r="H16" s="127">
        <v>446.08000000000004</v>
      </c>
      <c r="I16" s="127">
        <v>464.00000000000006</v>
      </c>
      <c r="J16" s="127">
        <v>460.80000000000007</v>
      </c>
      <c r="K16" s="127">
        <v>466.56</v>
      </c>
      <c r="L16" s="127">
        <v>471.67999999999995</v>
      </c>
      <c r="M16" s="127">
        <v>457.59999999999991</v>
      </c>
      <c r="N16" s="127">
        <v>558.08000000000004</v>
      </c>
      <c r="O16" s="127">
        <v>583.68000000000006</v>
      </c>
      <c r="P16" s="127">
        <v>581.76</v>
      </c>
      <c r="Q16" s="127">
        <v>678.40000000000009</v>
      </c>
      <c r="R16" s="5">
        <f t="shared" si="3"/>
        <v>5892.48</v>
      </c>
      <c r="S16" s="5">
        <f t="shared" si="4"/>
        <v>5405.9449541284393</v>
      </c>
      <c r="T16" s="6">
        <f t="shared" si="5"/>
        <v>486.53504587156021</v>
      </c>
      <c r="U16" s="22">
        <f t="shared" si="11"/>
        <v>9207</v>
      </c>
      <c r="V16" s="71"/>
    </row>
    <row r="17" spans="1:25" ht="12" customHeight="1" x14ac:dyDescent="0.25">
      <c r="A17" s="70" t="s">
        <v>15</v>
      </c>
      <c r="B17" s="52" t="s">
        <v>33</v>
      </c>
      <c r="C17" s="9" t="s">
        <v>141</v>
      </c>
      <c r="D17" s="78"/>
      <c r="E17" s="108"/>
      <c r="F17" s="82">
        <f>+SUM(F18:F42)</f>
        <v>6390506.8299999991</v>
      </c>
      <c r="G17" s="82">
        <f>+SUM(G18:G42)</f>
        <v>5881413.4500000011</v>
      </c>
      <c r="H17" s="82">
        <f t="shared" ref="H17:U17" si="15">+SUM(H18:H42)</f>
        <v>6587965.2099999981</v>
      </c>
      <c r="I17" s="82">
        <f t="shared" si="15"/>
        <v>6131111.8799999999</v>
      </c>
      <c r="J17" s="82">
        <f t="shared" si="15"/>
        <v>6264007.8100000015</v>
      </c>
      <c r="K17" s="82">
        <f t="shared" si="15"/>
        <v>5535837.5049315188</v>
      </c>
      <c r="L17" s="82">
        <f t="shared" si="15"/>
        <v>5060065.5849576173</v>
      </c>
      <c r="M17" s="82">
        <f t="shared" si="15"/>
        <v>4911601.0337061156</v>
      </c>
      <c r="N17" s="82">
        <f t="shared" si="15"/>
        <v>6116521.4913207032</v>
      </c>
      <c r="O17" s="82">
        <f t="shared" si="15"/>
        <v>6589255.0985342478</v>
      </c>
      <c r="P17" s="82">
        <f t="shared" si="15"/>
        <v>6417358.5232495349</v>
      </c>
      <c r="Q17" s="100">
        <f t="shared" si="15"/>
        <v>6280906.6321113715</v>
      </c>
      <c r="R17" s="42">
        <f t="shared" si="15"/>
        <v>72166551.048811123</v>
      </c>
      <c r="S17" s="42">
        <f t="shared" si="15"/>
        <v>66207844.998909272</v>
      </c>
      <c r="T17" s="42">
        <f t="shared" si="15"/>
        <v>5958706.0499018384</v>
      </c>
      <c r="U17" s="42">
        <f t="shared" si="15"/>
        <v>1355149.0211370618</v>
      </c>
      <c r="V17" s="71"/>
    </row>
    <row r="18" spans="1:25" ht="14.4" x14ac:dyDescent="0.3">
      <c r="A18" s="68" t="s">
        <v>61</v>
      </c>
      <c r="B18" s="69" t="s">
        <v>117</v>
      </c>
      <c r="C18" s="90" t="s">
        <v>62</v>
      </c>
      <c r="D18" s="91">
        <v>100</v>
      </c>
      <c r="E18" s="155"/>
      <c r="F18" s="127">
        <v>3627446.66</v>
      </c>
      <c r="G18" s="127">
        <v>3311140.01</v>
      </c>
      <c r="H18" s="127">
        <v>3713630</v>
      </c>
      <c r="I18" s="127">
        <v>3468723.35</v>
      </c>
      <c r="J18" s="127">
        <v>3521513.34</v>
      </c>
      <c r="K18" s="127">
        <v>3237639.9966666824</v>
      </c>
      <c r="L18" s="127">
        <v>3058473.3429164658</v>
      </c>
      <c r="M18" s="127">
        <v>2988496.6730694468</v>
      </c>
      <c r="N18" s="127">
        <v>3362820.0360470354</v>
      </c>
      <c r="O18" s="127">
        <v>3677473.2866666685</v>
      </c>
      <c r="P18" s="127">
        <v>3615886.6748722354</v>
      </c>
      <c r="Q18" s="127">
        <v>3617643.3368864642</v>
      </c>
      <c r="R18" s="5">
        <f t="shared" ref="R18" si="16">+SUM(F18:Q18)</f>
        <v>41200886.707124993</v>
      </c>
      <c r="S18" s="5">
        <f t="shared" si="4"/>
        <v>37798978.630389899</v>
      </c>
      <c r="T18" s="5">
        <f t="shared" ref="T18" si="17">+R18-S18</f>
        <v>3401908.0767350942</v>
      </c>
      <c r="U18" s="21">
        <f t="shared" ref="U18" si="18">R18/D18</f>
        <v>412008.86707124993</v>
      </c>
      <c r="V18" s="41"/>
      <c r="X18" s="142"/>
      <c r="Y18"/>
    </row>
    <row r="19" spans="1:25" ht="14.4" x14ac:dyDescent="0.3">
      <c r="A19" s="46" t="s">
        <v>63</v>
      </c>
      <c r="B19" s="53" t="s">
        <v>116</v>
      </c>
      <c r="C19" s="59" t="s">
        <v>64</v>
      </c>
      <c r="D19" s="60">
        <v>50</v>
      </c>
      <c r="E19" s="155"/>
      <c r="F19" s="127">
        <v>920646.66</v>
      </c>
      <c r="G19" s="127">
        <v>815198.33</v>
      </c>
      <c r="H19" s="127">
        <v>929140.02</v>
      </c>
      <c r="I19" s="127">
        <v>896534.99</v>
      </c>
      <c r="J19" s="127">
        <v>931924.99</v>
      </c>
      <c r="K19" s="127">
        <v>867356.66999999585</v>
      </c>
      <c r="L19" s="127">
        <v>863335.00371210708</v>
      </c>
      <c r="M19" s="127">
        <v>836790.00033345574</v>
      </c>
      <c r="N19" s="127">
        <v>880453.32701899344</v>
      </c>
      <c r="O19" s="127">
        <v>937410.00999999919</v>
      </c>
      <c r="P19" s="127">
        <v>900351.66043874109</v>
      </c>
      <c r="Q19" s="127">
        <v>927160.00031448342</v>
      </c>
      <c r="R19" s="5">
        <f t="shared" ref="R19:R41" si="19">+SUM(F19:Q19)</f>
        <v>10706301.661817776</v>
      </c>
      <c r="S19" s="5">
        <f t="shared" si="4"/>
        <v>9822295.1025851145</v>
      </c>
      <c r="T19" s="5">
        <f t="shared" ref="T19:T41" si="20">+R19-S19</f>
        <v>884006.5592326615</v>
      </c>
      <c r="U19" s="21">
        <f t="shared" ref="U19:U41" si="21">R19/D19</f>
        <v>214126.03323635552</v>
      </c>
      <c r="V19" s="41"/>
      <c r="X19" s="142"/>
    </row>
    <row r="20" spans="1:25" ht="14.4" x14ac:dyDescent="0.3">
      <c r="A20" s="46" t="s">
        <v>65</v>
      </c>
      <c r="B20" s="53" t="s">
        <v>115</v>
      </c>
      <c r="C20" s="59" t="s">
        <v>66</v>
      </c>
      <c r="D20" s="60">
        <v>20</v>
      </c>
      <c r="E20" s="155"/>
      <c r="F20" s="127">
        <v>1116783.3399999999</v>
      </c>
      <c r="G20" s="127">
        <v>1055192.6600000001</v>
      </c>
      <c r="H20" s="127">
        <v>1188347.3199999996</v>
      </c>
      <c r="I20" s="127">
        <v>1072850.6400000001</v>
      </c>
      <c r="J20" s="127">
        <v>1115001.3399999999</v>
      </c>
      <c r="K20" s="127">
        <v>843599.32999999984</v>
      </c>
      <c r="L20" s="127">
        <v>624194.65999999654</v>
      </c>
      <c r="M20" s="127">
        <v>571548.01333333342</v>
      </c>
      <c r="N20" s="127">
        <v>1161834.6766666668</v>
      </c>
      <c r="O20" s="127">
        <v>1202054.6433333331</v>
      </c>
      <c r="P20" s="127">
        <v>1141680.67</v>
      </c>
      <c r="Q20" s="127">
        <v>1096984.668015752</v>
      </c>
      <c r="R20" s="5">
        <f t="shared" si="19"/>
        <v>12190071.961349081</v>
      </c>
      <c r="S20" s="5">
        <f t="shared" si="4"/>
        <v>11183552.258118423</v>
      </c>
      <c r="T20" s="5">
        <f t="shared" si="20"/>
        <v>1006519.7032306585</v>
      </c>
      <c r="U20" s="21">
        <f t="shared" si="21"/>
        <v>609503.59806745406</v>
      </c>
      <c r="V20" s="41"/>
      <c r="X20" s="142"/>
    </row>
    <row r="21" spans="1:25" ht="14.4" x14ac:dyDescent="0.3">
      <c r="A21" s="46" t="s">
        <v>67</v>
      </c>
      <c r="B21" s="53" t="s">
        <v>118</v>
      </c>
      <c r="C21" s="59" t="s">
        <v>68</v>
      </c>
      <c r="D21" s="60">
        <v>90</v>
      </c>
      <c r="E21" s="155"/>
      <c r="F21" s="127">
        <v>595626</v>
      </c>
      <c r="G21" s="127">
        <v>572442</v>
      </c>
      <c r="H21" s="127">
        <v>610848</v>
      </c>
      <c r="I21" s="127">
        <v>559224</v>
      </c>
      <c r="J21" s="127">
        <v>564762</v>
      </c>
      <c r="K21" s="127">
        <v>490728</v>
      </c>
      <c r="L21" s="127">
        <v>431472</v>
      </c>
      <c r="M21" s="127">
        <v>429120</v>
      </c>
      <c r="N21" s="127">
        <v>567015</v>
      </c>
      <c r="O21" s="127">
        <v>612132</v>
      </c>
      <c r="P21" s="127">
        <v>600165</v>
      </c>
      <c r="Q21" s="127">
        <v>492867</v>
      </c>
      <c r="R21" s="5">
        <f t="shared" si="19"/>
        <v>6526401</v>
      </c>
      <c r="S21" s="5">
        <f t="shared" si="4"/>
        <v>5987523.8532110089</v>
      </c>
      <c r="T21" s="5">
        <f t="shared" si="20"/>
        <v>538877.14678899106</v>
      </c>
      <c r="U21" s="21">
        <f t="shared" si="21"/>
        <v>72515.566666666666</v>
      </c>
      <c r="V21" s="41"/>
      <c r="X21" s="142"/>
    </row>
    <row r="22" spans="1:25" ht="14.4" x14ac:dyDescent="0.3">
      <c r="A22" s="46" t="s">
        <v>69</v>
      </c>
      <c r="B22" s="53" t="s">
        <v>119</v>
      </c>
      <c r="C22" s="59" t="s">
        <v>70</v>
      </c>
      <c r="D22" s="60">
        <v>45</v>
      </c>
      <c r="E22" s="155"/>
      <c r="F22" s="127">
        <v>29893.5</v>
      </c>
      <c r="G22" s="127">
        <v>28750.5</v>
      </c>
      <c r="H22" s="127">
        <v>31447.5</v>
      </c>
      <c r="I22" s="127">
        <v>29118</v>
      </c>
      <c r="J22" s="127">
        <v>30165</v>
      </c>
      <c r="K22" s="127">
        <v>25818</v>
      </c>
      <c r="L22" s="127">
        <v>23179.5</v>
      </c>
      <c r="M22" s="127">
        <v>24034.5</v>
      </c>
      <c r="N22" s="127">
        <v>30489</v>
      </c>
      <c r="O22" s="127">
        <v>34873.5</v>
      </c>
      <c r="P22" s="127">
        <v>32764.5</v>
      </c>
      <c r="Q22" s="127">
        <v>27870</v>
      </c>
      <c r="R22" s="5">
        <f t="shared" si="19"/>
        <v>348403.5</v>
      </c>
      <c r="S22" s="5">
        <f t="shared" si="4"/>
        <v>319636.23853211006</v>
      </c>
      <c r="T22" s="5">
        <f t="shared" si="20"/>
        <v>28767.261467889941</v>
      </c>
      <c r="U22" s="21">
        <f t="shared" si="21"/>
        <v>7742.3</v>
      </c>
      <c r="V22" s="35"/>
      <c r="X22" s="142"/>
    </row>
    <row r="23" spans="1:25" ht="14.4" x14ac:dyDescent="0.3">
      <c r="A23" s="46" t="s">
        <v>71</v>
      </c>
      <c r="B23" s="53" t="s">
        <v>120</v>
      </c>
      <c r="C23" s="59" t="s">
        <v>72</v>
      </c>
      <c r="D23" s="60">
        <v>18</v>
      </c>
      <c r="E23" s="155"/>
      <c r="F23" s="127">
        <v>27709.800000000003</v>
      </c>
      <c r="G23" s="127">
        <v>24769.8</v>
      </c>
      <c r="H23" s="127">
        <v>29487.599999999999</v>
      </c>
      <c r="I23" s="127">
        <v>23399.999999999996</v>
      </c>
      <c r="J23" s="127">
        <v>24658.199999999997</v>
      </c>
      <c r="K23" s="127">
        <v>10177.799999999999</v>
      </c>
      <c r="L23" s="127">
        <v>3228</v>
      </c>
      <c r="M23" s="127">
        <v>4075.2</v>
      </c>
      <c r="N23" s="127">
        <v>34156.199999999997</v>
      </c>
      <c r="O23" s="127">
        <v>32743.800000000003</v>
      </c>
      <c r="P23" s="127">
        <v>31236</v>
      </c>
      <c r="Q23" s="127">
        <v>24309.599999999999</v>
      </c>
      <c r="R23" s="5">
        <f t="shared" si="19"/>
        <v>269952</v>
      </c>
      <c r="S23" s="5">
        <f t="shared" si="4"/>
        <v>247662.38532110091</v>
      </c>
      <c r="T23" s="5">
        <f t="shared" si="20"/>
        <v>22289.614678899088</v>
      </c>
      <c r="U23" s="21">
        <f t="shared" si="21"/>
        <v>14997.333333333334</v>
      </c>
      <c r="V23" s="35"/>
      <c r="X23" s="142"/>
    </row>
    <row r="24" spans="1:25" ht="14.4" x14ac:dyDescent="0.3">
      <c r="A24" s="46" t="s">
        <v>73</v>
      </c>
      <c r="B24" s="53" t="s">
        <v>121</v>
      </c>
      <c r="C24" s="59" t="s">
        <v>96</v>
      </c>
      <c r="D24" s="60">
        <v>300</v>
      </c>
      <c r="E24" s="155"/>
      <c r="F24" s="127">
        <v>10283.33</v>
      </c>
      <c r="G24" s="127">
        <v>9513.32</v>
      </c>
      <c r="H24" s="127">
        <v>9220</v>
      </c>
      <c r="I24" s="127">
        <v>9983.33</v>
      </c>
      <c r="J24" s="127">
        <v>10029.99</v>
      </c>
      <c r="K24" s="127">
        <v>9616.6766666666663</v>
      </c>
      <c r="L24" s="127">
        <v>9416.6569906616205</v>
      </c>
      <c r="M24" s="127">
        <v>9296.6636302693696</v>
      </c>
      <c r="N24" s="127">
        <v>10109.996721801757</v>
      </c>
      <c r="O24" s="127">
        <v>12640</v>
      </c>
      <c r="P24" s="127">
        <v>13699.996734110513</v>
      </c>
      <c r="Q24" s="127">
        <v>16416.656986897786</v>
      </c>
      <c r="R24" s="5">
        <f t="shared" si="19"/>
        <v>130226.6177304077</v>
      </c>
      <c r="S24" s="5">
        <f t="shared" si="4"/>
        <v>119473.96122055751</v>
      </c>
      <c r="T24" s="5">
        <f t="shared" si="20"/>
        <v>10752.656509850189</v>
      </c>
      <c r="U24" s="21">
        <f t="shared" si="21"/>
        <v>434.08872576802565</v>
      </c>
      <c r="V24" s="35"/>
      <c r="X24" s="142"/>
    </row>
    <row r="25" spans="1:25" ht="14.4" x14ac:dyDescent="0.3">
      <c r="A25" s="46" t="s">
        <v>74</v>
      </c>
      <c r="B25" s="53" t="s">
        <v>122</v>
      </c>
      <c r="C25" s="59" t="s">
        <v>97</v>
      </c>
      <c r="D25" s="60">
        <v>150</v>
      </c>
      <c r="E25" s="155"/>
      <c r="F25" s="127">
        <v>6756.66</v>
      </c>
      <c r="G25" s="127">
        <v>6356.67</v>
      </c>
      <c r="H25" s="127">
        <v>6756.66</v>
      </c>
      <c r="I25" s="127">
        <v>6606.67</v>
      </c>
      <c r="J25" s="127">
        <v>6248.33</v>
      </c>
      <c r="K25" s="127">
        <v>5445</v>
      </c>
      <c r="L25" s="127">
        <v>5611.6700464375799</v>
      </c>
      <c r="M25" s="127">
        <v>5551.6667078145329</v>
      </c>
      <c r="N25" s="127">
        <v>5876.6666809590652</v>
      </c>
      <c r="O25" s="127">
        <v>6365.0066666666662</v>
      </c>
      <c r="P25" s="127">
        <v>6953.3400179036453</v>
      </c>
      <c r="Q25" s="127">
        <v>9735.0067241414381</v>
      </c>
      <c r="R25" s="5">
        <f t="shared" si="19"/>
        <v>78263.346843922933</v>
      </c>
      <c r="S25" s="5">
        <f t="shared" si="4"/>
        <v>71801.235636626545</v>
      </c>
      <c r="T25" s="5">
        <f t="shared" si="20"/>
        <v>6462.1112072963879</v>
      </c>
      <c r="U25" s="21">
        <f t="shared" si="21"/>
        <v>521.75564562615284</v>
      </c>
      <c r="V25" s="35"/>
      <c r="X25" s="142"/>
    </row>
    <row r="26" spans="1:25" ht="14.4" x14ac:dyDescent="0.3">
      <c r="A26" s="46" t="s">
        <v>75</v>
      </c>
      <c r="B26" s="53" t="s">
        <v>123</v>
      </c>
      <c r="C26" s="59" t="s">
        <v>98</v>
      </c>
      <c r="D26" s="60">
        <v>60</v>
      </c>
      <c r="E26" s="155"/>
      <c r="F26" s="127">
        <v>25523.33</v>
      </c>
      <c r="G26" s="127">
        <v>26120.010000000002</v>
      </c>
      <c r="H26" s="127">
        <v>30539.35</v>
      </c>
      <c r="I26" s="127">
        <v>26544</v>
      </c>
      <c r="J26" s="127">
        <v>21627.34</v>
      </c>
      <c r="K26" s="127">
        <v>12417.343333333334</v>
      </c>
      <c r="L26" s="127">
        <v>9374.006666666668</v>
      </c>
      <c r="M26" s="127">
        <v>9813.27</v>
      </c>
      <c r="N26" s="127">
        <v>22662.003333333334</v>
      </c>
      <c r="O26" s="127">
        <v>29895.996666666666</v>
      </c>
      <c r="P26" s="127">
        <v>30924.003333333334</v>
      </c>
      <c r="Q26" s="127">
        <v>25946.659999999996</v>
      </c>
      <c r="R26" s="5">
        <f t="shared" si="19"/>
        <v>271387.3133333333</v>
      </c>
      <c r="S26" s="5">
        <f t="shared" si="4"/>
        <v>248979.18654434246</v>
      </c>
      <c r="T26" s="5">
        <f t="shared" si="20"/>
        <v>22408.126788990834</v>
      </c>
      <c r="U26" s="21">
        <f t="shared" si="21"/>
        <v>4523.121888888888</v>
      </c>
      <c r="V26" s="35"/>
      <c r="X26" s="142"/>
    </row>
    <row r="27" spans="1:25" ht="14.4" x14ac:dyDescent="0.3">
      <c r="A27" s="46" t="s">
        <v>76</v>
      </c>
      <c r="B27" s="53" t="s">
        <v>124</v>
      </c>
      <c r="C27" s="59" t="s">
        <v>99</v>
      </c>
      <c r="D27" s="60">
        <v>270</v>
      </c>
      <c r="E27" s="155"/>
      <c r="F27" s="127">
        <v>7503</v>
      </c>
      <c r="G27" s="127">
        <v>7326</v>
      </c>
      <c r="H27" s="127">
        <v>10095</v>
      </c>
      <c r="I27" s="127">
        <v>11121</v>
      </c>
      <c r="J27" s="127">
        <v>10737</v>
      </c>
      <c r="K27" s="127">
        <v>10449</v>
      </c>
      <c r="L27" s="127">
        <v>9522</v>
      </c>
      <c r="M27" s="127">
        <v>10332</v>
      </c>
      <c r="N27" s="127">
        <v>12186</v>
      </c>
      <c r="O27" s="127">
        <v>11391</v>
      </c>
      <c r="P27" s="127">
        <v>10905</v>
      </c>
      <c r="Q27" s="127">
        <v>5295</v>
      </c>
      <c r="R27" s="5">
        <f t="shared" si="19"/>
        <v>116862</v>
      </c>
      <c r="S27" s="5">
        <f t="shared" si="4"/>
        <v>107212.84403669724</v>
      </c>
      <c r="T27" s="5">
        <f t="shared" si="20"/>
        <v>9649.1559633027646</v>
      </c>
      <c r="U27" s="21">
        <f t="shared" si="21"/>
        <v>432.82222222222219</v>
      </c>
      <c r="V27" s="35"/>
      <c r="X27" s="142"/>
    </row>
    <row r="28" spans="1:25" ht="14.4" x14ac:dyDescent="0.3">
      <c r="A28" s="46" t="s">
        <v>77</v>
      </c>
      <c r="B28" s="53" t="s">
        <v>125</v>
      </c>
      <c r="C28" s="59" t="s">
        <v>100</v>
      </c>
      <c r="D28" s="60">
        <v>135</v>
      </c>
      <c r="E28" s="155"/>
      <c r="F28" s="127">
        <v>259.5</v>
      </c>
      <c r="G28" s="127">
        <v>183</v>
      </c>
      <c r="H28" s="127">
        <v>355.5</v>
      </c>
      <c r="I28" s="127">
        <v>372</v>
      </c>
      <c r="J28" s="127">
        <v>358.5</v>
      </c>
      <c r="K28" s="127">
        <v>175.5</v>
      </c>
      <c r="L28" s="127">
        <v>99</v>
      </c>
      <c r="M28" s="127">
        <v>168</v>
      </c>
      <c r="N28" s="127">
        <v>238.5</v>
      </c>
      <c r="O28" s="127">
        <v>271.5</v>
      </c>
      <c r="P28" s="127">
        <v>235.5</v>
      </c>
      <c r="Q28" s="127">
        <v>244.5</v>
      </c>
      <c r="R28" s="5">
        <f t="shared" si="19"/>
        <v>2961</v>
      </c>
      <c r="S28" s="5">
        <f t="shared" si="4"/>
        <v>2716.5137614678897</v>
      </c>
      <c r="T28" s="5">
        <f t="shared" si="20"/>
        <v>244.48623853211029</v>
      </c>
      <c r="U28" s="21">
        <f t="shared" si="21"/>
        <v>21.933333333333334</v>
      </c>
      <c r="V28" s="35"/>
      <c r="X28" s="142"/>
    </row>
    <row r="29" spans="1:25" ht="14.4" x14ac:dyDescent="0.3">
      <c r="A29" s="46" t="s">
        <v>78</v>
      </c>
      <c r="B29" s="53" t="s">
        <v>126</v>
      </c>
      <c r="C29" s="59" t="s">
        <v>101</v>
      </c>
      <c r="D29" s="60">
        <v>54</v>
      </c>
      <c r="E29" s="155"/>
      <c r="F29" s="127">
        <v>1584.6</v>
      </c>
      <c r="G29" s="127">
        <v>1649.4</v>
      </c>
      <c r="H29" s="127">
        <v>1753.2</v>
      </c>
      <c r="I29" s="127">
        <v>1288.8</v>
      </c>
      <c r="J29" s="127">
        <v>899.40000000000009</v>
      </c>
      <c r="K29" s="127">
        <v>355.2</v>
      </c>
      <c r="L29" s="127">
        <v>150</v>
      </c>
      <c r="M29" s="127">
        <v>162.6</v>
      </c>
      <c r="N29" s="127">
        <v>1617.6</v>
      </c>
      <c r="O29" s="127">
        <v>2353.8000000000002</v>
      </c>
      <c r="P29" s="127">
        <v>2557.8000000000002</v>
      </c>
      <c r="Q29" s="127">
        <v>1817.3999999999999</v>
      </c>
      <c r="R29" s="5">
        <f t="shared" si="19"/>
        <v>16189.799999999997</v>
      </c>
      <c r="S29" s="5">
        <f t="shared" si="4"/>
        <v>14853.027522935776</v>
      </c>
      <c r="T29" s="5">
        <f t="shared" si="20"/>
        <v>1336.7724770642217</v>
      </c>
      <c r="U29" s="21">
        <f t="shared" si="21"/>
        <v>299.81111111111107</v>
      </c>
      <c r="V29" s="35"/>
      <c r="X29" s="142"/>
    </row>
    <row r="30" spans="1:25" ht="14.4" x14ac:dyDescent="0.3">
      <c r="A30" s="46" t="s">
        <v>79</v>
      </c>
      <c r="B30" s="53" t="s">
        <v>127</v>
      </c>
      <c r="C30" s="59" t="s">
        <v>102</v>
      </c>
      <c r="D30" s="60">
        <v>600</v>
      </c>
      <c r="E30" s="155"/>
      <c r="F30" s="127">
        <v>929.99999999999989</v>
      </c>
      <c r="G30" s="127">
        <v>776.67</v>
      </c>
      <c r="H30" s="127">
        <v>963.32999999999993</v>
      </c>
      <c r="I30" s="127">
        <v>646.67000000000007</v>
      </c>
      <c r="J30" s="127">
        <v>480</v>
      </c>
      <c r="K30" s="127">
        <v>400</v>
      </c>
      <c r="L30" s="127">
        <v>506.65999999999991</v>
      </c>
      <c r="M30" s="127">
        <v>583.33000325520823</v>
      </c>
      <c r="N30" s="127">
        <v>643.33333333333326</v>
      </c>
      <c r="O30" s="127">
        <v>763.33333333333326</v>
      </c>
      <c r="P30" s="127">
        <v>1000</v>
      </c>
      <c r="Q30" s="127">
        <v>1586.6633463541659</v>
      </c>
      <c r="R30" s="5">
        <f t="shared" si="19"/>
        <v>9279.9900162760405</v>
      </c>
      <c r="S30" s="5">
        <f t="shared" si="4"/>
        <v>8513.7523085101275</v>
      </c>
      <c r="T30" s="5">
        <f t="shared" si="20"/>
        <v>766.237707765913</v>
      </c>
      <c r="U30" s="21">
        <f t="shared" si="21"/>
        <v>15.466650027126734</v>
      </c>
      <c r="V30" s="35"/>
      <c r="X30" s="142"/>
    </row>
    <row r="31" spans="1:25" ht="14.4" x14ac:dyDescent="0.3">
      <c r="A31" s="46" t="s">
        <v>80</v>
      </c>
      <c r="B31" s="53" t="s">
        <v>128</v>
      </c>
      <c r="C31" s="59" t="s">
        <v>103</v>
      </c>
      <c r="D31" s="60">
        <v>300</v>
      </c>
      <c r="E31" s="155"/>
      <c r="F31" s="127">
        <v>968.35</v>
      </c>
      <c r="G31" s="127">
        <v>896.69</v>
      </c>
      <c r="H31" s="127">
        <v>1015.03</v>
      </c>
      <c r="I31" s="127">
        <v>968.34</v>
      </c>
      <c r="J31" s="127">
        <v>1006.68</v>
      </c>
      <c r="K31" s="127">
        <v>1033.33</v>
      </c>
      <c r="L31" s="127">
        <v>1076.6766764322915</v>
      </c>
      <c r="M31" s="127">
        <v>1120.0066715494791</v>
      </c>
      <c r="N31" s="127">
        <v>986.66666839599611</v>
      </c>
      <c r="O31" s="127">
        <v>1010.0033333333333</v>
      </c>
      <c r="P31" s="127">
        <v>928.32999999999993</v>
      </c>
      <c r="Q31" s="127">
        <v>1208.3400130208331</v>
      </c>
      <c r="R31" s="5">
        <f t="shared" si="19"/>
        <v>12218.443362731934</v>
      </c>
      <c r="S31" s="5">
        <f t="shared" si="4"/>
        <v>11209.581066726545</v>
      </c>
      <c r="T31" s="5">
        <f t="shared" si="20"/>
        <v>1008.862296005389</v>
      </c>
      <c r="U31" s="21">
        <f t="shared" si="21"/>
        <v>40.728144542439779</v>
      </c>
      <c r="V31" s="35"/>
      <c r="X31" s="142"/>
    </row>
    <row r="32" spans="1:25" ht="14.4" x14ac:dyDescent="0.3">
      <c r="A32" s="46" t="s">
        <v>81</v>
      </c>
      <c r="B32" s="53" t="s">
        <v>129</v>
      </c>
      <c r="C32" s="59" t="s">
        <v>104</v>
      </c>
      <c r="D32" s="60">
        <v>120</v>
      </c>
      <c r="E32" s="155"/>
      <c r="F32" s="127">
        <v>4142.66</v>
      </c>
      <c r="G32" s="127">
        <v>4013.99</v>
      </c>
      <c r="H32" s="127">
        <v>3698.67</v>
      </c>
      <c r="I32" s="127">
        <v>2943.33</v>
      </c>
      <c r="J32" s="127">
        <v>2709.99</v>
      </c>
      <c r="K32" s="127">
        <v>2098.0066666666667</v>
      </c>
      <c r="L32" s="127">
        <v>1505.3466626993813</v>
      </c>
      <c r="M32" s="127">
        <v>1409.9833281707763</v>
      </c>
      <c r="N32" s="127">
        <v>2601.33</v>
      </c>
      <c r="O32" s="127">
        <v>3117.3566666666666</v>
      </c>
      <c r="P32" s="127">
        <v>3678.01</v>
      </c>
      <c r="Q32" s="127">
        <v>4994.6733333333341</v>
      </c>
      <c r="R32" s="5">
        <f t="shared" si="19"/>
        <v>36913.346657536829</v>
      </c>
      <c r="S32" s="5">
        <f t="shared" si="4"/>
        <v>33865.455649116353</v>
      </c>
      <c r="T32" s="5">
        <f t="shared" si="20"/>
        <v>3047.8910084204763</v>
      </c>
      <c r="U32" s="21">
        <f t="shared" si="21"/>
        <v>307.61122214614022</v>
      </c>
      <c r="V32" s="35"/>
      <c r="X32" s="142"/>
    </row>
    <row r="33" spans="1:25" ht="14.4" x14ac:dyDescent="0.3">
      <c r="A33" s="46" t="s">
        <v>82</v>
      </c>
      <c r="B33" s="53" t="s">
        <v>130</v>
      </c>
      <c r="C33" s="59" t="s">
        <v>105</v>
      </c>
      <c r="D33" s="60">
        <v>540</v>
      </c>
      <c r="E33" s="155"/>
      <c r="F33" s="127">
        <v>555</v>
      </c>
      <c r="G33" s="127">
        <v>1080</v>
      </c>
      <c r="H33" s="127">
        <v>1446</v>
      </c>
      <c r="I33" s="127">
        <v>1356</v>
      </c>
      <c r="J33" s="127">
        <v>1545</v>
      </c>
      <c r="K33" s="127">
        <v>1518</v>
      </c>
      <c r="L33" s="127">
        <v>1230</v>
      </c>
      <c r="M33" s="127">
        <v>648</v>
      </c>
      <c r="N33" s="127">
        <v>378</v>
      </c>
      <c r="O33" s="127">
        <v>546</v>
      </c>
      <c r="P33" s="127">
        <v>639</v>
      </c>
      <c r="Q33" s="127">
        <v>1053</v>
      </c>
      <c r="R33" s="5">
        <f t="shared" si="19"/>
        <v>11994</v>
      </c>
      <c r="S33" s="5">
        <f t="shared" si="4"/>
        <v>11003.669724770642</v>
      </c>
      <c r="T33" s="5">
        <f t="shared" si="20"/>
        <v>990.33027522935845</v>
      </c>
      <c r="U33" s="21">
        <f t="shared" si="21"/>
        <v>22.211111111111112</v>
      </c>
      <c r="V33" s="35"/>
      <c r="X33" s="142"/>
    </row>
    <row r="34" spans="1:25" ht="14.4" x14ac:dyDescent="0.3">
      <c r="A34" s="46" t="s">
        <v>83</v>
      </c>
      <c r="B34" s="53" t="s">
        <v>131</v>
      </c>
      <c r="C34" s="59" t="s">
        <v>106</v>
      </c>
      <c r="D34" s="60">
        <v>270</v>
      </c>
      <c r="E34" s="155"/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20</v>
      </c>
      <c r="Q34" s="127">
        <v>70.5</v>
      </c>
      <c r="R34" s="5">
        <f t="shared" si="19"/>
        <v>90.5</v>
      </c>
      <c r="S34" s="5">
        <f t="shared" si="4"/>
        <v>83.027522935779814</v>
      </c>
      <c r="T34" s="5">
        <f t="shared" si="20"/>
        <v>7.4724770642201861</v>
      </c>
      <c r="U34" s="21">
        <f t="shared" si="21"/>
        <v>0.3351851851851852</v>
      </c>
      <c r="V34" s="35"/>
      <c r="X34" s="142"/>
    </row>
    <row r="35" spans="1:25" ht="14.4" x14ac:dyDescent="0.3">
      <c r="A35" s="46" t="s">
        <v>84</v>
      </c>
      <c r="B35" s="53" t="s">
        <v>132</v>
      </c>
      <c r="C35" s="59" t="s">
        <v>107</v>
      </c>
      <c r="D35" s="60">
        <v>108</v>
      </c>
      <c r="E35" s="155"/>
      <c r="F35" s="127">
        <v>450</v>
      </c>
      <c r="G35" s="127">
        <v>403.2</v>
      </c>
      <c r="H35" s="127">
        <v>339</v>
      </c>
      <c r="I35" s="127">
        <v>279.60000000000002</v>
      </c>
      <c r="J35" s="127">
        <v>242.4</v>
      </c>
      <c r="K35" s="127">
        <v>115.79999999999998</v>
      </c>
      <c r="L35" s="127">
        <v>28.8</v>
      </c>
      <c r="M35" s="127">
        <v>20.400000000000002</v>
      </c>
      <c r="N35" s="127">
        <v>120.6</v>
      </c>
      <c r="O35" s="127">
        <v>221.93</v>
      </c>
      <c r="P35" s="127">
        <v>492.79999999999995</v>
      </c>
      <c r="Q35" s="127">
        <v>350.4</v>
      </c>
      <c r="R35" s="5">
        <f t="shared" si="19"/>
        <v>3064.93</v>
      </c>
      <c r="S35" s="5">
        <f t="shared" si="4"/>
        <v>2811.8623853211006</v>
      </c>
      <c r="T35" s="5">
        <f t="shared" si="20"/>
        <v>253.06761467889919</v>
      </c>
      <c r="U35" s="21">
        <f t="shared" si="21"/>
        <v>28.378981481481478</v>
      </c>
      <c r="V35" s="35"/>
      <c r="X35" s="142"/>
    </row>
    <row r="36" spans="1:25" ht="14.4" x14ac:dyDescent="0.3">
      <c r="A36" s="46" t="s">
        <v>85</v>
      </c>
      <c r="B36" s="53" t="s">
        <v>133</v>
      </c>
      <c r="C36" s="59" t="s">
        <v>108</v>
      </c>
      <c r="D36" s="60">
        <v>900</v>
      </c>
      <c r="E36" s="155"/>
      <c r="F36" s="127">
        <v>619.99</v>
      </c>
      <c r="G36" s="127">
        <v>559.99</v>
      </c>
      <c r="H36" s="127">
        <v>606.66</v>
      </c>
      <c r="I36" s="127">
        <v>513.33000000000004</v>
      </c>
      <c r="J36" s="127">
        <v>580</v>
      </c>
      <c r="K36" s="127">
        <v>480</v>
      </c>
      <c r="L36" s="127">
        <v>620.00000651041648</v>
      </c>
      <c r="M36" s="127">
        <v>620.00333984374993</v>
      </c>
      <c r="N36" s="127">
        <v>633.33333333333326</v>
      </c>
      <c r="O36" s="127">
        <v>516.66666666666663</v>
      </c>
      <c r="P36" s="127">
        <v>500</v>
      </c>
      <c r="Q36" s="127">
        <v>530.00333984374993</v>
      </c>
      <c r="R36" s="5">
        <f t="shared" si="19"/>
        <v>6779.976686197916</v>
      </c>
      <c r="S36" s="5">
        <f t="shared" si="4"/>
        <v>6220.16209742928</v>
      </c>
      <c r="T36" s="5">
        <f t="shared" si="20"/>
        <v>559.81458876863599</v>
      </c>
      <c r="U36" s="21">
        <f t="shared" si="21"/>
        <v>7.5333074291087954</v>
      </c>
      <c r="V36" s="35"/>
      <c r="X36" s="142"/>
    </row>
    <row r="37" spans="1:25" ht="14.4" x14ac:dyDescent="0.3">
      <c r="A37" s="46" t="s">
        <v>86</v>
      </c>
      <c r="B37" s="53" t="s">
        <v>134</v>
      </c>
      <c r="C37" s="59" t="s">
        <v>109</v>
      </c>
      <c r="D37" s="60">
        <v>450</v>
      </c>
      <c r="E37" s="155"/>
      <c r="F37" s="127">
        <v>310</v>
      </c>
      <c r="G37" s="127">
        <v>186.67000000000002</v>
      </c>
      <c r="H37" s="127">
        <v>185</v>
      </c>
      <c r="I37" s="127">
        <v>100</v>
      </c>
      <c r="J37" s="127">
        <v>90</v>
      </c>
      <c r="K37" s="127">
        <v>100</v>
      </c>
      <c r="L37" s="127">
        <v>103.33333333333331</v>
      </c>
      <c r="M37" s="127">
        <v>123.33333333333331</v>
      </c>
      <c r="N37" s="127">
        <v>225</v>
      </c>
      <c r="O37" s="127">
        <v>206.66666666666663</v>
      </c>
      <c r="P37" s="127">
        <v>205</v>
      </c>
      <c r="Q37" s="127">
        <v>303.33333333333326</v>
      </c>
      <c r="R37" s="5">
        <f t="shared" si="19"/>
        <v>2138.3366666666661</v>
      </c>
      <c r="S37" s="5">
        <f t="shared" si="4"/>
        <v>1961.7767584097853</v>
      </c>
      <c r="T37" s="5">
        <f t="shared" si="20"/>
        <v>176.55990825688082</v>
      </c>
      <c r="U37" s="21">
        <f t="shared" si="21"/>
        <v>4.7518592592592581</v>
      </c>
      <c r="V37" s="35"/>
      <c r="X37" s="142"/>
    </row>
    <row r="38" spans="1:25" ht="14.4" x14ac:dyDescent="0.3">
      <c r="A38" s="46" t="s">
        <v>87</v>
      </c>
      <c r="B38" s="53" t="s">
        <v>135</v>
      </c>
      <c r="C38" s="59" t="s">
        <v>110</v>
      </c>
      <c r="D38" s="60">
        <v>180</v>
      </c>
      <c r="E38" s="155"/>
      <c r="F38" s="127">
        <v>4088.0200000000004</v>
      </c>
      <c r="G38" s="127">
        <v>3708.01</v>
      </c>
      <c r="H38" s="127">
        <v>4019.35</v>
      </c>
      <c r="I38" s="127">
        <v>3852.66</v>
      </c>
      <c r="J38" s="127">
        <v>3610.69</v>
      </c>
      <c r="K38" s="127">
        <v>830.00666666666666</v>
      </c>
      <c r="L38" s="127">
        <v>556.66999979654952</v>
      </c>
      <c r="M38" s="127">
        <v>909.32666666666682</v>
      </c>
      <c r="N38" s="127">
        <v>4382.0032979075113</v>
      </c>
      <c r="O38" s="127">
        <v>5225.33</v>
      </c>
      <c r="P38" s="127">
        <v>4937.3333329264315</v>
      </c>
      <c r="Q38" s="127">
        <v>5526.6766655985521</v>
      </c>
      <c r="R38" s="5">
        <f t="shared" si="19"/>
        <v>41646.076629562376</v>
      </c>
      <c r="S38" s="5">
        <f t="shared" si="4"/>
        <v>38207.409751892083</v>
      </c>
      <c r="T38" s="5">
        <f t="shared" si="20"/>
        <v>3438.6668776702936</v>
      </c>
      <c r="U38" s="21">
        <f t="shared" si="21"/>
        <v>231.36709238645764</v>
      </c>
      <c r="V38" s="35"/>
      <c r="X38" s="142"/>
    </row>
    <row r="39" spans="1:25" ht="14.4" x14ac:dyDescent="0.3">
      <c r="A39" s="46" t="s">
        <v>88</v>
      </c>
      <c r="B39" s="53" t="s">
        <v>136</v>
      </c>
      <c r="C39" s="59" t="s">
        <v>111</v>
      </c>
      <c r="D39" s="60">
        <v>810</v>
      </c>
      <c r="E39" s="155"/>
      <c r="F39" s="127">
        <v>54</v>
      </c>
      <c r="G39" s="127">
        <v>228</v>
      </c>
      <c r="H39" s="127">
        <v>465</v>
      </c>
      <c r="I39" s="127">
        <v>537</v>
      </c>
      <c r="J39" s="127">
        <v>558</v>
      </c>
      <c r="K39" s="127">
        <v>540</v>
      </c>
      <c r="L39" s="127">
        <v>603</v>
      </c>
      <c r="M39" s="127">
        <v>651</v>
      </c>
      <c r="N39" s="127">
        <v>711</v>
      </c>
      <c r="O39" s="127">
        <v>702</v>
      </c>
      <c r="P39" s="127">
        <v>537</v>
      </c>
      <c r="Q39" s="127">
        <v>495</v>
      </c>
      <c r="R39" s="5">
        <f t="shared" si="19"/>
        <v>6081</v>
      </c>
      <c r="S39" s="5">
        <f t="shared" si="4"/>
        <v>5578.899082568807</v>
      </c>
      <c r="T39" s="5">
        <f t="shared" si="20"/>
        <v>502.10091743119301</v>
      </c>
      <c r="U39" s="21">
        <f t="shared" si="21"/>
        <v>7.5074074074074071</v>
      </c>
      <c r="V39" s="71"/>
      <c r="X39" s="142"/>
    </row>
    <row r="40" spans="1:25" ht="14.4" x14ac:dyDescent="0.3">
      <c r="A40" s="46" t="s">
        <v>89</v>
      </c>
      <c r="B40" s="53" t="s">
        <v>137</v>
      </c>
      <c r="C40" s="59" t="s">
        <v>112</v>
      </c>
      <c r="D40" s="60">
        <v>405</v>
      </c>
      <c r="E40" s="155"/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34.5</v>
      </c>
      <c r="O40" s="127">
        <v>46.5</v>
      </c>
      <c r="P40" s="127">
        <v>45</v>
      </c>
      <c r="Q40" s="127">
        <v>46.5</v>
      </c>
      <c r="R40" s="5">
        <f t="shared" si="19"/>
        <v>172.5</v>
      </c>
      <c r="S40" s="5">
        <f t="shared" si="4"/>
        <v>158.25688073394494</v>
      </c>
      <c r="T40" s="5">
        <f t="shared" si="20"/>
        <v>14.243119266055061</v>
      </c>
      <c r="U40" s="21">
        <f t="shared" si="21"/>
        <v>0.42592592592592593</v>
      </c>
      <c r="V40" s="71"/>
      <c r="X40" s="142"/>
    </row>
    <row r="41" spans="1:25" ht="14.4" x14ac:dyDescent="0.3">
      <c r="A41" s="54" t="s">
        <v>90</v>
      </c>
      <c r="B41" s="55" t="s">
        <v>138</v>
      </c>
      <c r="C41" s="245" t="s">
        <v>113</v>
      </c>
      <c r="D41" s="246">
        <v>162</v>
      </c>
      <c r="E41" s="158"/>
      <c r="F41" s="127">
        <v>465</v>
      </c>
      <c r="G41" s="127">
        <v>426.00000000000006</v>
      </c>
      <c r="H41" s="127">
        <v>483.59999999999997</v>
      </c>
      <c r="I41" s="127">
        <v>468</v>
      </c>
      <c r="J41" s="127">
        <v>453</v>
      </c>
      <c r="K41" s="127">
        <v>123.60000000000001</v>
      </c>
      <c r="L41" s="127">
        <v>60</v>
      </c>
      <c r="M41" s="127">
        <v>86.399999999999991</v>
      </c>
      <c r="N41" s="127">
        <v>532.79999999999995</v>
      </c>
      <c r="O41" s="127">
        <v>650.40000000000009</v>
      </c>
      <c r="P41" s="127">
        <v>621</v>
      </c>
      <c r="Q41" s="127">
        <v>650.4</v>
      </c>
      <c r="R41" s="5">
        <f t="shared" si="19"/>
        <v>5020.1999999999989</v>
      </c>
      <c r="S41" s="5">
        <f t="shared" si="4"/>
        <v>4605.6880733944945</v>
      </c>
      <c r="T41" s="5">
        <f t="shared" si="20"/>
        <v>414.51192660550441</v>
      </c>
      <c r="U41" s="21">
        <f t="shared" si="21"/>
        <v>30.988888888888884</v>
      </c>
      <c r="V41" s="71"/>
      <c r="X41" s="142"/>
    </row>
    <row r="42" spans="1:25" ht="14.4" x14ac:dyDescent="0.3">
      <c r="A42" s="47" t="s">
        <v>201</v>
      </c>
      <c r="B42" s="56" t="s">
        <v>200</v>
      </c>
      <c r="C42" s="66" t="s">
        <v>202</v>
      </c>
      <c r="D42" s="67">
        <v>10</v>
      </c>
      <c r="E42" s="124"/>
      <c r="F42" s="124">
        <v>7907.4299999999994</v>
      </c>
      <c r="G42" s="124">
        <v>10492.530000000002</v>
      </c>
      <c r="H42" s="124">
        <v>13123.42</v>
      </c>
      <c r="I42" s="124">
        <v>13680.17</v>
      </c>
      <c r="J42" s="124">
        <v>14806.619999999999</v>
      </c>
      <c r="K42" s="124">
        <v>14820.244931506586</v>
      </c>
      <c r="L42" s="124">
        <v>15719.257946509788</v>
      </c>
      <c r="M42" s="124">
        <v>16040.663288975413</v>
      </c>
      <c r="N42" s="124">
        <v>15813.918218944869</v>
      </c>
      <c r="O42" s="148">
        <v>16644.368534246372</v>
      </c>
      <c r="P42" s="14">
        <v>16394.904520285312</v>
      </c>
      <c r="Q42" s="149">
        <v>17801.313152149403</v>
      </c>
      <c r="R42" s="5">
        <f t="shared" ref="R42" si="22">+SUM(F42:Q42)</f>
        <v>173244.84059261775</v>
      </c>
      <c r="S42" s="5">
        <f t="shared" ref="S42" si="23">+R42/1.09</f>
        <v>158940.22072717224</v>
      </c>
      <c r="T42" s="5">
        <f t="shared" ref="T42" si="24">+R42-S42</f>
        <v>14304.619865445507</v>
      </c>
      <c r="U42" s="21">
        <f t="shared" ref="U42" si="25">R42/D42</f>
        <v>17324.484059261777</v>
      </c>
      <c r="V42" s="71"/>
      <c r="X42" s="142"/>
    </row>
    <row r="43" spans="1:25" ht="12" customHeight="1" x14ac:dyDescent="0.25">
      <c r="A43" s="70" t="s">
        <v>16</v>
      </c>
      <c r="B43" s="52" t="s">
        <v>34</v>
      </c>
      <c r="C43" s="80" t="s">
        <v>91</v>
      </c>
      <c r="D43" s="78"/>
      <c r="E43" s="108"/>
      <c r="F43" s="82">
        <f t="shared" ref="F43:U43" si="26">+SUM(F44:F52)</f>
        <v>168202.02</v>
      </c>
      <c r="G43" s="82">
        <f t="shared" si="26"/>
        <v>148912.63</v>
      </c>
      <c r="H43" s="82">
        <f t="shared" si="26"/>
        <v>170443.68000000002</v>
      </c>
      <c r="I43" s="82">
        <f>+SUM(I44:I52)</f>
        <v>196399.51</v>
      </c>
      <c r="J43" s="82">
        <f t="shared" si="26"/>
        <v>209210.87000000002</v>
      </c>
      <c r="K43" s="82">
        <f t="shared" si="26"/>
        <v>260163.24000000002</v>
      </c>
      <c r="L43" s="82">
        <f t="shared" si="26"/>
        <v>270329.73</v>
      </c>
      <c r="M43" s="82">
        <f t="shared" si="26"/>
        <v>245271.85</v>
      </c>
      <c r="N43" s="187">
        <f t="shared" si="26"/>
        <v>235063.52</v>
      </c>
      <c r="O43" s="187">
        <f t="shared" si="26"/>
        <v>204694.47999999995</v>
      </c>
      <c r="P43" s="187">
        <f t="shared" ref="P43:Q43" si="27">+SUM(P44:P52)</f>
        <v>172114.46000000002</v>
      </c>
      <c r="Q43" s="19">
        <f t="shared" si="27"/>
        <v>226867.02999999997</v>
      </c>
      <c r="R43" s="42">
        <f>+SUM(R44:R52)</f>
        <v>2507673.02</v>
      </c>
      <c r="S43" s="100">
        <f>+SUM(S44:S52)</f>
        <v>2300617.4495412842</v>
      </c>
      <c r="T43" s="42">
        <f t="shared" si="26"/>
        <v>207055.57045871569</v>
      </c>
      <c r="U43" s="77">
        <f t="shared" si="26"/>
        <v>364661.09878048778</v>
      </c>
      <c r="V43" s="71"/>
    </row>
    <row r="44" spans="1:25" ht="12" customHeight="1" x14ac:dyDescent="0.3">
      <c r="A44" s="65" t="s">
        <v>17</v>
      </c>
      <c r="B44" s="86" t="s">
        <v>35</v>
      </c>
      <c r="C44" s="30" t="s">
        <v>2</v>
      </c>
      <c r="D44" s="29">
        <v>12</v>
      </c>
      <c r="E44" s="29"/>
      <c r="F44" s="127">
        <v>17028</v>
      </c>
      <c r="G44" s="127">
        <v>15720</v>
      </c>
      <c r="H44" s="127">
        <v>17664</v>
      </c>
      <c r="I44" s="127">
        <v>20028</v>
      </c>
      <c r="J44" s="127">
        <v>20784</v>
      </c>
      <c r="K44" s="127">
        <v>22044</v>
      </c>
      <c r="L44" s="127">
        <v>28128</v>
      </c>
      <c r="M44" s="127">
        <v>27432</v>
      </c>
      <c r="N44" s="127">
        <v>24696</v>
      </c>
      <c r="O44" s="127">
        <v>21144</v>
      </c>
      <c r="P44" s="127">
        <v>18960</v>
      </c>
      <c r="Q44" s="127">
        <v>21180</v>
      </c>
      <c r="R44" s="5">
        <f t="shared" ref="R44" si="28">+SUM(F44:Q44)</f>
        <v>254808</v>
      </c>
      <c r="S44" s="5">
        <f t="shared" si="4"/>
        <v>233768.80733944953</v>
      </c>
      <c r="T44" s="5">
        <f t="shared" ref="T44" si="29">+R44-S44</f>
        <v>21039.19266055047</v>
      </c>
      <c r="U44" s="21">
        <f t="shared" ref="U44" si="30">R44/D44</f>
        <v>21234</v>
      </c>
      <c r="V44" s="71"/>
      <c r="X44" s="142"/>
      <c r="Y44"/>
    </row>
    <row r="45" spans="1:25" ht="12" customHeight="1" x14ac:dyDescent="0.3">
      <c r="A45" s="46" t="s">
        <v>18</v>
      </c>
      <c r="B45" s="53" t="s">
        <v>35</v>
      </c>
      <c r="C45" s="11" t="s">
        <v>3</v>
      </c>
      <c r="D45" s="10">
        <v>6</v>
      </c>
      <c r="E45" s="29"/>
      <c r="F45" s="127">
        <v>2196</v>
      </c>
      <c r="G45" s="127">
        <v>1932</v>
      </c>
      <c r="H45" s="127">
        <v>2550</v>
      </c>
      <c r="I45" s="127">
        <v>2652</v>
      </c>
      <c r="J45" s="127">
        <v>2634</v>
      </c>
      <c r="K45" s="127">
        <v>2712</v>
      </c>
      <c r="L45" s="127">
        <v>3006</v>
      </c>
      <c r="M45" s="127">
        <v>2922</v>
      </c>
      <c r="N45" s="127">
        <v>2982</v>
      </c>
      <c r="O45" s="127">
        <v>3102</v>
      </c>
      <c r="P45" s="127">
        <v>2586</v>
      </c>
      <c r="Q45" s="127">
        <v>2472</v>
      </c>
      <c r="R45" s="5">
        <f t="shared" ref="R45:R52" si="31">+SUM(F45:Q45)</f>
        <v>31746</v>
      </c>
      <c r="S45" s="5">
        <f t="shared" si="4"/>
        <v>29124.770642201831</v>
      </c>
      <c r="T45" s="5">
        <f t="shared" ref="T45:T52" si="32">+R45-S45</f>
        <v>2621.2293577981691</v>
      </c>
      <c r="U45" s="21">
        <f t="shared" ref="U45:U52" si="33">R45/D45</f>
        <v>5291</v>
      </c>
      <c r="V45" s="71"/>
      <c r="X45" s="142"/>
    </row>
    <row r="46" spans="1:25" ht="12" customHeight="1" x14ac:dyDescent="0.3">
      <c r="A46" s="46" t="s">
        <v>19</v>
      </c>
      <c r="B46" s="53" t="s">
        <v>35</v>
      </c>
      <c r="C46" s="11" t="s">
        <v>4</v>
      </c>
      <c r="D46" s="10">
        <v>2.4</v>
      </c>
      <c r="E46" s="29"/>
      <c r="F46" s="127">
        <v>37432.799999999996</v>
      </c>
      <c r="G46" s="127">
        <v>34480.800000000003</v>
      </c>
      <c r="H46" s="127">
        <v>41841.599999999999</v>
      </c>
      <c r="I46" s="127">
        <v>45976.800000000003</v>
      </c>
      <c r="J46" s="127">
        <v>49821.600000000006</v>
      </c>
      <c r="K46" s="127">
        <v>63304.800000000003</v>
      </c>
      <c r="L46" s="127">
        <v>59025.599999999991</v>
      </c>
      <c r="M46" s="127">
        <v>63895.200000000004</v>
      </c>
      <c r="N46" s="127">
        <v>48962.400000000009</v>
      </c>
      <c r="O46" s="127">
        <v>48328.799999999996</v>
      </c>
      <c r="P46" s="127">
        <v>42813.599999999999</v>
      </c>
      <c r="Q46" s="127">
        <v>49591.199999999997</v>
      </c>
      <c r="R46" s="5">
        <f t="shared" si="31"/>
        <v>585475.19999999995</v>
      </c>
      <c r="S46" s="5">
        <f t="shared" si="4"/>
        <v>537133.21100917424</v>
      </c>
      <c r="T46" s="5">
        <f t="shared" si="32"/>
        <v>48341.988990825717</v>
      </c>
      <c r="U46" s="21">
        <f t="shared" si="33"/>
        <v>243948</v>
      </c>
      <c r="V46" s="71"/>
      <c r="X46" s="142"/>
    </row>
    <row r="47" spans="1:25" ht="12" customHeight="1" x14ac:dyDescent="0.3">
      <c r="A47" s="46" t="s">
        <v>20</v>
      </c>
      <c r="B47" s="53" t="s">
        <v>35</v>
      </c>
      <c r="C47" s="11" t="s">
        <v>5</v>
      </c>
      <c r="D47" s="10">
        <v>21</v>
      </c>
      <c r="E47" s="29"/>
      <c r="F47" s="127">
        <v>16933</v>
      </c>
      <c r="G47" s="127">
        <v>14910</v>
      </c>
      <c r="H47" s="127">
        <v>17024</v>
      </c>
      <c r="I47" s="127">
        <v>19131</v>
      </c>
      <c r="J47" s="127">
        <v>24423</v>
      </c>
      <c r="K47" s="127">
        <v>30912</v>
      </c>
      <c r="L47" s="127">
        <v>31101</v>
      </c>
      <c r="M47" s="127">
        <v>27510</v>
      </c>
      <c r="N47" s="127">
        <v>27216</v>
      </c>
      <c r="O47" s="127">
        <v>23912</v>
      </c>
      <c r="P47" s="127">
        <v>19222</v>
      </c>
      <c r="Q47" s="127">
        <v>24850</v>
      </c>
      <c r="R47" s="5">
        <f t="shared" si="31"/>
        <v>277144</v>
      </c>
      <c r="S47" s="5">
        <f t="shared" si="4"/>
        <v>254260.55045871559</v>
      </c>
      <c r="T47" s="5">
        <f t="shared" si="32"/>
        <v>22883.449541284412</v>
      </c>
      <c r="U47" s="21">
        <f t="shared" si="33"/>
        <v>13197.333333333334</v>
      </c>
      <c r="V47" s="71"/>
      <c r="X47" s="142"/>
    </row>
    <row r="48" spans="1:25" ht="12" customHeight="1" x14ac:dyDescent="0.3">
      <c r="A48" s="46" t="s">
        <v>21</v>
      </c>
      <c r="B48" s="53" t="s">
        <v>35</v>
      </c>
      <c r="C48" s="11" t="s">
        <v>6</v>
      </c>
      <c r="D48" s="10">
        <v>10.5</v>
      </c>
      <c r="E48" s="29"/>
      <c r="F48" s="127">
        <v>1491</v>
      </c>
      <c r="G48" s="127">
        <v>1564.5</v>
      </c>
      <c r="H48" s="127">
        <v>2002</v>
      </c>
      <c r="I48" s="127">
        <v>1897</v>
      </c>
      <c r="J48" s="127">
        <v>2184</v>
      </c>
      <c r="K48" s="127">
        <v>2611</v>
      </c>
      <c r="L48" s="127">
        <v>2989</v>
      </c>
      <c r="M48" s="127">
        <v>2572.5</v>
      </c>
      <c r="N48" s="127">
        <v>2548</v>
      </c>
      <c r="O48" s="127">
        <v>2471</v>
      </c>
      <c r="P48" s="127">
        <v>2079</v>
      </c>
      <c r="Q48" s="127">
        <v>1981</v>
      </c>
      <c r="R48" s="5">
        <f t="shared" si="31"/>
        <v>26390</v>
      </c>
      <c r="S48" s="5">
        <f t="shared" si="4"/>
        <v>24211.009174311926</v>
      </c>
      <c r="T48" s="5">
        <f t="shared" si="32"/>
        <v>2178.9908256880735</v>
      </c>
      <c r="U48" s="21">
        <f t="shared" si="33"/>
        <v>2513.3333333333335</v>
      </c>
      <c r="V48" s="71"/>
      <c r="X48" s="142"/>
    </row>
    <row r="49" spans="1:24" ht="12" customHeight="1" x14ac:dyDescent="0.3">
      <c r="A49" s="46" t="s">
        <v>22</v>
      </c>
      <c r="B49" s="53" t="s">
        <v>35</v>
      </c>
      <c r="C49" s="11" t="s">
        <v>7</v>
      </c>
      <c r="D49" s="10">
        <v>4.2</v>
      </c>
      <c r="E49" s="29"/>
      <c r="F49" s="127">
        <v>9865.7999999999993</v>
      </c>
      <c r="G49" s="127">
        <v>8213.7999999999993</v>
      </c>
      <c r="H49" s="127">
        <v>9613.7999999999993</v>
      </c>
      <c r="I49" s="127">
        <v>12894</v>
      </c>
      <c r="J49" s="127">
        <v>11207.000000000002</v>
      </c>
      <c r="K49" s="127">
        <v>15979.600000000002</v>
      </c>
      <c r="L49" s="127">
        <v>14005.599999999999</v>
      </c>
      <c r="M49" s="127">
        <v>13505.800000000003</v>
      </c>
      <c r="N49" s="127">
        <v>11435.200000000003</v>
      </c>
      <c r="O49" s="127">
        <v>10670.8</v>
      </c>
      <c r="P49" s="127">
        <v>9305.8000000000011</v>
      </c>
      <c r="Q49" s="127">
        <v>12303.199999999999</v>
      </c>
      <c r="R49" s="5">
        <f t="shared" si="31"/>
        <v>139000.40000000002</v>
      </c>
      <c r="S49" s="5">
        <f t="shared" si="4"/>
        <v>127523.30275229359</v>
      </c>
      <c r="T49" s="5">
        <f t="shared" si="32"/>
        <v>11477.097247706435</v>
      </c>
      <c r="U49" s="21">
        <f t="shared" si="33"/>
        <v>33095.333333333336</v>
      </c>
      <c r="V49" s="71"/>
      <c r="X49" s="142"/>
    </row>
    <row r="50" spans="1:24" ht="12" customHeight="1" x14ac:dyDescent="0.3">
      <c r="A50" s="46" t="s">
        <v>23</v>
      </c>
      <c r="B50" s="53" t="s">
        <v>35</v>
      </c>
      <c r="C50" s="11" t="s">
        <v>8</v>
      </c>
      <c r="D50" s="10">
        <v>41</v>
      </c>
      <c r="E50" s="29"/>
      <c r="F50" s="127">
        <v>64952.2</v>
      </c>
      <c r="G50" s="127">
        <v>60101.899999999994</v>
      </c>
      <c r="H50" s="127">
        <v>65928</v>
      </c>
      <c r="I50" s="127">
        <v>75899.200000000012</v>
      </c>
      <c r="J50" s="127">
        <v>78310.000000000015</v>
      </c>
      <c r="K50" s="127">
        <v>92319.700000000012</v>
      </c>
      <c r="L50" s="127">
        <v>107383.1</v>
      </c>
      <c r="M50" s="127">
        <v>88379.6</v>
      </c>
      <c r="N50" s="127">
        <v>98313.9</v>
      </c>
      <c r="O50" s="127">
        <v>79039.799999999988</v>
      </c>
      <c r="P50" s="127">
        <v>63287.600000000013</v>
      </c>
      <c r="Q50" s="127">
        <v>89859.7</v>
      </c>
      <c r="R50" s="5">
        <f t="shared" si="31"/>
        <v>963774.69999999984</v>
      </c>
      <c r="S50" s="5">
        <f t="shared" si="4"/>
        <v>884196.972477064</v>
      </c>
      <c r="T50" s="5">
        <f t="shared" si="32"/>
        <v>79577.727522935835</v>
      </c>
      <c r="U50" s="21">
        <f t="shared" si="33"/>
        <v>23506.699999999997</v>
      </c>
      <c r="V50" s="71"/>
      <c r="X50" s="142"/>
    </row>
    <row r="51" spans="1:24" ht="12" customHeight="1" x14ac:dyDescent="0.3">
      <c r="A51" s="46" t="s">
        <v>24</v>
      </c>
      <c r="B51" s="53" t="s">
        <v>35</v>
      </c>
      <c r="C51" s="11" t="s">
        <v>9</v>
      </c>
      <c r="D51" s="10">
        <v>20.5</v>
      </c>
      <c r="E51" s="29"/>
      <c r="F51" s="127">
        <v>5014.3</v>
      </c>
      <c r="G51" s="127">
        <v>4007.75</v>
      </c>
      <c r="H51" s="127">
        <v>5822.0000000000009</v>
      </c>
      <c r="I51" s="127">
        <v>6525.1499999999987</v>
      </c>
      <c r="J51" s="127">
        <v>7293.9000000000005</v>
      </c>
      <c r="K51" s="127">
        <v>8712.5</v>
      </c>
      <c r="L51" s="127">
        <v>10321.749999999998</v>
      </c>
      <c r="M51" s="127">
        <v>8017.55</v>
      </c>
      <c r="N51" s="127">
        <v>7129.9000000000005</v>
      </c>
      <c r="O51" s="127">
        <v>7002.8</v>
      </c>
      <c r="P51" s="127">
        <v>6785.5</v>
      </c>
      <c r="Q51" s="127">
        <v>6627.6500000000005</v>
      </c>
      <c r="R51" s="5">
        <f t="shared" si="31"/>
        <v>83260.75</v>
      </c>
      <c r="S51" s="5">
        <f t="shared" si="4"/>
        <v>76386.009174311926</v>
      </c>
      <c r="T51" s="5">
        <f t="shared" si="32"/>
        <v>6874.7408256880735</v>
      </c>
      <c r="U51" s="21">
        <f t="shared" si="33"/>
        <v>4061.5</v>
      </c>
      <c r="V51" s="71"/>
      <c r="X51" s="142"/>
    </row>
    <row r="52" spans="1:24" ht="12" customHeight="1" x14ac:dyDescent="0.3">
      <c r="A52" s="47" t="s">
        <v>25</v>
      </c>
      <c r="B52" s="56" t="s">
        <v>35</v>
      </c>
      <c r="C52" s="12" t="s">
        <v>10</v>
      </c>
      <c r="D52" s="7">
        <v>8.1999999999999993</v>
      </c>
      <c r="E52" s="7"/>
      <c r="F52" s="148">
        <v>13288.920000000002</v>
      </c>
      <c r="G52" s="148">
        <v>7981.8799999999992</v>
      </c>
      <c r="H52" s="148">
        <v>7998.2800000000007</v>
      </c>
      <c r="I52" s="148">
        <v>11396.36</v>
      </c>
      <c r="J52" s="148">
        <v>12553.369999999999</v>
      </c>
      <c r="K52" s="148">
        <v>21567.640000000003</v>
      </c>
      <c r="L52" s="148">
        <v>14369.68</v>
      </c>
      <c r="M52" s="148">
        <v>11037.2</v>
      </c>
      <c r="N52" s="148">
        <v>11780.119999999999</v>
      </c>
      <c r="O52" s="148">
        <v>9023.2800000000007</v>
      </c>
      <c r="P52" s="148">
        <v>7074.9600000000009</v>
      </c>
      <c r="Q52" s="149">
        <v>18002.28</v>
      </c>
      <c r="R52" s="6">
        <f t="shared" si="31"/>
        <v>146073.97</v>
      </c>
      <c r="S52" s="6">
        <f t="shared" si="4"/>
        <v>134012.81651376147</v>
      </c>
      <c r="T52" s="6">
        <f t="shared" si="32"/>
        <v>12061.153486238531</v>
      </c>
      <c r="U52" s="22">
        <f t="shared" si="33"/>
        <v>17813.898780487805</v>
      </c>
      <c r="V52" s="35"/>
      <c r="X52" s="142"/>
    </row>
    <row r="53" spans="1:24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4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4" hidden="1" outlineLevel="1" x14ac:dyDescent="0.25">
      <c r="C55" s="195"/>
      <c r="D55" s="173" t="s">
        <v>170</v>
      </c>
      <c r="E55" s="173"/>
      <c r="F55" s="171" t="s">
        <v>154</v>
      </c>
      <c r="G55" s="171" t="s">
        <v>155</v>
      </c>
      <c r="H55" s="171" t="s">
        <v>156</v>
      </c>
      <c r="I55" s="171" t="s">
        <v>157</v>
      </c>
      <c r="J55" s="171" t="s">
        <v>158</v>
      </c>
      <c r="K55" s="182" t="s">
        <v>159</v>
      </c>
      <c r="L55" s="185" t="s">
        <v>160</v>
      </c>
      <c r="M55" s="185" t="s">
        <v>161</v>
      </c>
      <c r="N55" s="185" t="s">
        <v>162</v>
      </c>
      <c r="O55" s="185" t="s">
        <v>163</v>
      </c>
      <c r="P55" s="185" t="s">
        <v>164</v>
      </c>
      <c r="Q55" s="172" t="s">
        <v>165</v>
      </c>
      <c r="R55" s="174" t="s">
        <v>166</v>
      </c>
      <c r="S55" s="1" t="s">
        <v>173</v>
      </c>
    </row>
    <row r="56" spans="1:24" hidden="1" outlineLevel="1" x14ac:dyDescent="0.25">
      <c r="C56" s="607" t="s">
        <v>175</v>
      </c>
      <c r="D56" s="170">
        <v>2013</v>
      </c>
      <c r="E56" s="170"/>
      <c r="F56" s="84">
        <f>+F59+F65+F67</f>
        <v>11135133.68</v>
      </c>
      <c r="G56" s="84">
        <f t="shared" ref="G56:Q57" si="34">+G59+G65+G67</f>
        <v>10208780.790000003</v>
      </c>
      <c r="H56" s="84">
        <f t="shared" si="34"/>
        <v>11437816.339999998</v>
      </c>
      <c r="I56" s="84">
        <f t="shared" si="34"/>
        <v>11192689.609999999</v>
      </c>
      <c r="J56" s="84">
        <f t="shared" si="34"/>
        <v>11479738.680000002</v>
      </c>
      <c r="K56" s="74">
        <f t="shared" si="34"/>
        <v>10341408.204931518</v>
      </c>
      <c r="L56" s="16">
        <f t="shared" si="34"/>
        <v>10099659.844957616</v>
      </c>
      <c r="M56" s="16">
        <f t="shared" si="34"/>
        <v>9848533.6037061159</v>
      </c>
      <c r="N56" s="16">
        <f t="shared" si="34"/>
        <v>11480313.171320703</v>
      </c>
      <c r="O56" s="16">
        <f t="shared" si="34"/>
        <v>11978498.668534249</v>
      </c>
      <c r="P56" s="16">
        <f t="shared" si="34"/>
        <v>11312873.103249535</v>
      </c>
      <c r="Q56" s="101">
        <f t="shared" si="34"/>
        <v>11751251.192111371</v>
      </c>
      <c r="R56" s="43">
        <f>+SUM(F56:Q56)</f>
        <v>132266696.88881113</v>
      </c>
      <c r="S56" s="2">
        <f>+AVERAGE(F56:P56)</f>
        <v>10955949.608790888</v>
      </c>
    </row>
    <row r="57" spans="1:24" hidden="1" outlineLevel="1" x14ac:dyDescent="0.25">
      <c r="C57" s="607"/>
      <c r="D57" s="181">
        <v>2012</v>
      </c>
      <c r="E57" s="181"/>
      <c r="F57" s="84">
        <f>+F60+F66+F68</f>
        <v>9859159.0500000007</v>
      </c>
      <c r="G57" s="84">
        <f t="shared" si="34"/>
        <v>9467190.1499999985</v>
      </c>
      <c r="H57" s="84">
        <f t="shared" si="34"/>
        <v>10187430.4</v>
      </c>
      <c r="I57" s="84">
        <f t="shared" si="34"/>
        <v>10038931.149999999</v>
      </c>
      <c r="J57" s="84">
        <f t="shared" si="34"/>
        <v>10198810.15</v>
      </c>
      <c r="K57" s="74">
        <f t="shared" si="34"/>
        <v>9390045</v>
      </c>
      <c r="L57" s="16">
        <f t="shared" si="34"/>
        <v>9039418</v>
      </c>
      <c r="M57" s="16">
        <f t="shared" si="34"/>
        <v>12531509.449999999</v>
      </c>
      <c r="N57" s="16">
        <f t="shared" si="34"/>
        <v>9253721.3499999996</v>
      </c>
      <c r="O57" s="16">
        <f t="shared" si="34"/>
        <v>9445874.25</v>
      </c>
      <c r="P57" s="16">
        <f t="shared" si="34"/>
        <v>8862575</v>
      </c>
      <c r="Q57" s="101">
        <f t="shared" si="34"/>
        <v>9474783.1999999993</v>
      </c>
      <c r="R57" s="43">
        <f>+SUM(F57:Q57)</f>
        <v>117749447.15000001</v>
      </c>
      <c r="S57" s="2">
        <f>+AVERAGE(F57:Q57)</f>
        <v>9812453.9291666672</v>
      </c>
    </row>
    <row r="58" spans="1:24" hidden="1" outlineLevel="1" x14ac:dyDescent="0.25">
      <c r="C58" s="608"/>
      <c r="D58" s="179" t="s">
        <v>174</v>
      </c>
      <c r="E58" s="179"/>
      <c r="F58" s="180">
        <f>+(F56-F57)/F57</f>
        <v>0.12942022981158813</v>
      </c>
      <c r="G58" s="180">
        <f t="shared" ref="G58:R58" si="35">+(G56-G57)/G57</f>
        <v>7.8332707830950712E-2</v>
      </c>
      <c r="H58" s="180">
        <f t="shared" si="35"/>
        <v>0.12273810871875969</v>
      </c>
      <c r="I58" s="180">
        <f t="shared" si="35"/>
        <v>0.11492841645796137</v>
      </c>
      <c r="J58" s="180">
        <f t="shared" si="35"/>
        <v>0.12559587943697542</v>
      </c>
      <c r="K58" s="183">
        <f t="shared" si="35"/>
        <v>0.10131614970231964</v>
      </c>
      <c r="L58" s="186">
        <f t="shared" si="35"/>
        <v>0.11729094118201151</v>
      </c>
      <c r="M58" s="186">
        <f t="shared" si="35"/>
        <v>-0.21409837793274644</v>
      </c>
      <c r="N58" s="186">
        <f t="shared" si="35"/>
        <v>0.24061582763357181</v>
      </c>
      <c r="O58" s="186">
        <f t="shared" si="35"/>
        <v>0.26811964160270807</v>
      </c>
      <c r="P58" s="186">
        <f t="shared" si="35"/>
        <v>0.2764769949195956</v>
      </c>
      <c r="Q58" s="191">
        <f t="shared" si="35"/>
        <v>0.24026597169119099</v>
      </c>
      <c r="R58" s="194">
        <f t="shared" si="35"/>
        <v>0.12328932398568056</v>
      </c>
      <c r="S58" s="2"/>
    </row>
    <row r="59" spans="1:24" hidden="1" outlineLevel="1" x14ac:dyDescent="0.25">
      <c r="C59" s="609" t="s">
        <v>1</v>
      </c>
      <c r="D59" s="165">
        <v>2013</v>
      </c>
      <c r="E59" s="165"/>
      <c r="F59" s="82">
        <f>+F61+F63</f>
        <v>4576424.83</v>
      </c>
      <c r="G59" s="82">
        <f t="shared" ref="G59:P60" si="36">+G61+G63</f>
        <v>4178454.7100000004</v>
      </c>
      <c r="H59" s="82">
        <f t="shared" si="36"/>
        <v>4679407.45</v>
      </c>
      <c r="I59" s="82">
        <f t="shared" si="36"/>
        <v>4865178.22</v>
      </c>
      <c r="J59" s="82">
        <f t="shared" si="36"/>
        <v>5006520</v>
      </c>
      <c r="K59" s="100">
        <f t="shared" si="36"/>
        <v>4545407.46</v>
      </c>
      <c r="L59" s="187">
        <f t="shared" si="36"/>
        <v>4769264.5299999993</v>
      </c>
      <c r="M59" s="187">
        <f t="shared" si="36"/>
        <v>4691660.7200000007</v>
      </c>
      <c r="N59" s="187">
        <f t="shared" si="36"/>
        <v>5128728.16</v>
      </c>
      <c r="O59" s="187">
        <f t="shared" si="36"/>
        <v>5184549.09</v>
      </c>
      <c r="P59" s="187">
        <f t="shared" si="36"/>
        <v>4723400.12</v>
      </c>
      <c r="Q59" s="187">
        <f t="shared" ref="Q59" si="37">+Q61+Q63</f>
        <v>5243477.53</v>
      </c>
      <c r="R59" s="42">
        <f t="shared" ref="R59:R68" si="38">+SUM(F59:Q59)</f>
        <v>57592472.82</v>
      </c>
    </row>
    <row r="60" spans="1:24" hidden="1" outlineLevel="1" x14ac:dyDescent="0.25">
      <c r="C60" s="610"/>
      <c r="D60" s="166">
        <v>2012</v>
      </c>
      <c r="E60" s="166"/>
      <c r="F60" s="82">
        <f>+F62+F64</f>
        <v>4475866.1500000004</v>
      </c>
      <c r="G60" s="82">
        <f t="shared" si="36"/>
        <v>4129488.45</v>
      </c>
      <c r="H60" s="82">
        <f t="shared" si="36"/>
        <v>4652351.0999999996</v>
      </c>
      <c r="I60" s="82">
        <f t="shared" si="36"/>
        <v>4659439.45</v>
      </c>
      <c r="J60" s="82">
        <f t="shared" si="36"/>
        <v>4873361.6500000004</v>
      </c>
      <c r="K60" s="100">
        <f t="shared" si="36"/>
        <v>4596790.5</v>
      </c>
      <c r="L60" s="187">
        <f t="shared" si="36"/>
        <v>5134563</v>
      </c>
      <c r="M60" s="187">
        <f t="shared" si="36"/>
        <v>6824786.1499999994</v>
      </c>
      <c r="N60" s="187">
        <f t="shared" si="36"/>
        <v>3668753.95</v>
      </c>
      <c r="O60" s="187">
        <f t="shared" si="36"/>
        <v>3745528.65</v>
      </c>
      <c r="P60" s="187">
        <f t="shared" si="36"/>
        <v>3848946</v>
      </c>
      <c r="Q60" s="187">
        <f t="shared" ref="Q60" si="39">+Q62+Q64</f>
        <v>4073438.5</v>
      </c>
      <c r="R60" s="42">
        <f t="shared" si="38"/>
        <v>54683313.550000004</v>
      </c>
    </row>
    <row r="61" spans="1:24" hidden="1" outlineLevel="2" x14ac:dyDescent="0.25">
      <c r="C61" s="611" t="s">
        <v>11</v>
      </c>
      <c r="D61" s="167">
        <v>2013</v>
      </c>
      <c r="E61" s="167"/>
      <c r="F61" s="162">
        <f t="shared" ref="F61:Q61" si="40">+F6</f>
        <v>1672731.55</v>
      </c>
      <c r="G61" s="162">
        <f t="shared" si="40"/>
        <v>1432539.85</v>
      </c>
      <c r="H61" s="162">
        <f t="shared" si="40"/>
        <v>1614246.55</v>
      </c>
      <c r="I61" s="162">
        <f t="shared" si="40"/>
        <v>1710187.5</v>
      </c>
      <c r="J61" s="162">
        <f t="shared" si="40"/>
        <v>1840036.8</v>
      </c>
      <c r="K61" s="163">
        <f t="shared" si="40"/>
        <v>1496916.4</v>
      </c>
      <c r="L61" s="159">
        <f t="shared" si="40"/>
        <v>1753979.15</v>
      </c>
      <c r="M61" s="159">
        <f t="shared" si="40"/>
        <v>1673649.6</v>
      </c>
      <c r="N61" s="159">
        <f t="shared" si="40"/>
        <v>1751630.3</v>
      </c>
      <c r="O61" s="159">
        <f t="shared" si="40"/>
        <v>1675791.95</v>
      </c>
      <c r="P61" s="159">
        <f t="shared" si="40"/>
        <v>1433218.15</v>
      </c>
      <c r="Q61" s="160">
        <f t="shared" si="40"/>
        <v>1698514.3</v>
      </c>
      <c r="R61" s="161">
        <f t="shared" si="38"/>
        <v>19753442.100000001</v>
      </c>
    </row>
    <row r="62" spans="1:24" hidden="1" outlineLevel="2" x14ac:dyDescent="0.25">
      <c r="C62" s="612"/>
      <c r="D62" s="168">
        <v>2012</v>
      </c>
      <c r="E62" s="168"/>
      <c r="F62" s="164">
        <v>4474061.1500000004</v>
      </c>
      <c r="G62" s="127">
        <v>4128226.45</v>
      </c>
      <c r="H62" s="127">
        <v>4650548.0999999996</v>
      </c>
      <c r="I62" s="127">
        <v>4657733.45</v>
      </c>
      <c r="J62" s="127">
        <v>4871566.6500000004</v>
      </c>
      <c r="K62" s="127">
        <v>4595790.5</v>
      </c>
      <c r="L62" s="188">
        <v>5133795</v>
      </c>
      <c r="M62" s="188">
        <v>6801283.8499999996</v>
      </c>
      <c r="N62" s="188">
        <v>3652964.5</v>
      </c>
      <c r="O62" s="188">
        <v>3735354.4</v>
      </c>
      <c r="P62" s="188">
        <v>3799819.3</v>
      </c>
      <c r="Q62" s="144">
        <v>3911792.1</v>
      </c>
      <c r="R62" s="161">
        <f t="shared" si="38"/>
        <v>54412935.450000003</v>
      </c>
    </row>
    <row r="63" spans="1:24" hidden="1" outlineLevel="2" x14ac:dyDescent="0.25">
      <c r="C63" s="611" t="s">
        <v>46</v>
      </c>
      <c r="D63" s="167">
        <v>2013</v>
      </c>
      <c r="E63" s="167"/>
      <c r="F63" s="162">
        <f t="shared" ref="F63:Q63" si="41">+F10</f>
        <v>2903693.28</v>
      </c>
      <c r="G63" s="162">
        <f t="shared" si="41"/>
        <v>2745914.8600000003</v>
      </c>
      <c r="H63" s="162">
        <f t="shared" si="41"/>
        <v>3065160.9</v>
      </c>
      <c r="I63" s="162">
        <f t="shared" si="41"/>
        <v>3154990.7199999997</v>
      </c>
      <c r="J63" s="162">
        <f t="shared" si="41"/>
        <v>3166483.1999999997</v>
      </c>
      <c r="K63" s="163">
        <f t="shared" si="41"/>
        <v>3048491.06</v>
      </c>
      <c r="L63" s="159">
        <f t="shared" si="41"/>
        <v>3015285.38</v>
      </c>
      <c r="M63" s="159">
        <f t="shared" si="41"/>
        <v>3018011.1200000006</v>
      </c>
      <c r="N63" s="159">
        <f t="shared" si="41"/>
        <v>3377097.8600000003</v>
      </c>
      <c r="O63" s="159">
        <f t="shared" si="41"/>
        <v>3508757.14</v>
      </c>
      <c r="P63" s="159">
        <f t="shared" si="41"/>
        <v>3290181.97</v>
      </c>
      <c r="Q63" s="160">
        <f t="shared" si="41"/>
        <v>3544963.23</v>
      </c>
      <c r="R63" s="161">
        <f t="shared" si="38"/>
        <v>37839030.719999999</v>
      </c>
    </row>
    <row r="64" spans="1:24" hidden="1" outlineLevel="2" x14ac:dyDescent="0.25">
      <c r="C64" s="612"/>
      <c r="D64" s="168">
        <v>2012</v>
      </c>
      <c r="E64" s="168"/>
      <c r="F64" s="164">
        <v>1805</v>
      </c>
      <c r="G64" s="127">
        <v>1262</v>
      </c>
      <c r="H64" s="127">
        <v>1803</v>
      </c>
      <c r="I64" s="127">
        <v>1706</v>
      </c>
      <c r="J64" s="127">
        <v>1795</v>
      </c>
      <c r="K64" s="127">
        <v>1000</v>
      </c>
      <c r="L64" s="188">
        <v>768</v>
      </c>
      <c r="M64" s="188">
        <v>23502.3</v>
      </c>
      <c r="N64" s="188">
        <v>15789.45</v>
      </c>
      <c r="O64" s="188">
        <v>10174.25</v>
      </c>
      <c r="P64" s="188">
        <v>49126.7</v>
      </c>
      <c r="Q64" s="36">
        <v>161646.39999999999</v>
      </c>
      <c r="R64" s="161">
        <f t="shared" si="38"/>
        <v>270378.09999999998</v>
      </c>
    </row>
    <row r="65" spans="2:18" hidden="1" outlineLevel="1" x14ac:dyDescent="0.25">
      <c r="C65" s="603" t="s">
        <v>171</v>
      </c>
      <c r="D65" s="165">
        <v>2013</v>
      </c>
      <c r="E65" s="165"/>
      <c r="F65" s="82">
        <f>+F17</f>
        <v>6390506.8299999991</v>
      </c>
      <c r="G65" s="82">
        <f t="shared" ref="G65:Q65" si="42">+G17</f>
        <v>5881413.4500000011</v>
      </c>
      <c r="H65" s="82">
        <f t="shared" si="42"/>
        <v>6587965.2099999981</v>
      </c>
      <c r="I65" s="82">
        <f t="shared" si="42"/>
        <v>6131111.8799999999</v>
      </c>
      <c r="J65" s="82">
        <f t="shared" si="42"/>
        <v>6264007.8100000015</v>
      </c>
      <c r="K65" s="100">
        <f t="shared" si="42"/>
        <v>5535837.5049315188</v>
      </c>
      <c r="L65" s="187">
        <f t="shared" si="42"/>
        <v>5060065.5849576173</v>
      </c>
      <c r="M65" s="187">
        <f t="shared" si="42"/>
        <v>4911601.0337061156</v>
      </c>
      <c r="N65" s="187">
        <f t="shared" si="42"/>
        <v>6116521.4913207032</v>
      </c>
      <c r="O65" s="187">
        <f t="shared" si="42"/>
        <v>6589255.0985342478</v>
      </c>
      <c r="P65" s="187">
        <f t="shared" si="42"/>
        <v>6417358.5232495349</v>
      </c>
      <c r="Q65" s="192">
        <f t="shared" si="42"/>
        <v>6280906.6321113715</v>
      </c>
      <c r="R65" s="42">
        <f t="shared" si="38"/>
        <v>72166551.048811108</v>
      </c>
    </row>
    <row r="66" spans="2:18" hidden="1" outlineLevel="1" x14ac:dyDescent="0.25">
      <c r="C66" s="604"/>
      <c r="D66" s="166">
        <v>2012</v>
      </c>
      <c r="E66" s="166"/>
      <c r="F66" s="175">
        <v>5340476.5</v>
      </c>
      <c r="G66" s="176">
        <v>5298852</v>
      </c>
      <c r="H66" s="176">
        <v>5495389</v>
      </c>
      <c r="I66" s="176">
        <v>5327920.5</v>
      </c>
      <c r="J66" s="176">
        <v>5275440</v>
      </c>
      <c r="K66" s="176">
        <v>4735163</v>
      </c>
      <c r="L66" s="189">
        <v>3832002.5</v>
      </c>
      <c r="M66" s="189">
        <v>5651114</v>
      </c>
      <c r="N66" s="189">
        <v>5543056</v>
      </c>
      <c r="O66" s="189">
        <v>5661051</v>
      </c>
      <c r="P66" s="189">
        <v>4980318</v>
      </c>
      <c r="Q66" s="190">
        <v>5354279</v>
      </c>
      <c r="R66" s="42">
        <f t="shared" si="38"/>
        <v>62495061.5</v>
      </c>
    </row>
    <row r="67" spans="2:18" hidden="1" outlineLevel="1" x14ac:dyDescent="0.25">
      <c r="C67" s="605" t="s">
        <v>172</v>
      </c>
      <c r="D67" s="165">
        <v>2013</v>
      </c>
      <c r="E67" s="165"/>
      <c r="F67" s="82">
        <f>+F43</f>
        <v>168202.02</v>
      </c>
      <c r="G67" s="82">
        <f t="shared" ref="G67:Q67" si="43">+G43</f>
        <v>148912.63</v>
      </c>
      <c r="H67" s="82">
        <f t="shared" si="43"/>
        <v>170443.68000000002</v>
      </c>
      <c r="I67" s="82">
        <f t="shared" si="43"/>
        <v>196399.51</v>
      </c>
      <c r="J67" s="82">
        <f t="shared" si="43"/>
        <v>209210.87000000002</v>
      </c>
      <c r="K67" s="100">
        <f t="shared" si="43"/>
        <v>260163.24000000002</v>
      </c>
      <c r="L67" s="187">
        <f t="shared" si="43"/>
        <v>270329.73</v>
      </c>
      <c r="M67" s="187">
        <f t="shared" si="43"/>
        <v>245271.85</v>
      </c>
      <c r="N67" s="187">
        <f t="shared" si="43"/>
        <v>235063.52</v>
      </c>
      <c r="O67" s="187">
        <f t="shared" si="43"/>
        <v>204694.47999999995</v>
      </c>
      <c r="P67" s="187">
        <f t="shared" si="43"/>
        <v>172114.46000000002</v>
      </c>
      <c r="Q67" s="192">
        <f t="shared" si="43"/>
        <v>226867.02999999997</v>
      </c>
      <c r="R67" s="42">
        <f t="shared" si="38"/>
        <v>2507673.02</v>
      </c>
    </row>
    <row r="68" spans="2:18" hidden="1" outlineLevel="1" x14ac:dyDescent="0.25">
      <c r="C68" s="606"/>
      <c r="D68" s="169">
        <v>2012</v>
      </c>
      <c r="E68" s="169"/>
      <c r="F68" s="177">
        <v>42816.399999999994</v>
      </c>
      <c r="G68" s="178">
        <v>38849.700000000004</v>
      </c>
      <c r="H68" s="178">
        <v>39690.299999999996</v>
      </c>
      <c r="I68" s="178">
        <v>51571.199999999997</v>
      </c>
      <c r="J68" s="178">
        <v>50008.5</v>
      </c>
      <c r="K68" s="184">
        <v>58091.5</v>
      </c>
      <c r="L68" s="178">
        <v>72852.5</v>
      </c>
      <c r="M68" s="178">
        <v>55609.3</v>
      </c>
      <c r="N68" s="178">
        <v>41911.4</v>
      </c>
      <c r="O68" s="178">
        <v>39294.6</v>
      </c>
      <c r="P68" s="178">
        <v>33311</v>
      </c>
      <c r="Q68" s="193">
        <v>47065.7</v>
      </c>
      <c r="R68" s="42">
        <f t="shared" si="38"/>
        <v>571072.1</v>
      </c>
    </row>
    <row r="69" spans="2:18" collapsed="1" x14ac:dyDescent="0.25"/>
    <row r="72" spans="2:18" x14ac:dyDescent="0.25">
      <c r="B72" s="1"/>
    </row>
  </sheetData>
  <mergeCells count="6">
    <mergeCell ref="C65:C66"/>
    <mergeCell ref="C67:C68"/>
    <mergeCell ref="C56:C58"/>
    <mergeCell ref="C59:C60"/>
    <mergeCell ref="C61:C62"/>
    <mergeCell ref="C63:C6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>
    <pageSetUpPr fitToPage="1"/>
  </sheetPr>
  <dimension ref="A1:V54"/>
  <sheetViews>
    <sheetView zoomScaleNormal="100" workbookViewId="0">
      <pane xSplit="4" ySplit="3" topLeftCell="M31" activePane="bottomRight" state="frozen"/>
      <selection pane="topRight" activeCell="E1" sqref="E1"/>
      <selection pane="bottomLeft" activeCell="A2" sqref="A2"/>
      <selection pane="bottomRight" activeCell="Q45" sqref="Q45:Q52"/>
    </sheetView>
  </sheetViews>
  <sheetFormatPr defaultColWidth="8.88671875" defaultRowHeight="13.2" outlineLevelRow="1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9.88671875" style="4" customWidth="1"/>
    <col min="5" max="5" width="7.33203125" style="4" customWidth="1"/>
    <col min="6" max="6" width="12.6640625" style="4" customWidth="1" outlineLevel="1"/>
    <col min="7" max="13" width="12.6640625" style="1" customWidth="1" outlineLevel="1"/>
    <col min="14" max="17" width="13" style="1" customWidth="1" outlineLevel="1"/>
    <col min="18" max="18" width="13.88671875" style="1" customWidth="1"/>
    <col min="19" max="19" width="13.33203125" style="1" customWidth="1"/>
    <col min="20" max="20" width="12.5546875" style="1" bestFit="1" customWidth="1"/>
    <col min="21" max="21" width="8.88671875" style="141"/>
    <col min="22" max="16384" width="8.88671875" style="1"/>
  </cols>
  <sheetData>
    <row r="1" spans="1:21" ht="21.6" customHeight="1" x14ac:dyDescent="0.3">
      <c r="A1" s="40" t="s">
        <v>199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1" ht="18" customHeight="1" x14ac:dyDescent="0.25">
      <c r="D2" s="3"/>
      <c r="E2" s="3"/>
      <c r="F2" s="3"/>
      <c r="G2" s="2"/>
      <c r="H2" s="2"/>
      <c r="I2" s="2"/>
      <c r="K2" s="3"/>
      <c r="L2" s="3"/>
      <c r="M2" s="3"/>
      <c r="Q2" s="2"/>
      <c r="R2" s="2"/>
    </row>
    <row r="3" spans="1:21" ht="37.5" customHeight="1" x14ac:dyDescent="0.25">
      <c r="A3" s="81" t="s">
        <v>39</v>
      </c>
      <c r="B3" s="57" t="s">
        <v>37</v>
      </c>
      <c r="C3" s="20" t="s">
        <v>40</v>
      </c>
      <c r="D3" s="88" t="s">
        <v>38</v>
      </c>
      <c r="E3" s="146" t="s">
        <v>188</v>
      </c>
      <c r="F3" s="89" t="s">
        <v>154</v>
      </c>
      <c r="G3" s="89" t="s">
        <v>155</v>
      </c>
      <c r="H3" s="89" t="s">
        <v>156</v>
      </c>
      <c r="I3" s="89" t="s">
        <v>157</v>
      </c>
      <c r="J3" s="89" t="s">
        <v>158</v>
      </c>
      <c r="K3" s="89" t="s">
        <v>159</v>
      </c>
      <c r="L3" s="89" t="s">
        <v>160</v>
      </c>
      <c r="M3" s="89" t="s">
        <v>161</v>
      </c>
      <c r="N3" s="89" t="s">
        <v>162</v>
      </c>
      <c r="O3" s="89" t="s">
        <v>163</v>
      </c>
      <c r="P3" s="89" t="s">
        <v>164</v>
      </c>
      <c r="Q3" s="89" t="s">
        <v>165</v>
      </c>
      <c r="R3" s="32" t="s">
        <v>166</v>
      </c>
      <c r="S3" s="32" t="s">
        <v>316</v>
      </c>
    </row>
    <row r="4" spans="1:21" ht="12" customHeight="1" x14ac:dyDescent="0.25">
      <c r="A4" s="70" t="s">
        <v>29</v>
      </c>
      <c r="B4" s="52" t="s">
        <v>36</v>
      </c>
      <c r="C4" s="9" t="s">
        <v>45</v>
      </c>
      <c r="D4" s="78"/>
      <c r="E4" s="108"/>
      <c r="F4" s="231">
        <f t="shared" ref="F4:Q4" si="0">+F5+F17+F43</f>
        <v>6875380.1200000001</v>
      </c>
      <c r="G4" s="82">
        <f t="shared" si="0"/>
        <v>6413022.9000000004</v>
      </c>
      <c r="H4" s="82">
        <f t="shared" si="0"/>
        <v>7270834.54</v>
      </c>
      <c r="I4" s="82">
        <f t="shared" si="0"/>
        <v>6908076.4900000012</v>
      </c>
      <c r="J4" s="82">
        <f t="shared" si="0"/>
        <v>7067868.3199999994</v>
      </c>
      <c r="K4" s="82">
        <f t="shared" si="0"/>
        <v>5835094.0466666622</v>
      </c>
      <c r="L4" s="82">
        <f t="shared" si="0"/>
        <v>4833722.2570849461</v>
      </c>
      <c r="M4" s="82">
        <f t="shared" si="0"/>
        <v>4586960.9103588359</v>
      </c>
      <c r="N4" s="100">
        <f t="shared" si="0"/>
        <v>7193273.6335599814</v>
      </c>
      <c r="O4" s="100">
        <f t="shared" si="0"/>
        <v>7478935.9433333315</v>
      </c>
      <c r="P4" s="100">
        <f t="shared" si="0"/>
        <v>7070723.2071216842</v>
      </c>
      <c r="Q4" s="100">
        <f t="shared" si="0"/>
        <v>7160070.6424437128</v>
      </c>
      <c r="R4" s="42">
        <f>+SUM(F4:Q4)</f>
        <v>78693963.010569155</v>
      </c>
      <c r="S4" s="232">
        <f>+R4/1.09</f>
        <v>72196296.339971691</v>
      </c>
      <c r="T4" s="2"/>
    </row>
    <row r="5" spans="1:21" ht="12" customHeight="1" x14ac:dyDescent="0.25">
      <c r="A5" s="70" t="s">
        <v>12</v>
      </c>
      <c r="B5" s="52" t="s">
        <v>30</v>
      </c>
      <c r="C5" s="9" t="s">
        <v>1</v>
      </c>
      <c r="D5" s="78"/>
      <c r="E5" s="108"/>
      <c r="F5" s="231">
        <f t="shared" ref="F5:Q5" si="1">+F6+F10</f>
        <v>942507.07</v>
      </c>
      <c r="G5" s="82">
        <f t="shared" si="1"/>
        <v>886108.59</v>
      </c>
      <c r="H5" s="82">
        <f t="shared" si="1"/>
        <v>1019073.75</v>
      </c>
      <c r="I5" s="82">
        <f t="shared" si="1"/>
        <v>1155725.58</v>
      </c>
      <c r="J5" s="82">
        <f t="shared" si="1"/>
        <v>1114825.6000000001</v>
      </c>
      <c r="K5" s="82">
        <f t="shared" si="1"/>
        <v>1038853.54</v>
      </c>
      <c r="L5" s="82">
        <f t="shared" si="1"/>
        <v>1018006.87</v>
      </c>
      <c r="M5" s="82">
        <f t="shared" si="1"/>
        <v>999807.78</v>
      </c>
      <c r="N5" s="100">
        <f t="shared" si="1"/>
        <v>1061970.3400000001</v>
      </c>
      <c r="O5" s="100">
        <f t="shared" si="1"/>
        <v>1109032.4099999999</v>
      </c>
      <c r="P5" s="100">
        <f t="shared" si="1"/>
        <v>1016481.4699999999</v>
      </c>
      <c r="Q5" s="100">
        <f t="shared" si="1"/>
        <v>1220443.18</v>
      </c>
      <c r="R5" s="42">
        <f>+SUM(F5:Q5)</f>
        <v>12582836.180000002</v>
      </c>
      <c r="S5" s="232">
        <f t="shared" ref="S5:S52" si="2">+R5/1.09</f>
        <v>11543886.403669726</v>
      </c>
    </row>
    <row r="6" spans="1:21" ht="12" customHeight="1" x14ac:dyDescent="0.25">
      <c r="A6" s="70" t="s">
        <v>52</v>
      </c>
      <c r="B6" s="52" t="s">
        <v>31</v>
      </c>
      <c r="C6" s="8" t="s">
        <v>11</v>
      </c>
      <c r="D6" s="79"/>
      <c r="E6" s="79"/>
      <c r="F6" s="126">
        <f t="shared" ref="F6:R6" si="3">+SUM(F7:F9)</f>
        <v>440424.95</v>
      </c>
      <c r="G6" s="126">
        <f t="shared" si="3"/>
        <v>383620.65</v>
      </c>
      <c r="H6" s="126">
        <f t="shared" si="3"/>
        <v>431314.45</v>
      </c>
      <c r="I6" s="126">
        <f t="shared" si="3"/>
        <v>544379.5</v>
      </c>
      <c r="J6" s="126">
        <f t="shared" si="3"/>
        <v>518088.2</v>
      </c>
      <c r="K6" s="126">
        <f t="shared" si="3"/>
        <v>451358.6</v>
      </c>
      <c r="L6" s="126">
        <f t="shared" si="3"/>
        <v>454870.85</v>
      </c>
      <c r="M6" s="126">
        <f t="shared" si="3"/>
        <v>448928.9</v>
      </c>
      <c r="N6" s="126">
        <f t="shared" si="3"/>
        <v>437595.2</v>
      </c>
      <c r="O6" s="126">
        <f t="shared" si="3"/>
        <v>452561.55</v>
      </c>
      <c r="P6" s="126">
        <f t="shared" si="3"/>
        <v>394037.35</v>
      </c>
      <c r="Q6" s="126">
        <f t="shared" si="3"/>
        <v>509558.7</v>
      </c>
      <c r="R6" s="43">
        <f t="shared" si="3"/>
        <v>5466738.9000000004</v>
      </c>
      <c r="S6" s="233">
        <f t="shared" si="2"/>
        <v>5015356.7889908254</v>
      </c>
    </row>
    <row r="7" spans="1:21" ht="12" customHeight="1" outlineLevel="1" x14ac:dyDescent="0.25">
      <c r="A7" s="46" t="s">
        <v>13</v>
      </c>
      <c r="B7" s="53" t="s">
        <v>47</v>
      </c>
      <c r="C7" s="37" t="s">
        <v>50</v>
      </c>
      <c r="D7" s="10">
        <v>3.5</v>
      </c>
      <c r="E7" s="49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201"/>
      <c r="R7" s="5">
        <f t="shared" ref="R7:R52" si="4">+SUM(F7:Q7)</f>
        <v>0</v>
      </c>
      <c r="S7" s="235">
        <f t="shared" si="2"/>
        <v>0</v>
      </c>
    </row>
    <row r="8" spans="1:21" ht="12" customHeight="1" x14ac:dyDescent="0.25">
      <c r="A8" s="54" t="s">
        <v>49</v>
      </c>
      <c r="B8" s="55" t="s">
        <v>48</v>
      </c>
      <c r="C8" s="27" t="s">
        <v>51</v>
      </c>
      <c r="D8" s="38">
        <f t="shared" ref="D8" si="5">+D7*0.5</f>
        <v>1.75</v>
      </c>
      <c r="E8" s="49">
        <v>1.75</v>
      </c>
      <c r="F8" s="96">
        <v>424005.75</v>
      </c>
      <c r="G8" s="96">
        <v>373980.25</v>
      </c>
      <c r="H8" s="96">
        <v>413089.25</v>
      </c>
      <c r="I8" s="96">
        <v>480819.5</v>
      </c>
      <c r="J8" s="96">
        <v>473557</v>
      </c>
      <c r="K8" s="96">
        <v>424039</v>
      </c>
      <c r="L8" s="96">
        <v>435755.25</v>
      </c>
      <c r="M8" s="96">
        <v>431700.5</v>
      </c>
      <c r="N8" s="96">
        <v>420434</v>
      </c>
      <c r="O8" s="96">
        <v>434932.75</v>
      </c>
      <c r="P8" s="96">
        <v>376167.75</v>
      </c>
      <c r="Q8" s="201">
        <v>435655.5</v>
      </c>
      <c r="R8" s="5">
        <f t="shared" si="4"/>
        <v>5124136.5</v>
      </c>
      <c r="S8" s="235">
        <f t="shared" si="2"/>
        <v>4701042.6605504584</v>
      </c>
    </row>
    <row r="9" spans="1:21" ht="12" customHeight="1" x14ac:dyDescent="0.25">
      <c r="A9" s="47" t="s">
        <v>185</v>
      </c>
      <c r="B9" s="56" t="s">
        <v>186</v>
      </c>
      <c r="C9" s="222" t="s">
        <v>187</v>
      </c>
      <c r="D9" s="50">
        <v>0.7</v>
      </c>
      <c r="E9" s="97">
        <v>2.8</v>
      </c>
      <c r="F9" s="18">
        <v>16419.2</v>
      </c>
      <c r="G9" s="14">
        <v>9640.4</v>
      </c>
      <c r="H9" s="14">
        <v>18225.2</v>
      </c>
      <c r="I9" s="14">
        <v>63559.999999999993</v>
      </c>
      <c r="J9" s="14">
        <v>44531.199999999997</v>
      </c>
      <c r="K9" s="14">
        <v>27319.599999999999</v>
      </c>
      <c r="L9" s="14">
        <v>19115.599999999999</v>
      </c>
      <c r="M9" s="18">
        <v>17228.400000000001</v>
      </c>
      <c r="N9" s="18">
        <v>17161.2</v>
      </c>
      <c r="O9" s="18">
        <v>17628.8</v>
      </c>
      <c r="P9" s="14">
        <v>17869.599999999999</v>
      </c>
      <c r="Q9" s="15">
        <v>73903.199999999997</v>
      </c>
      <c r="R9" s="5">
        <f t="shared" si="4"/>
        <v>342602.4</v>
      </c>
      <c r="S9" s="236">
        <f t="shared" si="2"/>
        <v>314314.128440367</v>
      </c>
      <c r="T9" s="2"/>
      <c r="U9" s="1"/>
    </row>
    <row r="10" spans="1:21" ht="12" customHeight="1" x14ac:dyDescent="0.25">
      <c r="A10" s="70" t="s">
        <v>14</v>
      </c>
      <c r="B10" s="52" t="s">
        <v>32</v>
      </c>
      <c r="C10" s="8" t="s">
        <v>46</v>
      </c>
      <c r="D10" s="79"/>
      <c r="E10" s="109"/>
      <c r="F10" s="84">
        <f t="shared" ref="F10:R10" si="6">+SUM(F11:F16)</f>
        <v>502082.11999999994</v>
      </c>
      <c r="G10" s="84">
        <f t="shared" si="6"/>
        <v>502487.93999999994</v>
      </c>
      <c r="H10" s="84">
        <f t="shared" si="6"/>
        <v>587759.29999999993</v>
      </c>
      <c r="I10" s="84">
        <f t="shared" si="6"/>
        <v>611346.08000000007</v>
      </c>
      <c r="J10" s="84">
        <f t="shared" si="6"/>
        <v>596737.40000000014</v>
      </c>
      <c r="K10" s="84">
        <f t="shared" si="6"/>
        <v>587494.94000000006</v>
      </c>
      <c r="L10" s="84">
        <f t="shared" si="6"/>
        <v>563136.02</v>
      </c>
      <c r="M10" s="74">
        <f t="shared" si="6"/>
        <v>550878.88</v>
      </c>
      <c r="N10" s="101">
        <f t="shared" si="6"/>
        <v>624375.14</v>
      </c>
      <c r="O10" s="101">
        <f t="shared" si="6"/>
        <v>656470.85999999987</v>
      </c>
      <c r="P10" s="101">
        <f t="shared" si="6"/>
        <v>622444.11999999988</v>
      </c>
      <c r="Q10" s="101">
        <f t="shared" si="6"/>
        <v>710884.48</v>
      </c>
      <c r="R10" s="43">
        <f t="shared" si="6"/>
        <v>7116097.2800000003</v>
      </c>
      <c r="S10" s="233">
        <f t="shared" si="2"/>
        <v>6528529.6146788988</v>
      </c>
    </row>
    <row r="11" spans="1:21" outlineLevel="1" x14ac:dyDescent="0.25">
      <c r="A11" s="58" t="s">
        <v>53</v>
      </c>
      <c r="B11" s="53" t="s">
        <v>145</v>
      </c>
      <c r="C11" s="59" t="s">
        <v>54</v>
      </c>
      <c r="D11" s="60">
        <v>2.2000000000000002</v>
      </c>
      <c r="E11" s="155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5">
        <f t="shared" si="4"/>
        <v>0</v>
      </c>
      <c r="S11" s="235">
        <f t="shared" si="2"/>
        <v>0</v>
      </c>
    </row>
    <row r="12" spans="1:21" x14ac:dyDescent="0.25">
      <c r="A12" s="58" t="s">
        <v>55</v>
      </c>
      <c r="B12" s="53" t="s">
        <v>139</v>
      </c>
      <c r="C12" s="59" t="s">
        <v>92</v>
      </c>
      <c r="D12" s="60">
        <v>1.1000000000000001</v>
      </c>
      <c r="E12" s="155">
        <v>1.1000000000000001</v>
      </c>
      <c r="F12" s="127">
        <v>459595.39999999991</v>
      </c>
      <c r="G12" s="127">
        <v>461968.1</v>
      </c>
      <c r="H12" s="127">
        <v>538140.89999999991</v>
      </c>
      <c r="I12" s="127">
        <v>558888</v>
      </c>
      <c r="J12" s="127">
        <v>543807.00000000012</v>
      </c>
      <c r="K12" s="127">
        <v>533144.70000000007</v>
      </c>
      <c r="L12" s="127">
        <v>513170.9</v>
      </c>
      <c r="M12" s="127">
        <v>499435.2</v>
      </c>
      <c r="N12" s="127">
        <v>565376.9</v>
      </c>
      <c r="O12" s="127">
        <v>598849.89999999991</v>
      </c>
      <c r="P12" s="127">
        <v>569584.39999999991</v>
      </c>
      <c r="Q12" s="127">
        <v>654770.6</v>
      </c>
      <c r="R12" s="5">
        <f t="shared" si="4"/>
        <v>6496732</v>
      </c>
      <c r="S12" s="235">
        <f t="shared" si="2"/>
        <v>5960304.5871559633</v>
      </c>
    </row>
    <row r="13" spans="1:21" x14ac:dyDescent="0.25">
      <c r="A13" s="58" t="s">
        <v>56</v>
      </c>
      <c r="B13" s="53" t="s">
        <v>140</v>
      </c>
      <c r="C13" s="59" t="s">
        <v>93</v>
      </c>
      <c r="D13" s="62">
        <v>0.44</v>
      </c>
      <c r="E13" s="156">
        <v>1.76</v>
      </c>
      <c r="F13" s="127">
        <v>22894.079999999998</v>
      </c>
      <c r="G13" s="127">
        <v>21941.920000000002</v>
      </c>
      <c r="H13" s="127">
        <v>27531.680000000004</v>
      </c>
      <c r="I13" s="127">
        <v>27637.280000000002</v>
      </c>
      <c r="J13" s="127">
        <v>27112.799999999999</v>
      </c>
      <c r="K13" s="127">
        <v>28362.400000000001</v>
      </c>
      <c r="L13" s="127">
        <v>25273.599999999999</v>
      </c>
      <c r="M13" s="127">
        <v>25718.880000000001</v>
      </c>
      <c r="N13" s="127">
        <v>31745.119999999999</v>
      </c>
      <c r="O13" s="127">
        <v>29707.040000000008</v>
      </c>
      <c r="P13" s="127">
        <v>27555.079999999994</v>
      </c>
      <c r="Q13" s="127">
        <v>31582.679999999997</v>
      </c>
      <c r="R13" s="5">
        <f t="shared" si="4"/>
        <v>327062.56000000006</v>
      </c>
      <c r="S13" s="235">
        <f t="shared" si="2"/>
        <v>300057.39449541288</v>
      </c>
    </row>
    <row r="14" spans="1:21" outlineLevel="1" x14ac:dyDescent="0.25">
      <c r="A14" s="58" t="s">
        <v>57</v>
      </c>
      <c r="B14" s="53" t="s">
        <v>192</v>
      </c>
      <c r="C14" s="59" t="s">
        <v>58</v>
      </c>
      <c r="D14" s="62">
        <v>3.2</v>
      </c>
      <c r="E14" s="156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5">
        <f t="shared" si="4"/>
        <v>0</v>
      </c>
      <c r="S14" s="235">
        <f t="shared" si="2"/>
        <v>0</v>
      </c>
    </row>
    <row r="15" spans="1:21" ht="12.75" x14ac:dyDescent="0.2">
      <c r="A15" s="58" t="s">
        <v>59</v>
      </c>
      <c r="B15" s="53" t="s">
        <v>193</v>
      </c>
      <c r="C15" s="59" t="s">
        <v>94</v>
      </c>
      <c r="D15" s="62">
        <v>1.6</v>
      </c>
      <c r="E15" s="156">
        <v>1.6</v>
      </c>
      <c r="F15" s="127">
        <v>18200.000000000004</v>
      </c>
      <c r="G15" s="127">
        <v>17075.2</v>
      </c>
      <c r="H15" s="127">
        <v>20302.400000000001</v>
      </c>
      <c r="I15" s="127">
        <v>22964.800000000003</v>
      </c>
      <c r="J15" s="127">
        <v>23974.399999999998</v>
      </c>
      <c r="K15" s="127">
        <v>24121.599999999991</v>
      </c>
      <c r="L15" s="127">
        <v>22804.800000000007</v>
      </c>
      <c r="M15" s="127">
        <v>23894.399999999998</v>
      </c>
      <c r="N15" s="127">
        <v>25020.799999999999</v>
      </c>
      <c r="O15" s="127">
        <v>25579.199999999993</v>
      </c>
      <c r="P15" s="127">
        <v>22977.600000000002</v>
      </c>
      <c r="Q15" s="127">
        <v>21817.599999999999</v>
      </c>
      <c r="R15" s="5">
        <f t="shared" si="4"/>
        <v>268732.79999999999</v>
      </c>
      <c r="S15" s="235">
        <f t="shared" si="2"/>
        <v>246543.85321100915</v>
      </c>
    </row>
    <row r="16" spans="1:21" x14ac:dyDescent="0.25">
      <c r="A16" s="58" t="s">
        <v>60</v>
      </c>
      <c r="B16" s="53" t="s">
        <v>194</v>
      </c>
      <c r="C16" s="63" t="s">
        <v>95</v>
      </c>
      <c r="D16" s="63">
        <v>0.64</v>
      </c>
      <c r="E16" s="157">
        <v>2.56</v>
      </c>
      <c r="F16" s="127">
        <v>1392.6399999999996</v>
      </c>
      <c r="G16" s="127">
        <v>1502.7199999999998</v>
      </c>
      <c r="H16" s="127">
        <v>1784.32</v>
      </c>
      <c r="I16" s="127">
        <v>1856.0000000000002</v>
      </c>
      <c r="J16" s="127">
        <v>1843.2000000000003</v>
      </c>
      <c r="K16" s="127">
        <v>1866.24</v>
      </c>
      <c r="L16" s="127">
        <v>1886.7199999999998</v>
      </c>
      <c r="M16" s="127">
        <v>1830.3999999999996</v>
      </c>
      <c r="N16" s="127">
        <v>2232.3200000000002</v>
      </c>
      <c r="O16" s="127">
        <v>2334.7200000000003</v>
      </c>
      <c r="P16" s="127">
        <v>2327.04</v>
      </c>
      <c r="Q16" s="127">
        <v>2713.6000000000008</v>
      </c>
      <c r="R16" s="5">
        <f t="shared" si="4"/>
        <v>23569.920000000002</v>
      </c>
      <c r="S16" s="236">
        <f t="shared" si="2"/>
        <v>21623.779816513761</v>
      </c>
    </row>
    <row r="17" spans="1:22" ht="12" customHeight="1" x14ac:dyDescent="0.25">
      <c r="A17" s="70" t="s">
        <v>15</v>
      </c>
      <c r="B17" s="52" t="s">
        <v>33</v>
      </c>
      <c r="C17" s="9" t="s">
        <v>141</v>
      </c>
      <c r="D17" s="78"/>
      <c r="E17" s="108"/>
      <c r="F17" s="118">
        <f t="shared" ref="F17:S17" si="7">+SUM(F18:F42)</f>
        <v>5681821.6699999999</v>
      </c>
      <c r="G17" s="118">
        <f t="shared" si="7"/>
        <v>5316704.1400000006</v>
      </c>
      <c r="H17" s="118">
        <f t="shared" si="7"/>
        <v>6003572.0700000003</v>
      </c>
      <c r="I17" s="118">
        <f t="shared" si="7"/>
        <v>5460208.120000001</v>
      </c>
      <c r="J17" s="118">
        <f t="shared" si="7"/>
        <v>5646602.9399999985</v>
      </c>
      <c r="K17" s="118">
        <f t="shared" si="7"/>
        <v>4378796.846666662</v>
      </c>
      <c r="L17" s="118">
        <f t="shared" si="7"/>
        <v>3449795.1170849469</v>
      </c>
      <c r="M17" s="118">
        <f t="shared" si="7"/>
        <v>3219888.2803588365</v>
      </c>
      <c r="N17" s="118">
        <f t="shared" si="7"/>
        <v>5829932.5135599812</v>
      </c>
      <c r="O17" s="118">
        <f t="shared" si="7"/>
        <v>6085236.213333331</v>
      </c>
      <c r="P17" s="118">
        <f t="shared" si="7"/>
        <v>5806013.7971216841</v>
      </c>
      <c r="Q17" s="118">
        <f t="shared" si="7"/>
        <v>5608960.092443713</v>
      </c>
      <c r="R17" s="117">
        <f t="shared" si="7"/>
        <v>62487531.800569147</v>
      </c>
      <c r="S17" s="117">
        <f t="shared" si="7"/>
        <v>57328010.826210238</v>
      </c>
    </row>
    <row r="18" spans="1:22" ht="14.4" outlineLevel="1" x14ac:dyDescent="0.3">
      <c r="A18" s="68" t="s">
        <v>61</v>
      </c>
      <c r="B18" s="69" t="s">
        <v>117</v>
      </c>
      <c r="C18" s="90" t="s">
        <v>62</v>
      </c>
      <c r="D18" s="91">
        <v>100</v>
      </c>
      <c r="E18" s="155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5">
        <f t="shared" si="4"/>
        <v>0</v>
      </c>
      <c r="S18" s="234">
        <f t="shared" si="2"/>
        <v>0</v>
      </c>
      <c r="U18" s="142"/>
      <c r="V18"/>
    </row>
    <row r="19" spans="1:22" ht="14.4" x14ac:dyDescent="0.3">
      <c r="A19" s="46" t="s">
        <v>63</v>
      </c>
      <c r="B19" s="53" t="s">
        <v>116</v>
      </c>
      <c r="C19" s="59" t="s">
        <v>64</v>
      </c>
      <c r="D19" s="60">
        <v>50</v>
      </c>
      <c r="E19" s="155">
        <v>50</v>
      </c>
      <c r="F19" s="127">
        <v>920646.65999999992</v>
      </c>
      <c r="G19" s="127">
        <v>815198.33</v>
      </c>
      <c r="H19" s="127">
        <v>929140.02</v>
      </c>
      <c r="I19" s="127">
        <v>896534.98999999987</v>
      </c>
      <c r="J19" s="127">
        <v>931924.99000000011</v>
      </c>
      <c r="K19" s="127">
        <v>867356.66999999597</v>
      </c>
      <c r="L19" s="127">
        <v>863335.00371210708</v>
      </c>
      <c r="M19" s="127">
        <v>836790.00033345586</v>
      </c>
      <c r="N19" s="127">
        <v>880453.32701899356</v>
      </c>
      <c r="O19" s="127">
        <v>937410.00999999919</v>
      </c>
      <c r="P19" s="127">
        <v>900351.66043874109</v>
      </c>
      <c r="Q19" s="127">
        <v>927160.00031448342</v>
      </c>
      <c r="R19" s="5">
        <f t="shared" si="4"/>
        <v>10706301.661817776</v>
      </c>
      <c r="S19" s="235">
        <f t="shared" si="2"/>
        <v>9822295.1025851145</v>
      </c>
      <c r="U19" s="142"/>
    </row>
    <row r="20" spans="1:22" ht="14.4" x14ac:dyDescent="0.3">
      <c r="A20" s="46" t="s">
        <v>65</v>
      </c>
      <c r="B20" s="53" t="s">
        <v>115</v>
      </c>
      <c r="C20" s="59" t="s">
        <v>66</v>
      </c>
      <c r="D20" s="60">
        <v>20</v>
      </c>
      <c r="E20" s="155">
        <v>80</v>
      </c>
      <c r="F20" s="127">
        <v>4467133.3599999994</v>
      </c>
      <c r="G20" s="127">
        <v>4220770.6400000006</v>
      </c>
      <c r="H20" s="127">
        <v>4753389.2799999984</v>
      </c>
      <c r="I20" s="127">
        <v>4291402.5600000005</v>
      </c>
      <c r="J20" s="127">
        <v>4460005.3599999994</v>
      </c>
      <c r="K20" s="127">
        <v>3374397.3199999994</v>
      </c>
      <c r="L20" s="127">
        <v>2496778.6399999862</v>
      </c>
      <c r="M20" s="127">
        <v>2286192.0533333337</v>
      </c>
      <c r="N20" s="127">
        <v>4647338.706666667</v>
      </c>
      <c r="O20" s="127">
        <v>4808218.5733333323</v>
      </c>
      <c r="P20" s="127">
        <v>4566722.68</v>
      </c>
      <c r="Q20" s="127">
        <v>4387938.672063008</v>
      </c>
      <c r="R20" s="5">
        <f t="shared" si="4"/>
        <v>48760287.845396325</v>
      </c>
      <c r="S20" s="235">
        <f t="shared" si="2"/>
        <v>44734209.032473691</v>
      </c>
      <c r="U20" s="142"/>
    </row>
    <row r="21" spans="1:22" ht="14.4" outlineLevel="1" x14ac:dyDescent="0.3">
      <c r="A21" s="46" t="s">
        <v>67</v>
      </c>
      <c r="B21" s="53" t="s">
        <v>118</v>
      </c>
      <c r="C21" s="59" t="s">
        <v>68</v>
      </c>
      <c r="D21" s="60">
        <v>90</v>
      </c>
      <c r="E21" s="155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5">
        <f t="shared" si="4"/>
        <v>0</v>
      </c>
      <c r="S21" s="235">
        <f t="shared" si="2"/>
        <v>0</v>
      </c>
      <c r="U21" s="142"/>
    </row>
    <row r="22" spans="1:22" ht="14.4" x14ac:dyDescent="0.3">
      <c r="A22" s="46" t="s">
        <v>69</v>
      </c>
      <c r="B22" s="53" t="s">
        <v>119</v>
      </c>
      <c r="C22" s="59" t="s">
        <v>70</v>
      </c>
      <c r="D22" s="60">
        <v>45</v>
      </c>
      <c r="E22" s="155">
        <v>45</v>
      </c>
      <c r="F22" s="127">
        <v>29893.499999999996</v>
      </c>
      <c r="G22" s="127">
        <v>28750.5</v>
      </c>
      <c r="H22" s="127">
        <v>31447.5</v>
      </c>
      <c r="I22" s="127">
        <v>29118.000000000004</v>
      </c>
      <c r="J22" s="127">
        <v>30165</v>
      </c>
      <c r="K22" s="127">
        <v>25818</v>
      </c>
      <c r="L22" s="127">
        <v>23179.5</v>
      </c>
      <c r="M22" s="127">
        <v>24034.5</v>
      </c>
      <c r="N22" s="127">
        <v>30489</v>
      </c>
      <c r="O22" s="127">
        <v>34873.5</v>
      </c>
      <c r="P22" s="127">
        <v>32764.5</v>
      </c>
      <c r="Q22" s="127">
        <v>27870</v>
      </c>
      <c r="R22" s="5">
        <f t="shared" si="4"/>
        <v>348403.5</v>
      </c>
      <c r="S22" s="235">
        <f t="shared" si="2"/>
        <v>319636.23853211006</v>
      </c>
      <c r="U22" s="142"/>
    </row>
    <row r="23" spans="1:22" ht="14.4" x14ac:dyDescent="0.3">
      <c r="A23" s="46" t="s">
        <v>71</v>
      </c>
      <c r="B23" s="53" t="s">
        <v>120</v>
      </c>
      <c r="C23" s="59" t="s">
        <v>72</v>
      </c>
      <c r="D23" s="60">
        <v>18</v>
      </c>
      <c r="E23" s="155">
        <v>72</v>
      </c>
      <c r="F23" s="127">
        <v>110839.20000000001</v>
      </c>
      <c r="G23" s="127">
        <v>99079.2</v>
      </c>
      <c r="H23" s="127">
        <v>117950.39999999999</v>
      </c>
      <c r="I23" s="127">
        <v>93599.999999999985</v>
      </c>
      <c r="J23" s="127">
        <v>98632.799999999988</v>
      </c>
      <c r="K23" s="127">
        <v>40711.199999999997</v>
      </c>
      <c r="L23" s="127">
        <v>12912</v>
      </c>
      <c r="M23" s="127">
        <v>16300.8</v>
      </c>
      <c r="N23" s="127">
        <v>136624.79999999999</v>
      </c>
      <c r="O23" s="127">
        <v>130975.20000000001</v>
      </c>
      <c r="P23" s="127">
        <v>124944</v>
      </c>
      <c r="Q23" s="127">
        <v>97238.399999999994</v>
      </c>
      <c r="R23" s="5">
        <f t="shared" si="4"/>
        <v>1079808</v>
      </c>
      <c r="S23" s="235">
        <f t="shared" si="2"/>
        <v>990649.54128440365</v>
      </c>
      <c r="U23" s="142"/>
    </row>
    <row r="24" spans="1:22" ht="14.4" outlineLevel="1" x14ac:dyDescent="0.3">
      <c r="A24" s="46" t="s">
        <v>73</v>
      </c>
      <c r="B24" s="53" t="s">
        <v>121</v>
      </c>
      <c r="C24" s="59" t="s">
        <v>96</v>
      </c>
      <c r="D24" s="60">
        <v>300</v>
      </c>
      <c r="E24" s="155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5">
        <f t="shared" si="4"/>
        <v>0</v>
      </c>
      <c r="S24" s="235">
        <f t="shared" si="2"/>
        <v>0</v>
      </c>
      <c r="U24" s="142"/>
    </row>
    <row r="25" spans="1:22" ht="14.4" x14ac:dyDescent="0.3">
      <c r="A25" s="46" t="s">
        <v>74</v>
      </c>
      <c r="B25" s="53" t="s">
        <v>122</v>
      </c>
      <c r="C25" s="59" t="s">
        <v>97</v>
      </c>
      <c r="D25" s="60">
        <v>150</v>
      </c>
      <c r="E25" s="155">
        <v>150</v>
      </c>
      <c r="F25" s="127">
        <v>6756.66</v>
      </c>
      <c r="G25" s="127">
        <v>6356.67</v>
      </c>
      <c r="H25" s="127">
        <v>6756.66</v>
      </c>
      <c r="I25" s="127">
        <v>6606.67</v>
      </c>
      <c r="J25" s="127">
        <v>6248.33</v>
      </c>
      <c r="K25" s="127">
        <v>5445</v>
      </c>
      <c r="L25" s="127">
        <v>5611.6700464375799</v>
      </c>
      <c r="M25" s="127">
        <v>5551.6667078145329</v>
      </c>
      <c r="N25" s="127">
        <v>5876.6666809590652</v>
      </c>
      <c r="O25" s="127">
        <v>6365.0066666666653</v>
      </c>
      <c r="P25" s="127">
        <v>6953.3400179036453</v>
      </c>
      <c r="Q25" s="127">
        <v>9735.0067241414381</v>
      </c>
      <c r="R25" s="5">
        <f t="shared" si="4"/>
        <v>78263.346843922933</v>
      </c>
      <c r="S25" s="235">
        <f t="shared" si="2"/>
        <v>71801.235636626545</v>
      </c>
      <c r="U25" s="142"/>
    </row>
    <row r="26" spans="1:22" ht="14.4" x14ac:dyDescent="0.3">
      <c r="A26" s="46" t="s">
        <v>75</v>
      </c>
      <c r="B26" s="53" t="s">
        <v>123</v>
      </c>
      <c r="C26" s="59" t="s">
        <v>98</v>
      </c>
      <c r="D26" s="60">
        <v>60</v>
      </c>
      <c r="E26" s="155">
        <v>240</v>
      </c>
      <c r="F26" s="127">
        <v>102093.32</v>
      </c>
      <c r="G26" s="127">
        <v>104480.04000000001</v>
      </c>
      <c r="H26" s="127">
        <v>122157.4</v>
      </c>
      <c r="I26" s="127">
        <v>106176</v>
      </c>
      <c r="J26" s="127">
        <v>86509.36</v>
      </c>
      <c r="K26" s="127">
        <v>49669.373333333337</v>
      </c>
      <c r="L26" s="127">
        <v>37496.026666666672</v>
      </c>
      <c r="M26" s="127">
        <v>39253.08</v>
      </c>
      <c r="N26" s="127">
        <v>90648.013333333336</v>
      </c>
      <c r="O26" s="127">
        <v>119583.98666666666</v>
      </c>
      <c r="P26" s="127">
        <v>123696.01333333334</v>
      </c>
      <c r="Q26" s="127">
        <v>103786.63999999998</v>
      </c>
      <c r="R26" s="5">
        <f t="shared" si="4"/>
        <v>1085549.2533333332</v>
      </c>
      <c r="S26" s="235">
        <f t="shared" si="2"/>
        <v>995916.74617736985</v>
      </c>
      <c r="U26" s="142"/>
    </row>
    <row r="27" spans="1:22" ht="14.4" outlineLevel="1" x14ac:dyDescent="0.3">
      <c r="A27" s="46" t="s">
        <v>76</v>
      </c>
      <c r="B27" s="53" t="s">
        <v>124</v>
      </c>
      <c r="C27" s="59" t="s">
        <v>99</v>
      </c>
      <c r="D27" s="60">
        <v>270</v>
      </c>
      <c r="E27" s="155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5">
        <f t="shared" si="4"/>
        <v>0</v>
      </c>
      <c r="S27" s="235">
        <f t="shared" si="2"/>
        <v>0</v>
      </c>
      <c r="U27" s="142"/>
    </row>
    <row r="28" spans="1:22" ht="14.4" x14ac:dyDescent="0.3">
      <c r="A28" s="46" t="s">
        <v>77</v>
      </c>
      <c r="B28" s="53" t="s">
        <v>125</v>
      </c>
      <c r="C28" s="59" t="s">
        <v>100</v>
      </c>
      <c r="D28" s="60">
        <v>135</v>
      </c>
      <c r="E28" s="155">
        <v>135</v>
      </c>
      <c r="F28" s="127">
        <v>259.5</v>
      </c>
      <c r="G28" s="127">
        <v>183</v>
      </c>
      <c r="H28" s="127">
        <v>355.5</v>
      </c>
      <c r="I28" s="127">
        <v>372</v>
      </c>
      <c r="J28" s="127">
        <v>358.5</v>
      </c>
      <c r="K28" s="127">
        <v>175.5</v>
      </c>
      <c r="L28" s="127">
        <v>99</v>
      </c>
      <c r="M28" s="127">
        <v>168</v>
      </c>
      <c r="N28" s="127">
        <v>238.5</v>
      </c>
      <c r="O28" s="127">
        <v>271.5</v>
      </c>
      <c r="P28" s="127">
        <v>235.5</v>
      </c>
      <c r="Q28" s="127">
        <v>244.5</v>
      </c>
      <c r="R28" s="5">
        <f t="shared" si="4"/>
        <v>2961</v>
      </c>
      <c r="S28" s="235">
        <f t="shared" si="2"/>
        <v>2716.5137614678897</v>
      </c>
      <c r="U28" s="142"/>
    </row>
    <row r="29" spans="1:22" ht="14.4" x14ac:dyDescent="0.3">
      <c r="A29" s="46" t="s">
        <v>78</v>
      </c>
      <c r="B29" s="53" t="s">
        <v>126</v>
      </c>
      <c r="C29" s="59" t="s">
        <v>101</v>
      </c>
      <c r="D29" s="60">
        <v>54</v>
      </c>
      <c r="E29" s="155">
        <v>216</v>
      </c>
      <c r="F29" s="127">
        <v>6338.4</v>
      </c>
      <c r="G29" s="127">
        <v>6597.6</v>
      </c>
      <c r="H29" s="127">
        <v>7012.8</v>
      </c>
      <c r="I29" s="127">
        <v>5155.2</v>
      </c>
      <c r="J29" s="127">
        <v>3597.6000000000008</v>
      </c>
      <c r="K29" s="127">
        <v>1420.8</v>
      </c>
      <c r="L29" s="127">
        <v>600</v>
      </c>
      <c r="M29" s="127">
        <v>650.4</v>
      </c>
      <c r="N29" s="127">
        <v>6470.4</v>
      </c>
      <c r="O29" s="127">
        <v>9415.2000000000007</v>
      </c>
      <c r="P29" s="127">
        <v>10231.200000000001</v>
      </c>
      <c r="Q29" s="127">
        <v>7269.5999999999995</v>
      </c>
      <c r="R29" s="5">
        <f t="shared" si="4"/>
        <v>64759.200000000004</v>
      </c>
      <c r="S29" s="235">
        <f t="shared" si="2"/>
        <v>59412.110091743118</v>
      </c>
      <c r="U29" s="142"/>
    </row>
    <row r="30" spans="1:22" ht="14.4" outlineLevel="1" x14ac:dyDescent="0.3">
      <c r="A30" s="46" t="s">
        <v>79</v>
      </c>
      <c r="B30" s="53" t="s">
        <v>127</v>
      </c>
      <c r="C30" s="59" t="s">
        <v>102</v>
      </c>
      <c r="D30" s="60">
        <v>600</v>
      </c>
      <c r="E30" s="155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5">
        <f t="shared" si="4"/>
        <v>0</v>
      </c>
      <c r="S30" s="235">
        <f t="shared" si="2"/>
        <v>0</v>
      </c>
      <c r="U30" s="142"/>
    </row>
    <row r="31" spans="1:22" ht="14.4" x14ac:dyDescent="0.3">
      <c r="A31" s="46" t="s">
        <v>80</v>
      </c>
      <c r="B31" s="53" t="s">
        <v>128</v>
      </c>
      <c r="C31" s="59" t="s">
        <v>103</v>
      </c>
      <c r="D31" s="60">
        <v>300</v>
      </c>
      <c r="E31" s="155">
        <v>300</v>
      </c>
      <c r="F31" s="127">
        <v>968.35</v>
      </c>
      <c r="G31" s="127">
        <v>896.69</v>
      </c>
      <c r="H31" s="127">
        <v>1015.03</v>
      </c>
      <c r="I31" s="127">
        <v>968.34</v>
      </c>
      <c r="J31" s="127">
        <v>1006.68</v>
      </c>
      <c r="K31" s="127">
        <v>1033.33</v>
      </c>
      <c r="L31" s="127">
        <v>1076.6766764322915</v>
      </c>
      <c r="M31" s="127">
        <v>1120.0066715494791</v>
      </c>
      <c r="N31" s="127">
        <v>986.66666839599611</v>
      </c>
      <c r="O31" s="127">
        <v>1010.0033333333333</v>
      </c>
      <c r="P31" s="127">
        <v>928.32999999999993</v>
      </c>
      <c r="Q31" s="127">
        <v>1208.3400130208333</v>
      </c>
      <c r="R31" s="5">
        <f t="shared" si="4"/>
        <v>12218.443362731934</v>
      </c>
      <c r="S31" s="235">
        <f t="shared" si="2"/>
        <v>11209.581066726545</v>
      </c>
      <c r="U31" s="142"/>
    </row>
    <row r="32" spans="1:22" ht="14.4" x14ac:dyDescent="0.3">
      <c r="A32" s="46" t="s">
        <v>81</v>
      </c>
      <c r="B32" s="53" t="s">
        <v>129</v>
      </c>
      <c r="C32" s="59" t="s">
        <v>104</v>
      </c>
      <c r="D32" s="60">
        <v>120</v>
      </c>
      <c r="E32" s="155">
        <v>480</v>
      </c>
      <c r="F32" s="127">
        <v>16570.64</v>
      </c>
      <c r="G32" s="127">
        <v>16055.96</v>
      </c>
      <c r="H32" s="127">
        <v>14794.68</v>
      </c>
      <c r="I32" s="127">
        <v>11773.32</v>
      </c>
      <c r="J32" s="127">
        <v>10839.96</v>
      </c>
      <c r="K32" s="127">
        <v>8392.0266666666666</v>
      </c>
      <c r="L32" s="127">
        <v>6021.3866507975254</v>
      </c>
      <c r="M32" s="127">
        <v>5639.9333126831052</v>
      </c>
      <c r="N32" s="127">
        <v>10405.32</v>
      </c>
      <c r="O32" s="127">
        <v>12469.426666666666</v>
      </c>
      <c r="P32" s="127">
        <v>14712.04</v>
      </c>
      <c r="Q32" s="127">
        <v>19978.693333333336</v>
      </c>
      <c r="R32" s="5">
        <f t="shared" si="4"/>
        <v>147653.38663014732</v>
      </c>
      <c r="S32" s="235">
        <f t="shared" si="2"/>
        <v>135461.82259646541</v>
      </c>
      <c r="U32" s="142"/>
    </row>
    <row r="33" spans="1:22" ht="14.4" outlineLevel="1" x14ac:dyDescent="0.3">
      <c r="A33" s="46" t="s">
        <v>82</v>
      </c>
      <c r="B33" s="53" t="s">
        <v>130</v>
      </c>
      <c r="C33" s="59" t="s">
        <v>105</v>
      </c>
      <c r="D33" s="60">
        <v>540</v>
      </c>
      <c r="E33" s="155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5">
        <f t="shared" si="4"/>
        <v>0</v>
      </c>
      <c r="S33" s="235">
        <f t="shared" si="2"/>
        <v>0</v>
      </c>
      <c r="U33" s="142"/>
    </row>
    <row r="34" spans="1:22" ht="14.4" x14ac:dyDescent="0.3">
      <c r="A34" s="46" t="s">
        <v>83</v>
      </c>
      <c r="B34" s="53" t="s">
        <v>131</v>
      </c>
      <c r="C34" s="59" t="s">
        <v>106</v>
      </c>
      <c r="D34" s="60">
        <v>270</v>
      </c>
      <c r="E34" s="155">
        <v>270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20</v>
      </c>
      <c r="Q34" s="127">
        <v>70.5</v>
      </c>
      <c r="R34" s="5">
        <f t="shared" si="4"/>
        <v>90.5</v>
      </c>
      <c r="S34" s="235">
        <f t="shared" si="2"/>
        <v>83.027522935779814</v>
      </c>
      <c r="U34" s="142"/>
    </row>
    <row r="35" spans="1:22" ht="14.4" x14ac:dyDescent="0.3">
      <c r="A35" s="46" t="s">
        <v>84</v>
      </c>
      <c r="B35" s="53" t="s">
        <v>132</v>
      </c>
      <c r="C35" s="59" t="s">
        <v>107</v>
      </c>
      <c r="D35" s="60">
        <v>108</v>
      </c>
      <c r="E35" s="155">
        <v>432</v>
      </c>
      <c r="F35" s="127">
        <v>1800.0000000000002</v>
      </c>
      <c r="G35" s="127">
        <v>1612.8</v>
      </c>
      <c r="H35" s="127">
        <v>1356</v>
      </c>
      <c r="I35" s="127">
        <v>1118.4000000000001</v>
      </c>
      <c r="J35" s="127">
        <v>969.6</v>
      </c>
      <c r="K35" s="127">
        <v>463.19999999999987</v>
      </c>
      <c r="L35" s="127">
        <v>115.2</v>
      </c>
      <c r="M35" s="127">
        <v>81.600000000000009</v>
      </c>
      <c r="N35" s="127">
        <v>482.40000000000003</v>
      </c>
      <c r="O35" s="127">
        <v>887.72</v>
      </c>
      <c r="P35" s="127">
        <v>1971.1999999999998</v>
      </c>
      <c r="Q35" s="127">
        <v>1401.6</v>
      </c>
      <c r="R35" s="5">
        <f t="shared" si="4"/>
        <v>12259.72</v>
      </c>
      <c r="S35" s="235">
        <f t="shared" si="2"/>
        <v>11247.449541284403</v>
      </c>
      <c r="U35" s="142"/>
    </row>
    <row r="36" spans="1:22" ht="14.4" outlineLevel="1" x14ac:dyDescent="0.3">
      <c r="A36" s="46" t="s">
        <v>85</v>
      </c>
      <c r="B36" s="53" t="s">
        <v>133</v>
      </c>
      <c r="C36" s="59" t="s">
        <v>108</v>
      </c>
      <c r="D36" s="60">
        <v>900</v>
      </c>
      <c r="E36" s="155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5">
        <f t="shared" si="4"/>
        <v>0</v>
      </c>
      <c r="S36" s="235">
        <f t="shared" si="2"/>
        <v>0</v>
      </c>
      <c r="U36" s="142"/>
    </row>
    <row r="37" spans="1:22" ht="14.4" x14ac:dyDescent="0.3">
      <c r="A37" s="46" t="s">
        <v>86</v>
      </c>
      <c r="B37" s="53" t="s">
        <v>134</v>
      </c>
      <c r="C37" s="59" t="s">
        <v>109</v>
      </c>
      <c r="D37" s="60">
        <v>450</v>
      </c>
      <c r="E37" s="155">
        <v>450</v>
      </c>
      <c r="F37" s="127">
        <v>310</v>
      </c>
      <c r="G37" s="127">
        <v>186.67000000000002</v>
      </c>
      <c r="H37" s="127">
        <v>185</v>
      </c>
      <c r="I37" s="127">
        <v>100</v>
      </c>
      <c r="J37" s="127">
        <v>90</v>
      </c>
      <c r="K37" s="127">
        <v>100</v>
      </c>
      <c r="L37" s="127">
        <v>103.33333333333331</v>
      </c>
      <c r="M37" s="127">
        <v>123.33333333333331</v>
      </c>
      <c r="N37" s="127">
        <v>225</v>
      </c>
      <c r="O37" s="127">
        <v>206.66666666666663</v>
      </c>
      <c r="P37" s="127">
        <v>205</v>
      </c>
      <c r="Q37" s="127">
        <v>303.33333333333326</v>
      </c>
      <c r="R37" s="5">
        <f t="shared" si="4"/>
        <v>2138.3366666666661</v>
      </c>
      <c r="S37" s="235">
        <f t="shared" si="2"/>
        <v>1961.7767584097853</v>
      </c>
      <c r="U37" s="142"/>
    </row>
    <row r="38" spans="1:22" ht="14.4" x14ac:dyDescent="0.3">
      <c r="A38" s="46" t="s">
        <v>87</v>
      </c>
      <c r="B38" s="53" t="s">
        <v>135</v>
      </c>
      <c r="C38" s="59" t="s">
        <v>110</v>
      </c>
      <c r="D38" s="60">
        <v>180</v>
      </c>
      <c r="E38" s="155">
        <v>720</v>
      </c>
      <c r="F38" s="127">
        <v>16352.080000000002</v>
      </c>
      <c r="G38" s="127">
        <v>14832.04</v>
      </c>
      <c r="H38" s="127">
        <v>16077.400000000001</v>
      </c>
      <c r="I38" s="127">
        <v>15410.64</v>
      </c>
      <c r="J38" s="127">
        <v>14442.76</v>
      </c>
      <c r="K38" s="127">
        <v>3320.0266666666666</v>
      </c>
      <c r="L38" s="127">
        <v>2226.6799991861981</v>
      </c>
      <c r="M38" s="127">
        <v>3637.3066666666673</v>
      </c>
      <c r="N38" s="127">
        <v>17528.013191630045</v>
      </c>
      <c r="O38" s="127">
        <v>20901.32</v>
      </c>
      <c r="P38" s="127">
        <v>19749.333331705726</v>
      </c>
      <c r="Q38" s="127">
        <v>22106.706662394208</v>
      </c>
      <c r="R38" s="5">
        <f t="shared" si="4"/>
        <v>166584.3065182495</v>
      </c>
      <c r="S38" s="235">
        <f t="shared" si="2"/>
        <v>152829.63900756833</v>
      </c>
      <c r="U38" s="142"/>
    </row>
    <row r="39" spans="1:22" ht="14.4" outlineLevel="1" x14ac:dyDescent="0.3">
      <c r="A39" s="46" t="s">
        <v>88</v>
      </c>
      <c r="B39" s="53" t="s">
        <v>136</v>
      </c>
      <c r="C39" s="59" t="s">
        <v>111</v>
      </c>
      <c r="D39" s="60">
        <v>810</v>
      </c>
      <c r="E39" s="155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5">
        <f t="shared" si="4"/>
        <v>0</v>
      </c>
      <c r="S39" s="235">
        <f t="shared" si="2"/>
        <v>0</v>
      </c>
      <c r="U39" s="142"/>
    </row>
    <row r="40" spans="1:22" ht="14.4" x14ac:dyDescent="0.3">
      <c r="A40" s="46" t="s">
        <v>89</v>
      </c>
      <c r="B40" s="53" t="s">
        <v>137</v>
      </c>
      <c r="C40" s="59" t="s">
        <v>112</v>
      </c>
      <c r="D40" s="60">
        <v>405</v>
      </c>
      <c r="E40" s="155">
        <v>405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34.5</v>
      </c>
      <c r="O40" s="127">
        <v>46.5</v>
      </c>
      <c r="P40" s="127">
        <v>45</v>
      </c>
      <c r="Q40" s="127">
        <v>46.5</v>
      </c>
      <c r="R40" s="5">
        <f t="shared" si="4"/>
        <v>172.5</v>
      </c>
      <c r="S40" s="235">
        <f t="shared" si="2"/>
        <v>158.25688073394494</v>
      </c>
      <c r="U40" s="142"/>
    </row>
    <row r="41" spans="1:22" ht="14.4" x14ac:dyDescent="0.3">
      <c r="A41" s="54" t="s">
        <v>90</v>
      </c>
      <c r="B41" s="55" t="s">
        <v>138</v>
      </c>
      <c r="C41" s="245" t="s">
        <v>113</v>
      </c>
      <c r="D41" s="246">
        <v>162</v>
      </c>
      <c r="E41" s="158">
        <v>648</v>
      </c>
      <c r="F41" s="221">
        <v>1860</v>
      </c>
      <c r="G41" s="221">
        <v>1704</v>
      </c>
      <c r="H41" s="221">
        <v>1934.3999999999999</v>
      </c>
      <c r="I41" s="221">
        <v>1872</v>
      </c>
      <c r="J41" s="221">
        <v>1812</v>
      </c>
      <c r="K41" s="221">
        <v>494.40000000000009</v>
      </c>
      <c r="L41" s="221">
        <v>240</v>
      </c>
      <c r="M41" s="221">
        <v>345.6</v>
      </c>
      <c r="N41" s="221">
        <v>2131.1999999999998</v>
      </c>
      <c r="O41" s="221">
        <v>2601.6000000000004</v>
      </c>
      <c r="P41" s="221">
        <v>2484</v>
      </c>
      <c r="Q41" s="221">
        <v>2601.6000000000004</v>
      </c>
      <c r="R41" s="26">
        <f t="shared" si="4"/>
        <v>20080.799999999996</v>
      </c>
      <c r="S41" s="242">
        <f t="shared" si="2"/>
        <v>18422.752293577978</v>
      </c>
      <c r="U41" s="142"/>
    </row>
    <row r="42" spans="1:22" x14ac:dyDescent="0.25">
      <c r="A42" s="47" t="s">
        <v>201</v>
      </c>
      <c r="B42" s="56" t="s">
        <v>200</v>
      </c>
      <c r="C42" s="66" t="s">
        <v>202</v>
      </c>
      <c r="D42" s="67">
        <v>10</v>
      </c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26">
        <f t="shared" ref="R42" si="8">+SUM(F42:Q42)</f>
        <v>0</v>
      </c>
      <c r="S42" s="242">
        <f t="shared" ref="S42" si="9">+R42/1.09</f>
        <v>0</v>
      </c>
      <c r="U42" s="1"/>
    </row>
    <row r="43" spans="1:22" ht="12" customHeight="1" x14ac:dyDescent="0.25">
      <c r="A43" s="70" t="s">
        <v>16</v>
      </c>
      <c r="B43" s="52" t="s">
        <v>34</v>
      </c>
      <c r="C43" s="80" t="s">
        <v>91</v>
      </c>
      <c r="D43" s="78"/>
      <c r="E43" s="108"/>
      <c r="F43" s="187">
        <f t="shared" ref="F43:Q43" si="10">+SUM(F44:F52)</f>
        <v>251051.37999999995</v>
      </c>
      <c r="G43" s="187">
        <f t="shared" si="10"/>
        <v>210210.17</v>
      </c>
      <c r="H43" s="187">
        <f t="shared" si="10"/>
        <v>248188.71999999997</v>
      </c>
      <c r="I43" s="187">
        <f>+SUM(I44:I52)</f>
        <v>292142.79000000004</v>
      </c>
      <c r="J43" s="82">
        <f t="shared" si="10"/>
        <v>306439.78000000003</v>
      </c>
      <c r="K43" s="82">
        <f t="shared" si="10"/>
        <v>417443.66000000003</v>
      </c>
      <c r="L43" s="82">
        <f t="shared" si="10"/>
        <v>365920.2699999999</v>
      </c>
      <c r="M43" s="82">
        <f t="shared" si="10"/>
        <v>367264.85</v>
      </c>
      <c r="N43" s="100">
        <f t="shared" si="10"/>
        <v>301370.78000000003</v>
      </c>
      <c r="O43" s="100">
        <f t="shared" si="10"/>
        <v>284667.31999999995</v>
      </c>
      <c r="P43" s="100">
        <f t="shared" si="10"/>
        <v>248227.94</v>
      </c>
      <c r="Q43" s="100">
        <f t="shared" si="10"/>
        <v>330667.37</v>
      </c>
      <c r="R43" s="42">
        <f>+SUM(R44:R52)</f>
        <v>3623595.03</v>
      </c>
      <c r="S43" s="232">
        <f t="shared" si="2"/>
        <v>3324399.1100917426</v>
      </c>
    </row>
    <row r="44" spans="1:22" ht="12" customHeight="1" outlineLevel="1" x14ac:dyDescent="0.3">
      <c r="A44" s="65" t="s">
        <v>17</v>
      </c>
      <c r="B44" s="86" t="s">
        <v>35</v>
      </c>
      <c r="C44" s="30" t="s">
        <v>2</v>
      </c>
      <c r="D44" s="29">
        <v>12</v>
      </c>
      <c r="E44" s="29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5">
        <f t="shared" si="4"/>
        <v>0</v>
      </c>
      <c r="S44" s="234">
        <f t="shared" si="2"/>
        <v>0</v>
      </c>
      <c r="U44" s="142"/>
      <c r="V44"/>
    </row>
    <row r="45" spans="1:22" ht="12" customHeight="1" x14ac:dyDescent="0.3">
      <c r="A45" s="46" t="s">
        <v>18</v>
      </c>
      <c r="B45" s="53" t="s">
        <v>35</v>
      </c>
      <c r="C45" s="11" t="s">
        <v>3</v>
      </c>
      <c r="D45" s="10">
        <v>6</v>
      </c>
      <c r="E45" s="29">
        <v>6</v>
      </c>
      <c r="F45" s="127">
        <v>2196</v>
      </c>
      <c r="G45" s="127">
        <v>1932</v>
      </c>
      <c r="H45" s="127">
        <v>2550</v>
      </c>
      <c r="I45" s="127">
        <v>2652</v>
      </c>
      <c r="J45" s="127">
        <v>2634</v>
      </c>
      <c r="K45" s="127">
        <v>2712</v>
      </c>
      <c r="L45" s="127">
        <v>3006</v>
      </c>
      <c r="M45" s="127">
        <v>2922</v>
      </c>
      <c r="N45" s="127">
        <v>2982</v>
      </c>
      <c r="O45" s="127">
        <v>3102</v>
      </c>
      <c r="P45" s="127">
        <v>2586</v>
      </c>
      <c r="Q45" s="127">
        <v>2472</v>
      </c>
      <c r="R45" s="5">
        <f t="shared" si="4"/>
        <v>31746</v>
      </c>
      <c r="S45" s="235">
        <f t="shared" si="2"/>
        <v>29124.770642201831</v>
      </c>
      <c r="U45" s="142"/>
    </row>
    <row r="46" spans="1:22" ht="12" customHeight="1" x14ac:dyDescent="0.3">
      <c r="A46" s="46" t="s">
        <v>19</v>
      </c>
      <c r="B46" s="53" t="s">
        <v>35</v>
      </c>
      <c r="C46" s="11" t="s">
        <v>4</v>
      </c>
      <c r="D46" s="10">
        <v>2.4</v>
      </c>
      <c r="E46" s="29">
        <v>9.6</v>
      </c>
      <c r="F46" s="127">
        <v>149731.19999999998</v>
      </c>
      <c r="G46" s="127">
        <v>137923.20000000001</v>
      </c>
      <c r="H46" s="127">
        <v>167366.39999999999</v>
      </c>
      <c r="I46" s="127">
        <v>183907.20000000004</v>
      </c>
      <c r="J46" s="127">
        <v>199286.40000000002</v>
      </c>
      <c r="K46" s="127">
        <v>253219.20000000001</v>
      </c>
      <c r="L46" s="127">
        <v>236102.39999999997</v>
      </c>
      <c r="M46" s="127">
        <v>255580.80000000002</v>
      </c>
      <c r="N46" s="127">
        <v>195849.60000000003</v>
      </c>
      <c r="O46" s="127">
        <v>193315.19999999998</v>
      </c>
      <c r="P46" s="127">
        <v>171254.39999999999</v>
      </c>
      <c r="Q46" s="127">
        <v>198364.79999999999</v>
      </c>
      <c r="R46" s="5">
        <f t="shared" si="4"/>
        <v>2341900.7999999998</v>
      </c>
      <c r="S46" s="235">
        <f t="shared" si="2"/>
        <v>2148532.8440366969</v>
      </c>
      <c r="U46" s="142"/>
    </row>
    <row r="47" spans="1:22" ht="12" customHeight="1" outlineLevel="1" x14ac:dyDescent="0.3">
      <c r="A47" s="46" t="s">
        <v>20</v>
      </c>
      <c r="B47" s="53" t="s">
        <v>35</v>
      </c>
      <c r="C47" s="11" t="s">
        <v>5</v>
      </c>
      <c r="D47" s="10">
        <v>21</v>
      </c>
      <c r="E47" s="29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5">
        <f t="shared" si="4"/>
        <v>0</v>
      </c>
      <c r="S47" s="235">
        <f t="shared" si="2"/>
        <v>0</v>
      </c>
      <c r="U47" s="142"/>
    </row>
    <row r="48" spans="1:22" ht="12" customHeight="1" x14ac:dyDescent="0.3">
      <c r="A48" s="46" t="s">
        <v>21</v>
      </c>
      <c r="B48" s="53" t="s">
        <v>35</v>
      </c>
      <c r="C48" s="11" t="s">
        <v>6</v>
      </c>
      <c r="D48" s="10">
        <v>10.5</v>
      </c>
      <c r="E48" s="29">
        <v>10.5</v>
      </c>
      <c r="F48" s="127">
        <v>1491</v>
      </c>
      <c r="G48" s="127">
        <v>1564.5</v>
      </c>
      <c r="H48" s="127">
        <v>2002</v>
      </c>
      <c r="I48" s="127">
        <v>1897</v>
      </c>
      <c r="J48" s="127">
        <v>2184</v>
      </c>
      <c r="K48" s="127">
        <v>2611</v>
      </c>
      <c r="L48" s="127">
        <v>2989</v>
      </c>
      <c r="M48" s="127">
        <v>2572.5</v>
      </c>
      <c r="N48" s="127">
        <v>2548</v>
      </c>
      <c r="O48" s="127">
        <v>2471</v>
      </c>
      <c r="P48" s="127">
        <v>2079</v>
      </c>
      <c r="Q48" s="127">
        <v>1981</v>
      </c>
      <c r="R48" s="5">
        <f t="shared" si="4"/>
        <v>26390</v>
      </c>
      <c r="S48" s="235">
        <f t="shared" si="2"/>
        <v>24211.009174311926</v>
      </c>
      <c r="U48" s="142"/>
    </row>
    <row r="49" spans="1:21" ht="12" customHeight="1" x14ac:dyDescent="0.3">
      <c r="A49" s="46" t="s">
        <v>22</v>
      </c>
      <c r="B49" s="53" t="s">
        <v>35</v>
      </c>
      <c r="C49" s="11" t="s">
        <v>7</v>
      </c>
      <c r="D49" s="10">
        <v>4.2</v>
      </c>
      <c r="E49" s="29">
        <v>16.8</v>
      </c>
      <c r="F49" s="127">
        <v>39463.199999999997</v>
      </c>
      <c r="G49" s="127">
        <v>32855.199999999997</v>
      </c>
      <c r="H49" s="127">
        <v>38455.199999999997</v>
      </c>
      <c r="I49" s="127">
        <v>51576</v>
      </c>
      <c r="J49" s="127">
        <v>44828.000000000007</v>
      </c>
      <c r="K49" s="127">
        <v>63918.400000000009</v>
      </c>
      <c r="L49" s="127">
        <v>56022.399999999994</v>
      </c>
      <c r="M49" s="127">
        <v>54023.200000000012</v>
      </c>
      <c r="N49" s="127">
        <v>45740.80000000001</v>
      </c>
      <c r="O49" s="127">
        <v>42683.199999999997</v>
      </c>
      <c r="P49" s="127">
        <v>37223.200000000004</v>
      </c>
      <c r="Q49" s="127">
        <v>49212.799999999996</v>
      </c>
      <c r="R49" s="5">
        <f t="shared" si="4"/>
        <v>556001.60000000009</v>
      </c>
      <c r="S49" s="235">
        <f t="shared" si="2"/>
        <v>510093.21100917435</v>
      </c>
      <c r="U49" s="142"/>
    </row>
    <row r="50" spans="1:21" ht="12" customHeight="1" outlineLevel="1" x14ac:dyDescent="0.3">
      <c r="A50" s="46" t="s">
        <v>23</v>
      </c>
      <c r="B50" s="53" t="s">
        <v>35</v>
      </c>
      <c r="C50" s="11" t="s">
        <v>8</v>
      </c>
      <c r="D50" s="10">
        <v>41</v>
      </c>
      <c r="E50" s="29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5">
        <f t="shared" si="4"/>
        <v>0</v>
      </c>
      <c r="S50" s="235">
        <f t="shared" si="2"/>
        <v>0</v>
      </c>
      <c r="U50" s="142"/>
    </row>
    <row r="51" spans="1:21" ht="12" customHeight="1" x14ac:dyDescent="0.3">
      <c r="A51" s="46" t="s">
        <v>24</v>
      </c>
      <c r="B51" s="53" t="s">
        <v>35</v>
      </c>
      <c r="C51" s="11" t="s">
        <v>9</v>
      </c>
      <c r="D51" s="10">
        <v>20.5</v>
      </c>
      <c r="E51" s="29">
        <v>20.5</v>
      </c>
      <c r="F51" s="127">
        <v>5014.3</v>
      </c>
      <c r="G51" s="127">
        <v>4007.75</v>
      </c>
      <c r="H51" s="127">
        <v>5822.0000000000009</v>
      </c>
      <c r="I51" s="127">
        <v>6525.1499999999987</v>
      </c>
      <c r="J51" s="127">
        <v>7293.9000000000005</v>
      </c>
      <c r="K51" s="127">
        <v>8712.5</v>
      </c>
      <c r="L51" s="127">
        <v>10321.749999999998</v>
      </c>
      <c r="M51" s="127">
        <v>8017.55</v>
      </c>
      <c r="N51" s="127">
        <v>7129.9000000000005</v>
      </c>
      <c r="O51" s="127">
        <v>7002.8</v>
      </c>
      <c r="P51" s="127">
        <v>6785.5</v>
      </c>
      <c r="Q51" s="127">
        <v>6627.6500000000005</v>
      </c>
      <c r="R51" s="5">
        <f t="shared" si="4"/>
        <v>83260.75</v>
      </c>
      <c r="S51" s="235">
        <f t="shared" si="2"/>
        <v>76386.009174311926</v>
      </c>
      <c r="U51" s="142"/>
    </row>
    <row r="52" spans="1:21" ht="12" customHeight="1" x14ac:dyDescent="0.3">
      <c r="A52" s="47" t="s">
        <v>25</v>
      </c>
      <c r="B52" s="56" t="s">
        <v>35</v>
      </c>
      <c r="C52" s="12" t="s">
        <v>10</v>
      </c>
      <c r="D52" s="7">
        <v>8.1999999999999993</v>
      </c>
      <c r="E52" s="7">
        <v>32.799999999999997</v>
      </c>
      <c r="F52" s="148">
        <v>53155.680000000008</v>
      </c>
      <c r="G52" s="148">
        <v>31927.519999999997</v>
      </c>
      <c r="H52" s="148">
        <v>31993.120000000003</v>
      </c>
      <c r="I52" s="148">
        <v>45585.440000000002</v>
      </c>
      <c r="J52" s="148">
        <v>50213.479999999996</v>
      </c>
      <c r="K52" s="148">
        <v>86270.560000000012</v>
      </c>
      <c r="L52" s="148">
        <v>57478.720000000001</v>
      </c>
      <c r="M52" s="148">
        <v>44148.800000000003</v>
      </c>
      <c r="N52" s="148">
        <v>47120.479999999996</v>
      </c>
      <c r="O52" s="148">
        <v>36093.120000000003</v>
      </c>
      <c r="P52" s="148">
        <v>28299.840000000004</v>
      </c>
      <c r="Q52" s="149">
        <v>72009.119999999995</v>
      </c>
      <c r="R52" s="6">
        <f t="shared" si="4"/>
        <v>584295.88</v>
      </c>
      <c r="S52" s="236">
        <f t="shared" si="2"/>
        <v>536051.26605504588</v>
      </c>
      <c r="U52" s="142"/>
    </row>
    <row r="53" spans="1:21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21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>
    <pageSetUpPr fitToPage="1"/>
  </sheetPr>
  <dimension ref="A1:Y57"/>
  <sheetViews>
    <sheetView zoomScaleNormal="100" workbookViewId="0">
      <pane xSplit="4" ySplit="7" topLeftCell="O37" activePane="bottomRight" state="frozen"/>
      <selection pane="topRight" activeCell="E1" sqref="E1"/>
      <selection pane="bottomLeft" activeCell="A8" sqref="A8"/>
      <selection pane="bottomRight" activeCell="R43" sqref="R43"/>
    </sheetView>
  </sheetViews>
  <sheetFormatPr defaultColWidth="8.88671875" defaultRowHeight="13.2" outlineLevelCol="2" x14ac:dyDescent="0.25"/>
  <cols>
    <col min="1" max="1" width="11.88671875" style="1" customWidth="1"/>
    <col min="2" max="2" width="6.6640625" style="3" customWidth="1"/>
    <col min="3" max="3" width="48" style="1" customWidth="1"/>
    <col min="4" max="4" width="8.109375" style="4" customWidth="1"/>
    <col min="5" max="5" width="7.88671875" style="4" hidden="1" customWidth="1" outlineLevel="2"/>
    <col min="6" max="6" width="13" style="1" customWidth="1" outlineLevel="1" collapsed="1"/>
    <col min="7" max="7" width="12.88671875" style="1" customWidth="1" outlineLevel="1"/>
    <col min="8" max="8" width="13.109375" style="1" customWidth="1" outlineLevel="1"/>
    <col min="9" max="10" width="12.33203125" style="1" bestFit="1" customWidth="1" outlineLevel="1"/>
    <col min="11" max="12" width="12.33203125" style="1" customWidth="1" outlineLevel="1"/>
    <col min="13" max="13" width="12.33203125" style="1" bestFit="1" customWidth="1" outlineLevel="1"/>
    <col min="14" max="14" width="14.109375" style="1" customWidth="1" outlineLevel="1"/>
    <col min="15" max="15" width="12.6640625" style="1" customWidth="1" outlineLevel="1"/>
    <col min="16" max="16" width="12.109375" style="1" customWidth="1" outlineLevel="1"/>
    <col min="17" max="17" width="12.33203125" style="1" bestFit="1" customWidth="1"/>
    <col min="18" max="18" width="14.109375" style="1" customWidth="1"/>
    <col min="19" max="19" width="13.5546875" style="1" customWidth="1"/>
    <col min="20" max="20" width="12.5546875" style="1" bestFit="1" customWidth="1"/>
    <col min="21" max="21" width="12.33203125" style="1" bestFit="1" customWidth="1"/>
    <col min="22" max="22" width="2.88671875" style="1" customWidth="1"/>
    <col min="23" max="23" width="12.33203125" style="141" bestFit="1" customWidth="1"/>
    <col min="24" max="16384" width="8.88671875" style="1"/>
  </cols>
  <sheetData>
    <row r="1" spans="1:24" ht="23.4" customHeight="1" x14ac:dyDescent="0.25">
      <c r="L1" s="2"/>
      <c r="U1" s="2"/>
    </row>
    <row r="2" spans="1:24" ht="21.6" customHeight="1" x14ac:dyDescent="0.3">
      <c r="A2" s="40" t="s">
        <v>198</v>
      </c>
      <c r="O2" s="35"/>
      <c r="Q2" s="2"/>
      <c r="R2" s="2"/>
      <c r="S2" s="2"/>
      <c r="T2" s="71"/>
      <c r="U2" s="2"/>
    </row>
    <row r="3" spans="1:24" ht="18" customHeight="1" x14ac:dyDescent="0.25">
      <c r="D3" s="3"/>
      <c r="E3" s="3"/>
      <c r="F3" s="2"/>
      <c r="G3" s="2"/>
      <c r="H3" s="2"/>
      <c r="J3" s="3"/>
      <c r="K3" s="3"/>
      <c r="L3" s="3"/>
      <c r="Q3" s="2"/>
      <c r="R3" s="151"/>
      <c r="T3" s="208"/>
    </row>
    <row r="4" spans="1:24" ht="37.5" customHeight="1" x14ac:dyDescent="0.25">
      <c r="A4" s="81" t="s">
        <v>39</v>
      </c>
      <c r="B4" s="57" t="s">
        <v>37</v>
      </c>
      <c r="C4" s="20" t="s">
        <v>40</v>
      </c>
      <c r="D4" s="88" t="s">
        <v>38</v>
      </c>
      <c r="E4" s="146"/>
      <c r="F4" s="89" t="s">
        <v>154</v>
      </c>
      <c r="G4" s="89" t="s">
        <v>155</v>
      </c>
      <c r="H4" s="89" t="s">
        <v>156</v>
      </c>
      <c r="I4" s="89" t="s">
        <v>157</v>
      </c>
      <c r="J4" s="89" t="s">
        <v>158</v>
      </c>
      <c r="K4" s="89" t="s">
        <v>159</v>
      </c>
      <c r="L4" s="89" t="s">
        <v>160</v>
      </c>
      <c r="M4" s="89" t="s">
        <v>161</v>
      </c>
      <c r="N4" s="89" t="s">
        <v>162</v>
      </c>
      <c r="O4" s="89" t="s">
        <v>163</v>
      </c>
      <c r="P4" s="89" t="s">
        <v>164</v>
      </c>
      <c r="Q4" s="89" t="s">
        <v>165</v>
      </c>
      <c r="R4" s="32" t="s">
        <v>166</v>
      </c>
      <c r="S4" s="32" t="s">
        <v>167</v>
      </c>
      <c r="T4" s="32" t="s">
        <v>41</v>
      </c>
      <c r="U4" s="32" t="s">
        <v>42</v>
      </c>
      <c r="W4" s="1"/>
      <c r="X4" s="141"/>
    </row>
    <row r="5" spans="1:24" ht="12" customHeight="1" x14ac:dyDescent="0.25">
      <c r="A5" s="70" t="s">
        <v>29</v>
      </c>
      <c r="B5" s="52" t="s">
        <v>36</v>
      </c>
      <c r="C5" s="9" t="s">
        <v>45</v>
      </c>
      <c r="D5" s="78"/>
      <c r="E5" s="108"/>
      <c r="F5" s="117">
        <f t="shared" ref="F5:Q5" si="0">+F6+F18+F44</f>
        <v>11342391.43</v>
      </c>
      <c r="G5" s="82">
        <f t="shared" si="0"/>
        <v>10373812.510000002</v>
      </c>
      <c r="H5" s="82">
        <f t="shared" si="0"/>
        <v>11382728.949999999</v>
      </c>
      <c r="I5" s="82">
        <f t="shared" si="0"/>
        <v>11253485.319999998</v>
      </c>
      <c r="J5" s="82">
        <f t="shared" si="0"/>
        <v>11233155.800000001</v>
      </c>
      <c r="K5" s="82">
        <f t="shared" si="0"/>
        <v>10104378.860000001</v>
      </c>
      <c r="L5" s="82">
        <f t="shared" si="0"/>
        <v>9949779.0299999993</v>
      </c>
      <c r="M5" s="82">
        <f t="shared" si="0"/>
        <v>10301014.92</v>
      </c>
      <c r="N5" s="100">
        <f t="shared" si="0"/>
        <v>11884198.66</v>
      </c>
      <c r="O5" s="100">
        <f t="shared" si="0"/>
        <v>11943392.99</v>
      </c>
      <c r="P5" s="100">
        <f t="shared" si="0"/>
        <v>11181551.920000002</v>
      </c>
      <c r="Q5" s="100">
        <f t="shared" si="0"/>
        <v>11653502.230533799</v>
      </c>
      <c r="R5" s="42">
        <f>+SUM(F5:Q5)</f>
        <v>132603392.62053379</v>
      </c>
      <c r="S5" s="42">
        <f>+S6+S18+S44</f>
        <v>121654488.64269152</v>
      </c>
      <c r="T5" s="42">
        <f>+T6+T18+T44</f>
        <v>10948903.977842243</v>
      </c>
      <c r="U5" s="42">
        <f>+U6+U18+U44</f>
        <v>29014179.87519658</v>
      </c>
      <c r="V5" s="71"/>
      <c r="W5" s="2"/>
      <c r="X5" s="141"/>
    </row>
    <row r="6" spans="1:24" ht="12" customHeight="1" x14ac:dyDescent="0.25">
      <c r="A6" s="70" t="s">
        <v>12</v>
      </c>
      <c r="B6" s="52" t="s">
        <v>30</v>
      </c>
      <c r="C6" s="9" t="s">
        <v>1</v>
      </c>
      <c r="D6" s="78"/>
      <c r="E6" s="108"/>
      <c r="F6" s="117">
        <f t="shared" ref="F6:Q6" si="1">+F7+F11</f>
        <v>4576424.83</v>
      </c>
      <c r="G6" s="82">
        <f t="shared" si="1"/>
        <v>4178454.7100000004</v>
      </c>
      <c r="H6" s="82">
        <f t="shared" si="1"/>
        <v>4679407.45</v>
      </c>
      <c r="I6" s="82">
        <f t="shared" si="1"/>
        <v>4865178.22</v>
      </c>
      <c r="J6" s="82">
        <f t="shared" si="1"/>
        <v>5006520</v>
      </c>
      <c r="K6" s="82">
        <f t="shared" si="1"/>
        <v>4545407.46</v>
      </c>
      <c r="L6" s="82">
        <f t="shared" si="1"/>
        <v>4769264.5299999993</v>
      </c>
      <c r="M6" s="82">
        <f t="shared" si="1"/>
        <v>4691660.7200000007</v>
      </c>
      <c r="N6" s="100">
        <f t="shared" si="1"/>
        <v>5128728.16</v>
      </c>
      <c r="O6" s="100">
        <f t="shared" si="1"/>
        <v>5184549.09</v>
      </c>
      <c r="P6" s="100">
        <f t="shared" si="1"/>
        <v>4723400.12</v>
      </c>
      <c r="Q6" s="100">
        <f t="shared" si="1"/>
        <v>5243477.530088</v>
      </c>
      <c r="R6" s="42">
        <f>+SUM(F6:Q6)</f>
        <v>57592472.820087999</v>
      </c>
      <c r="S6" s="42">
        <f>+S7+S11</f>
        <v>52837131.027603671</v>
      </c>
      <c r="T6" s="42">
        <f>+T7+T11</f>
        <v>4755341.7924843337</v>
      </c>
      <c r="U6" s="44">
        <f>+U7+U11</f>
        <v>27286287.8751375</v>
      </c>
      <c r="W6" s="1"/>
      <c r="X6" s="141"/>
    </row>
    <row r="7" spans="1:24" ht="12" customHeight="1" x14ac:dyDescent="0.25">
      <c r="A7" s="70" t="s">
        <v>52</v>
      </c>
      <c r="B7" s="52" t="s">
        <v>31</v>
      </c>
      <c r="C7" s="8" t="s">
        <v>11</v>
      </c>
      <c r="D7" s="79"/>
      <c r="E7" s="79"/>
      <c r="F7" s="251">
        <f t="shared" ref="F7:U7" si="2">+SUM(F8:F10)</f>
        <v>1672731.55</v>
      </c>
      <c r="G7" s="126">
        <f t="shared" si="2"/>
        <v>1432539.85</v>
      </c>
      <c r="H7" s="126">
        <f t="shared" si="2"/>
        <v>1614246.55</v>
      </c>
      <c r="I7" s="126">
        <f t="shared" si="2"/>
        <v>1710187.5</v>
      </c>
      <c r="J7" s="126">
        <f t="shared" si="2"/>
        <v>1840036.8</v>
      </c>
      <c r="K7" s="126">
        <f t="shared" si="2"/>
        <v>1496916.4</v>
      </c>
      <c r="L7" s="126">
        <f t="shared" si="2"/>
        <v>1753979.15</v>
      </c>
      <c r="M7" s="126">
        <f t="shared" si="2"/>
        <v>1673649.6</v>
      </c>
      <c r="N7" s="126">
        <f t="shared" si="2"/>
        <v>1751630.3</v>
      </c>
      <c r="O7" s="126">
        <f t="shared" si="2"/>
        <v>1675791.95</v>
      </c>
      <c r="P7" s="126">
        <f t="shared" si="2"/>
        <v>1433218.15</v>
      </c>
      <c r="Q7" s="126">
        <f t="shared" si="2"/>
        <v>1698514.3</v>
      </c>
      <c r="R7" s="237">
        <f t="shared" si="2"/>
        <v>19753442.100000001</v>
      </c>
      <c r="S7" s="237">
        <f t="shared" si="2"/>
        <v>18122423.944954127</v>
      </c>
      <c r="T7" s="237">
        <f t="shared" si="2"/>
        <v>1631018.1550458726</v>
      </c>
      <c r="U7" s="237">
        <f t="shared" si="2"/>
        <v>7205766</v>
      </c>
      <c r="V7" s="71"/>
      <c r="W7" s="1"/>
      <c r="X7" s="141"/>
    </row>
    <row r="8" spans="1:24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29"/>
      <c r="F8" s="127">
        <v>1244621</v>
      </c>
      <c r="G8" s="127">
        <v>1056149.5</v>
      </c>
      <c r="H8" s="127">
        <v>1196601</v>
      </c>
      <c r="I8" s="127">
        <v>1213478</v>
      </c>
      <c r="J8" s="127">
        <v>1355347</v>
      </c>
      <c r="K8" s="127">
        <v>1066047.5</v>
      </c>
      <c r="L8" s="127">
        <v>1313445</v>
      </c>
      <c r="M8" s="127">
        <v>1237642</v>
      </c>
      <c r="N8" s="13">
        <v>1326906</v>
      </c>
      <c r="O8" s="164">
        <v>1236452</v>
      </c>
      <c r="P8" s="127">
        <v>1052583</v>
      </c>
      <c r="Q8" s="127">
        <v>1244383</v>
      </c>
      <c r="R8" s="5">
        <f t="shared" ref="R8:R10" si="3">+SUM(F8:Q8)</f>
        <v>14543655</v>
      </c>
      <c r="S8" s="5">
        <f t="shared" ref="S8:S55" si="4">+R8/1.09</f>
        <v>13342802.752293577</v>
      </c>
      <c r="T8" s="5">
        <f t="shared" ref="T8:T55" si="5">+R8-S8</f>
        <v>1200852.2477064226</v>
      </c>
      <c r="U8" s="21">
        <f t="shared" ref="U8:U9" si="6">R8/D8</f>
        <v>4155330</v>
      </c>
      <c r="V8" s="71"/>
      <c r="W8" s="1"/>
      <c r="X8" s="141"/>
    </row>
    <row r="9" spans="1:24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7">+D8*0.5</f>
        <v>1.75</v>
      </c>
      <c r="E9" s="154"/>
      <c r="F9" s="127">
        <v>424005.75</v>
      </c>
      <c r="G9" s="127">
        <v>373980.25</v>
      </c>
      <c r="H9" s="127">
        <v>413089.25</v>
      </c>
      <c r="I9" s="127">
        <v>480819.5</v>
      </c>
      <c r="J9" s="127">
        <v>473557</v>
      </c>
      <c r="K9" s="127">
        <v>424039</v>
      </c>
      <c r="L9" s="127">
        <v>435755.25</v>
      </c>
      <c r="M9" s="127">
        <v>431700.5</v>
      </c>
      <c r="N9" s="25">
        <v>420434</v>
      </c>
      <c r="O9" s="164">
        <v>434932.75</v>
      </c>
      <c r="P9" s="127">
        <v>376167.75</v>
      </c>
      <c r="Q9" s="127">
        <v>435655.5</v>
      </c>
      <c r="R9" s="5">
        <f t="shared" si="3"/>
        <v>5124136.5</v>
      </c>
      <c r="S9" s="5">
        <f t="shared" si="4"/>
        <v>4701042.6605504584</v>
      </c>
      <c r="T9" s="26">
        <f t="shared" si="5"/>
        <v>423093.83944954164</v>
      </c>
      <c r="U9" s="39">
        <f t="shared" si="6"/>
        <v>2928078</v>
      </c>
      <c r="V9" s="71"/>
      <c r="W9" s="1"/>
      <c r="X9" s="141"/>
    </row>
    <row r="10" spans="1:24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33">
        <v>4104.8</v>
      </c>
      <c r="G10" s="133">
        <v>2410.1</v>
      </c>
      <c r="H10" s="133">
        <v>4556.3</v>
      </c>
      <c r="I10" s="133">
        <v>15890</v>
      </c>
      <c r="J10" s="133">
        <v>11132.8</v>
      </c>
      <c r="K10" s="133">
        <v>6829.9</v>
      </c>
      <c r="L10" s="133">
        <v>4778.8999999999996</v>
      </c>
      <c r="M10" s="133">
        <v>4307.1000000000004</v>
      </c>
      <c r="N10" s="14">
        <v>4290.3</v>
      </c>
      <c r="O10" s="228">
        <v>4407.2</v>
      </c>
      <c r="P10" s="133">
        <v>4467.3999999999996</v>
      </c>
      <c r="Q10" s="133">
        <v>18475.8</v>
      </c>
      <c r="R10" s="5">
        <f t="shared" si="3"/>
        <v>85650.6</v>
      </c>
      <c r="S10" s="5">
        <f t="shared" ref="S10" si="8">+R10/1.09</f>
        <v>78578.53211009175</v>
      </c>
      <c r="T10" s="26">
        <f t="shared" ref="T10" si="9">+R10-S10</f>
        <v>7072.0678899082559</v>
      </c>
      <c r="U10" s="39">
        <f t="shared" ref="U10" si="10">R10/D10</f>
        <v>122358.00000000001</v>
      </c>
      <c r="V10" s="2"/>
      <c r="W10" s="2"/>
    </row>
    <row r="11" spans="1:24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/>
      <c r="F11" s="84">
        <f t="shared" ref="F11:U11" si="11">+SUM(F12:F17)</f>
        <v>2903693.28</v>
      </c>
      <c r="G11" s="84">
        <f t="shared" si="11"/>
        <v>2745914.8600000003</v>
      </c>
      <c r="H11" s="84">
        <f t="shared" si="11"/>
        <v>3065160.9</v>
      </c>
      <c r="I11" s="84">
        <f t="shared" si="11"/>
        <v>3154990.7199999997</v>
      </c>
      <c r="J11" s="84">
        <f t="shared" si="11"/>
        <v>3166483.1999999997</v>
      </c>
      <c r="K11" s="84">
        <f t="shared" si="11"/>
        <v>3048491.06</v>
      </c>
      <c r="L11" s="84">
        <f t="shared" si="11"/>
        <v>3015285.38</v>
      </c>
      <c r="M11" s="74">
        <f t="shared" si="11"/>
        <v>3018011.1200000006</v>
      </c>
      <c r="N11" s="101">
        <f t="shared" si="11"/>
        <v>3377097.8600000003</v>
      </c>
      <c r="O11" s="101">
        <f t="shared" si="11"/>
        <v>3508757.14</v>
      </c>
      <c r="P11" s="101">
        <f t="shared" si="11"/>
        <v>3290181.97</v>
      </c>
      <c r="Q11" s="101">
        <f t="shared" si="11"/>
        <v>3544963.2300879997</v>
      </c>
      <c r="R11" s="43">
        <f t="shared" si="11"/>
        <v>37839030.720088005</v>
      </c>
      <c r="S11" s="43">
        <f t="shared" si="11"/>
        <v>34714707.082649544</v>
      </c>
      <c r="T11" s="43">
        <f t="shared" si="11"/>
        <v>3124323.6374384617</v>
      </c>
      <c r="U11" s="43">
        <f t="shared" si="11"/>
        <v>20080521.8751375</v>
      </c>
      <c r="V11" s="209"/>
      <c r="W11" s="1"/>
      <c r="X11" s="141"/>
    </row>
    <row r="12" spans="1:24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55"/>
      <c r="F12" s="127">
        <v>2270578.1999999997</v>
      </c>
      <c r="G12" s="127">
        <v>2125349.6</v>
      </c>
      <c r="H12" s="127">
        <v>2353606.2000000002</v>
      </c>
      <c r="I12" s="127">
        <v>2409979</v>
      </c>
      <c r="J12" s="127">
        <v>2433494.7999999998</v>
      </c>
      <c r="K12" s="127">
        <v>2327859.5999999996</v>
      </c>
      <c r="L12" s="127">
        <v>2321937.2000000002</v>
      </c>
      <c r="M12" s="127">
        <v>2322463</v>
      </c>
      <c r="N12" s="127">
        <v>2601207.4000000008</v>
      </c>
      <c r="O12" s="127">
        <v>2693354.4</v>
      </c>
      <c r="P12" s="127">
        <v>2517099.8400000003</v>
      </c>
      <c r="Q12" s="127">
        <v>2686370.96</v>
      </c>
      <c r="R12" s="5">
        <f t="shared" ref="R12:R55" si="12">+SUM(F12:Q12)</f>
        <v>29063300.200000003</v>
      </c>
      <c r="S12" s="5">
        <f t="shared" si="4"/>
        <v>26663578.165137615</v>
      </c>
      <c r="T12" s="5">
        <f t="shared" si="5"/>
        <v>2399722.0348623879</v>
      </c>
      <c r="U12" s="21">
        <f t="shared" ref="U12:U13" si="13">R12/D12</f>
        <v>13210591</v>
      </c>
      <c r="V12" s="212"/>
      <c r="W12" s="1"/>
      <c r="X12" s="141"/>
    </row>
    <row r="13" spans="1:24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55"/>
      <c r="F13" s="127">
        <v>459595.39999999991</v>
      </c>
      <c r="G13" s="127">
        <v>461968.1</v>
      </c>
      <c r="H13" s="127">
        <v>538140.89999999991</v>
      </c>
      <c r="I13" s="127">
        <v>558888</v>
      </c>
      <c r="J13" s="127">
        <v>543807.00000000012</v>
      </c>
      <c r="K13" s="127">
        <v>533144.70000000007</v>
      </c>
      <c r="L13" s="127">
        <v>513170.9</v>
      </c>
      <c r="M13" s="127">
        <v>499435.2</v>
      </c>
      <c r="N13" s="127">
        <v>565376.9</v>
      </c>
      <c r="O13" s="127">
        <v>598849.9</v>
      </c>
      <c r="P13" s="127">
        <v>569584.39999999991</v>
      </c>
      <c r="Q13" s="127">
        <v>654770.59999999986</v>
      </c>
      <c r="R13" s="5">
        <f t="shared" si="12"/>
        <v>6496732</v>
      </c>
      <c r="S13" s="5">
        <f t="shared" si="4"/>
        <v>5960304.5871559633</v>
      </c>
      <c r="T13" s="5">
        <f t="shared" si="5"/>
        <v>536427.41284403671</v>
      </c>
      <c r="U13" s="21">
        <f t="shared" si="13"/>
        <v>5906119.9999999991</v>
      </c>
      <c r="V13" s="71"/>
      <c r="W13" s="1"/>
      <c r="X13" s="141"/>
    </row>
    <row r="14" spans="1:24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56"/>
      <c r="F14" s="127">
        <v>5723.5199999999995</v>
      </c>
      <c r="G14" s="127">
        <v>5485.4800000000005</v>
      </c>
      <c r="H14" s="127">
        <v>6882.920000000001</v>
      </c>
      <c r="I14" s="127">
        <v>6909.3200000000006</v>
      </c>
      <c r="J14" s="127">
        <v>6778.2</v>
      </c>
      <c r="K14" s="127">
        <v>7090.6</v>
      </c>
      <c r="L14" s="127">
        <v>6318.4</v>
      </c>
      <c r="M14" s="127">
        <v>6429.72</v>
      </c>
      <c r="N14" s="127">
        <v>7936.2800000000007</v>
      </c>
      <c r="O14" s="127">
        <v>7426.7600000000011</v>
      </c>
      <c r="P14" s="127">
        <v>6888.7699999999986</v>
      </c>
      <c r="Q14" s="127">
        <v>7895.67</v>
      </c>
      <c r="R14" s="5">
        <f t="shared" ref="R14:R17" si="14">+SUM(F14:Q14)</f>
        <v>81765.64</v>
      </c>
      <c r="S14" s="5">
        <f t="shared" ref="S14:S17" si="15">+R14/1.09</f>
        <v>75014.348623853206</v>
      </c>
      <c r="T14" s="5">
        <f t="shared" ref="T14:T17" si="16">+R14-S14</f>
        <v>6751.2913761467935</v>
      </c>
      <c r="U14" s="21">
        <f t="shared" ref="U14:U17" si="17">R14/D14</f>
        <v>185831</v>
      </c>
      <c r="V14" s="71"/>
      <c r="W14" s="1"/>
      <c r="X14" s="141"/>
    </row>
    <row r="15" spans="1:24" x14ac:dyDescent="0.25">
      <c r="A15" s="58" t="s">
        <v>57</v>
      </c>
      <c r="B15" s="53" t="s">
        <v>146</v>
      </c>
      <c r="C15" s="59" t="s">
        <v>58</v>
      </c>
      <c r="D15" s="62">
        <v>3.2</v>
      </c>
      <c r="E15" s="156"/>
      <c r="F15" s="127">
        <v>149248</v>
      </c>
      <c r="G15" s="127">
        <v>135660.80000000002</v>
      </c>
      <c r="H15" s="127">
        <v>145782.39999999999</v>
      </c>
      <c r="I15" s="127">
        <v>155785.60000000001</v>
      </c>
      <c r="J15" s="127">
        <v>157967.99999999994</v>
      </c>
      <c r="K15" s="127">
        <v>155807.99999999997</v>
      </c>
      <c r="L15" s="127">
        <v>150582.39999999999</v>
      </c>
      <c r="M15" s="127">
        <v>165331.20000000001</v>
      </c>
      <c r="N15" s="127">
        <v>176998.39999999997</v>
      </c>
      <c r="O15" s="127">
        <v>182963.20000000001</v>
      </c>
      <c r="P15" s="127">
        <v>173049.60000000003</v>
      </c>
      <c r="Q15" s="127">
        <v>173430</v>
      </c>
      <c r="R15" s="5">
        <f t="shared" si="14"/>
        <v>1922607.5999999999</v>
      </c>
      <c r="S15" s="5">
        <f t="shared" si="15"/>
        <v>1763860.1834862384</v>
      </c>
      <c r="T15" s="5">
        <f t="shared" si="16"/>
        <v>158747.41651376151</v>
      </c>
      <c r="U15" s="21">
        <f t="shared" si="17"/>
        <v>600814.87499999988</v>
      </c>
      <c r="V15" s="71"/>
      <c r="W15" s="1"/>
      <c r="X15" s="141"/>
    </row>
    <row r="16" spans="1:24" x14ac:dyDescent="0.25">
      <c r="A16" s="58" t="s">
        <v>59</v>
      </c>
      <c r="B16" s="53" t="s">
        <v>147</v>
      </c>
      <c r="C16" s="59" t="s">
        <v>94</v>
      </c>
      <c r="D16" s="62">
        <v>1.6</v>
      </c>
      <c r="E16" s="156"/>
      <c r="F16" s="127">
        <v>18200.000000000004</v>
      </c>
      <c r="G16" s="127">
        <v>17075.2</v>
      </c>
      <c r="H16" s="127">
        <v>20302.400000000001</v>
      </c>
      <c r="I16" s="127">
        <v>22964.800000000003</v>
      </c>
      <c r="J16" s="127">
        <v>23974.399999999998</v>
      </c>
      <c r="K16" s="127">
        <v>24121.599999999995</v>
      </c>
      <c r="L16" s="127">
        <v>22804.800000000007</v>
      </c>
      <c r="M16" s="127">
        <v>23894.399999999998</v>
      </c>
      <c r="N16" s="127">
        <v>25020.799999999999</v>
      </c>
      <c r="O16" s="127">
        <v>25579.199999999993</v>
      </c>
      <c r="P16" s="127">
        <v>22977.600000000002</v>
      </c>
      <c r="Q16" s="127">
        <v>21817.599999999999</v>
      </c>
      <c r="R16" s="5">
        <f t="shared" si="14"/>
        <v>268732.79999999999</v>
      </c>
      <c r="S16" s="5">
        <f t="shared" si="15"/>
        <v>246543.85321100915</v>
      </c>
      <c r="T16" s="5">
        <f t="shared" si="16"/>
        <v>22188.946788990841</v>
      </c>
      <c r="U16" s="21">
        <f t="shared" si="17"/>
        <v>167957.99999999997</v>
      </c>
      <c r="V16" s="71"/>
      <c r="W16" s="1"/>
      <c r="X16" s="141"/>
    </row>
    <row r="17" spans="1:25" x14ac:dyDescent="0.25">
      <c r="A17" s="58" t="s">
        <v>60</v>
      </c>
      <c r="B17" s="53" t="s">
        <v>191</v>
      </c>
      <c r="C17" s="63" t="s">
        <v>95</v>
      </c>
      <c r="D17" s="63">
        <v>0.64</v>
      </c>
      <c r="E17" s="157"/>
      <c r="F17" s="127">
        <v>348.15999999999997</v>
      </c>
      <c r="G17" s="127">
        <v>375.67999999999995</v>
      </c>
      <c r="H17" s="127">
        <v>446.08000000000004</v>
      </c>
      <c r="I17" s="127">
        <v>464.00000000000006</v>
      </c>
      <c r="J17" s="127">
        <v>460.80000000000007</v>
      </c>
      <c r="K17" s="127">
        <v>466.56</v>
      </c>
      <c r="L17" s="127">
        <v>471.67999999999995</v>
      </c>
      <c r="M17" s="127">
        <v>457.59999999999991</v>
      </c>
      <c r="N17" s="127">
        <v>558.08000000000004</v>
      </c>
      <c r="O17" s="127">
        <v>583.68000000000006</v>
      </c>
      <c r="P17" s="127">
        <v>581.76</v>
      </c>
      <c r="Q17" s="127">
        <v>678.40008799999998</v>
      </c>
      <c r="R17" s="5">
        <f t="shared" si="14"/>
        <v>5892.4800880000003</v>
      </c>
      <c r="S17" s="5">
        <f t="shared" si="15"/>
        <v>5405.945034862385</v>
      </c>
      <c r="T17" s="5">
        <f t="shared" si="16"/>
        <v>486.53505313761525</v>
      </c>
      <c r="U17" s="21">
        <f t="shared" si="17"/>
        <v>9207.0001375000011</v>
      </c>
      <c r="V17" s="71"/>
      <c r="W17" s="1"/>
      <c r="X17" s="141"/>
    </row>
    <row r="18" spans="1:25" ht="12" customHeight="1" x14ac:dyDescent="0.25">
      <c r="A18" s="70" t="s">
        <v>15</v>
      </c>
      <c r="B18" s="52" t="s">
        <v>33</v>
      </c>
      <c r="C18" s="9" t="s">
        <v>141</v>
      </c>
      <c r="D18" s="78"/>
      <c r="E18" s="108"/>
      <c r="F18" s="118">
        <f t="shared" ref="F18:U18" si="18">+SUM(F19:F43)</f>
        <v>6596750</v>
      </c>
      <c r="G18" s="118">
        <f t="shared" si="18"/>
        <v>6046557</v>
      </c>
      <c r="H18" s="118">
        <f t="shared" si="18"/>
        <v>6530711</v>
      </c>
      <c r="I18" s="118">
        <f t="shared" si="18"/>
        <v>6192402</v>
      </c>
      <c r="J18" s="118">
        <f t="shared" si="18"/>
        <v>6016885</v>
      </c>
      <c r="K18" s="118">
        <f t="shared" si="18"/>
        <v>5290884</v>
      </c>
      <c r="L18" s="118">
        <f t="shared" si="18"/>
        <v>4914035</v>
      </c>
      <c r="M18" s="118">
        <f t="shared" si="18"/>
        <v>5363280</v>
      </c>
      <c r="N18" s="118">
        <f t="shared" si="18"/>
        <v>6523803</v>
      </c>
      <c r="O18" s="118">
        <f t="shared" si="18"/>
        <v>6556706</v>
      </c>
      <c r="P18" s="118">
        <f t="shared" si="18"/>
        <v>6288686</v>
      </c>
      <c r="Q18" s="118">
        <f t="shared" si="18"/>
        <v>6182040</v>
      </c>
      <c r="R18" s="118">
        <f t="shared" si="18"/>
        <v>72502739</v>
      </c>
      <c r="S18" s="118">
        <f t="shared" si="18"/>
        <v>66516274.311926574</v>
      </c>
      <c r="T18" s="118">
        <f t="shared" si="18"/>
        <v>5986464.6880733948</v>
      </c>
      <c r="U18" s="253">
        <f t="shared" si="18"/>
        <v>1363187</v>
      </c>
      <c r="V18" s="71"/>
      <c r="W18" s="1"/>
      <c r="X18" s="141"/>
    </row>
    <row r="19" spans="1:25" ht="14.4" x14ac:dyDescent="0.3">
      <c r="A19" s="68" t="s">
        <v>61</v>
      </c>
      <c r="B19" s="69" t="s">
        <v>117</v>
      </c>
      <c r="C19" s="90" t="s">
        <v>62</v>
      </c>
      <c r="D19" s="91">
        <v>100</v>
      </c>
      <c r="E19" s="155"/>
      <c r="F19" s="127">
        <v>3682200</v>
      </c>
      <c r="G19" s="127">
        <v>3356700</v>
      </c>
      <c r="H19" s="127">
        <v>3666500</v>
      </c>
      <c r="I19" s="127">
        <v>3489300</v>
      </c>
      <c r="J19" s="127">
        <v>3453700</v>
      </c>
      <c r="K19" s="127">
        <v>3141200</v>
      </c>
      <c r="L19" s="127">
        <v>3004500</v>
      </c>
      <c r="M19" s="127">
        <v>3162400</v>
      </c>
      <c r="N19" s="127">
        <v>3544000</v>
      </c>
      <c r="O19" s="127">
        <v>3721900</v>
      </c>
      <c r="P19" s="127">
        <v>3569100</v>
      </c>
      <c r="Q19" s="127">
        <v>3597500</v>
      </c>
      <c r="R19" s="5">
        <f t="shared" si="12"/>
        <v>41389000</v>
      </c>
      <c r="S19" s="99">
        <f t="shared" si="4"/>
        <v>37971559.633027524</v>
      </c>
      <c r="T19" s="99">
        <f t="shared" si="5"/>
        <v>3417440.3669724762</v>
      </c>
      <c r="U19" s="94">
        <f t="shared" ref="U19:U42" si="19">R19/D19</f>
        <v>413890</v>
      </c>
      <c r="V19" s="41"/>
      <c r="W19" s="1"/>
      <c r="X19" s="142"/>
      <c r="Y19"/>
    </row>
    <row r="20" spans="1:25" ht="14.4" x14ac:dyDescent="0.3">
      <c r="A20" s="46" t="s">
        <v>63</v>
      </c>
      <c r="B20" s="53" t="s">
        <v>116</v>
      </c>
      <c r="C20" s="59" t="s">
        <v>64</v>
      </c>
      <c r="D20" s="60">
        <v>50</v>
      </c>
      <c r="E20" s="155"/>
      <c r="F20" s="127">
        <v>886350</v>
      </c>
      <c r="G20" s="127">
        <v>827900</v>
      </c>
      <c r="H20" s="127">
        <v>924250</v>
      </c>
      <c r="I20" s="127">
        <v>921350</v>
      </c>
      <c r="J20" s="127">
        <v>913850</v>
      </c>
      <c r="K20" s="127">
        <v>858100</v>
      </c>
      <c r="L20" s="127">
        <v>845850</v>
      </c>
      <c r="M20" s="127">
        <v>859050</v>
      </c>
      <c r="N20" s="127">
        <v>914900</v>
      </c>
      <c r="O20" s="127">
        <v>944200</v>
      </c>
      <c r="P20" s="127">
        <v>877300</v>
      </c>
      <c r="Q20" s="127">
        <v>958350</v>
      </c>
      <c r="R20" s="5">
        <f t="shared" si="12"/>
        <v>10731450</v>
      </c>
      <c r="S20" s="5">
        <f t="shared" si="4"/>
        <v>9845366.9724770635</v>
      </c>
      <c r="T20" s="5">
        <f t="shared" si="5"/>
        <v>886083.02752293646</v>
      </c>
      <c r="U20" s="21">
        <f t="shared" si="19"/>
        <v>214629</v>
      </c>
      <c r="V20" s="41"/>
      <c r="W20" s="2"/>
      <c r="X20" s="142"/>
    </row>
    <row r="21" spans="1:25" ht="14.4" x14ac:dyDescent="0.3">
      <c r="A21" s="46" t="s">
        <v>65</v>
      </c>
      <c r="B21" s="53" t="s">
        <v>115</v>
      </c>
      <c r="C21" s="59" t="s">
        <v>66</v>
      </c>
      <c r="D21" s="60">
        <v>20</v>
      </c>
      <c r="E21" s="155"/>
      <c r="F21" s="127">
        <v>1139740</v>
      </c>
      <c r="G21" s="127">
        <v>1132500</v>
      </c>
      <c r="H21" s="127">
        <v>1187880</v>
      </c>
      <c r="I21" s="127">
        <v>1116660</v>
      </c>
      <c r="J21" s="127">
        <v>1035020</v>
      </c>
      <c r="K21" s="127">
        <v>721900</v>
      </c>
      <c r="L21" s="127">
        <v>575720</v>
      </c>
      <c r="M21" s="127">
        <v>732020</v>
      </c>
      <c r="N21" s="127">
        <v>1243020</v>
      </c>
      <c r="O21" s="127">
        <v>1164340</v>
      </c>
      <c r="P21" s="127">
        <v>1128840</v>
      </c>
      <c r="Q21" s="127">
        <v>994240</v>
      </c>
      <c r="R21" s="5">
        <f t="shared" si="12"/>
        <v>12171880</v>
      </c>
      <c r="S21" s="5">
        <f t="shared" si="4"/>
        <v>11166862.385321099</v>
      </c>
      <c r="T21" s="5">
        <f t="shared" si="5"/>
        <v>1005017.6146789007</v>
      </c>
      <c r="U21" s="21">
        <f t="shared" si="19"/>
        <v>608594</v>
      </c>
      <c r="V21" s="41"/>
      <c r="W21" s="2"/>
      <c r="X21" s="142"/>
    </row>
    <row r="22" spans="1:25" ht="14.4" x14ac:dyDescent="0.3">
      <c r="A22" s="46" t="s">
        <v>67</v>
      </c>
      <c r="B22" s="53" t="s">
        <v>118</v>
      </c>
      <c r="C22" s="59" t="s">
        <v>68</v>
      </c>
      <c r="D22" s="60">
        <v>90</v>
      </c>
      <c r="E22" s="155"/>
      <c r="F22" s="127">
        <v>633150</v>
      </c>
      <c r="G22" s="127">
        <v>590400</v>
      </c>
      <c r="H22" s="127">
        <v>597960</v>
      </c>
      <c r="I22" s="127">
        <v>558990</v>
      </c>
      <c r="J22" s="127">
        <v>534150</v>
      </c>
      <c r="K22" s="127">
        <v>480240</v>
      </c>
      <c r="L22" s="127">
        <v>425160</v>
      </c>
      <c r="M22" s="127">
        <v>488700</v>
      </c>
      <c r="N22" s="127">
        <v>614340</v>
      </c>
      <c r="O22" s="127">
        <v>603000</v>
      </c>
      <c r="P22" s="127">
        <v>577350</v>
      </c>
      <c r="Q22" s="127">
        <v>423000</v>
      </c>
      <c r="R22" s="5">
        <f t="shared" si="12"/>
        <v>6526440</v>
      </c>
      <c r="S22" s="5">
        <f t="shared" si="4"/>
        <v>5987559.6330275228</v>
      </c>
      <c r="T22" s="5">
        <f t="shared" si="5"/>
        <v>538880.36697247718</v>
      </c>
      <c r="U22" s="21">
        <f t="shared" si="19"/>
        <v>72516</v>
      </c>
      <c r="V22" s="41"/>
      <c r="W22" s="2"/>
      <c r="X22" s="142"/>
    </row>
    <row r="23" spans="1:25" ht="14.4" x14ac:dyDescent="0.3">
      <c r="A23" s="46" t="s">
        <v>69</v>
      </c>
      <c r="B23" s="53" t="s">
        <v>119</v>
      </c>
      <c r="C23" s="59" t="s">
        <v>70</v>
      </c>
      <c r="D23" s="60">
        <v>45</v>
      </c>
      <c r="E23" s="155"/>
      <c r="F23" s="127">
        <v>31005</v>
      </c>
      <c r="G23" s="127">
        <v>30105</v>
      </c>
      <c r="H23" s="127">
        <v>30825</v>
      </c>
      <c r="I23" s="127">
        <v>29250</v>
      </c>
      <c r="J23" s="127">
        <v>28890</v>
      </c>
      <c r="K23" s="127">
        <v>25065</v>
      </c>
      <c r="L23" s="127">
        <v>23670</v>
      </c>
      <c r="M23" s="127">
        <v>25920</v>
      </c>
      <c r="N23" s="127">
        <v>34335</v>
      </c>
      <c r="O23" s="127">
        <v>33705</v>
      </c>
      <c r="P23" s="127">
        <v>30915</v>
      </c>
      <c r="Q23" s="127">
        <v>26640</v>
      </c>
      <c r="R23" s="5">
        <f t="shared" si="12"/>
        <v>350325</v>
      </c>
      <c r="S23" s="5">
        <f t="shared" si="4"/>
        <v>321399.08256880729</v>
      </c>
      <c r="T23" s="5">
        <f t="shared" si="5"/>
        <v>28925.917431192705</v>
      </c>
      <c r="U23" s="21">
        <f t="shared" si="19"/>
        <v>7785</v>
      </c>
      <c r="V23" s="35"/>
      <c r="W23" s="1"/>
      <c r="X23" s="142"/>
    </row>
    <row r="24" spans="1:25" ht="14.4" x14ac:dyDescent="0.3">
      <c r="A24" s="46" t="s">
        <v>71</v>
      </c>
      <c r="B24" s="53" t="s">
        <v>120</v>
      </c>
      <c r="C24" s="59" t="s">
        <v>72</v>
      </c>
      <c r="D24" s="60">
        <v>18</v>
      </c>
      <c r="E24" s="155"/>
      <c r="F24" s="127">
        <v>31176</v>
      </c>
      <c r="G24" s="127">
        <v>29196</v>
      </c>
      <c r="H24" s="127">
        <v>28944</v>
      </c>
      <c r="I24" s="127">
        <v>25416</v>
      </c>
      <c r="J24" s="127">
        <v>17154</v>
      </c>
      <c r="K24" s="127">
        <v>5526</v>
      </c>
      <c r="L24" s="127">
        <v>2556</v>
      </c>
      <c r="M24" s="127">
        <v>10332</v>
      </c>
      <c r="N24" s="127">
        <v>36828</v>
      </c>
      <c r="O24" s="127">
        <v>30834</v>
      </c>
      <c r="P24" s="127">
        <v>33264</v>
      </c>
      <c r="Q24" s="127">
        <v>18396</v>
      </c>
      <c r="R24" s="5">
        <f t="shared" si="12"/>
        <v>269622</v>
      </c>
      <c r="S24" s="5">
        <f t="shared" si="4"/>
        <v>247359.63302752291</v>
      </c>
      <c r="T24" s="5">
        <f t="shared" si="5"/>
        <v>22262.366972477088</v>
      </c>
      <c r="U24" s="21">
        <f t="shared" si="19"/>
        <v>14979</v>
      </c>
      <c r="V24" s="35"/>
      <c r="W24" s="1"/>
      <c r="X24" s="142"/>
    </row>
    <row r="25" spans="1:25" ht="14.4" x14ac:dyDescent="0.3">
      <c r="A25" s="46" t="s">
        <v>73</v>
      </c>
      <c r="B25" s="53" t="s">
        <v>121</v>
      </c>
      <c r="C25" s="59" t="s">
        <v>96</v>
      </c>
      <c r="D25" s="60">
        <v>300</v>
      </c>
      <c r="E25" s="155"/>
      <c r="F25" s="127">
        <v>8700</v>
      </c>
      <c r="G25" s="127">
        <v>8400</v>
      </c>
      <c r="H25" s="127">
        <v>9600</v>
      </c>
      <c r="I25" s="127">
        <v>11700</v>
      </c>
      <c r="J25" s="127">
        <v>7500</v>
      </c>
      <c r="K25" s="127">
        <v>12000</v>
      </c>
      <c r="L25" s="127">
        <v>8100</v>
      </c>
      <c r="M25" s="127">
        <v>9600</v>
      </c>
      <c r="N25" s="127">
        <v>18000</v>
      </c>
      <c r="O25" s="127">
        <v>11100</v>
      </c>
      <c r="P25" s="127">
        <v>12900</v>
      </c>
      <c r="Q25" s="127">
        <v>36000</v>
      </c>
      <c r="R25" s="5">
        <f t="shared" si="12"/>
        <v>153600</v>
      </c>
      <c r="S25" s="5">
        <f t="shared" si="4"/>
        <v>140917.43119266053</v>
      </c>
      <c r="T25" s="5">
        <f t="shared" si="5"/>
        <v>12682.56880733947</v>
      </c>
      <c r="U25" s="21">
        <f t="shared" si="19"/>
        <v>512</v>
      </c>
      <c r="V25" s="35"/>
      <c r="W25" s="1"/>
      <c r="X25" s="142"/>
    </row>
    <row r="26" spans="1:25" ht="14.4" x14ac:dyDescent="0.3">
      <c r="A26" s="46" t="s">
        <v>74</v>
      </c>
      <c r="B26" s="53" t="s">
        <v>122</v>
      </c>
      <c r="C26" s="59" t="s">
        <v>97</v>
      </c>
      <c r="D26" s="60">
        <v>150</v>
      </c>
      <c r="E26" s="155"/>
      <c r="F26" s="127">
        <v>4050</v>
      </c>
      <c r="G26" s="127">
        <v>6300</v>
      </c>
      <c r="H26" s="127">
        <v>9150</v>
      </c>
      <c r="I26" s="127">
        <v>4200</v>
      </c>
      <c r="J26" s="127">
        <v>4350</v>
      </c>
      <c r="K26" s="127">
        <v>7800</v>
      </c>
      <c r="L26" s="127">
        <v>3750</v>
      </c>
      <c r="M26" s="127">
        <v>5550</v>
      </c>
      <c r="N26" s="127">
        <v>9300</v>
      </c>
      <c r="O26" s="127">
        <v>4950</v>
      </c>
      <c r="P26" s="127">
        <v>8250</v>
      </c>
      <c r="Q26" s="127">
        <v>24900</v>
      </c>
      <c r="R26" s="5">
        <f t="shared" si="12"/>
        <v>92550</v>
      </c>
      <c r="S26" s="5">
        <f t="shared" si="4"/>
        <v>84908.256880733941</v>
      </c>
      <c r="T26" s="5">
        <f t="shared" si="5"/>
        <v>7641.7431192660588</v>
      </c>
      <c r="U26" s="21">
        <f t="shared" si="19"/>
        <v>617</v>
      </c>
      <c r="V26" s="35"/>
      <c r="W26" s="1"/>
      <c r="X26" s="142"/>
    </row>
    <row r="27" spans="1:25" ht="14.4" x14ac:dyDescent="0.3">
      <c r="A27" s="46" t="s">
        <v>75</v>
      </c>
      <c r="B27" s="53" t="s">
        <v>123</v>
      </c>
      <c r="C27" s="59" t="s">
        <v>98</v>
      </c>
      <c r="D27" s="60">
        <v>60</v>
      </c>
      <c r="E27" s="155"/>
      <c r="F27" s="127">
        <v>30300</v>
      </c>
      <c r="G27" s="127">
        <v>27600</v>
      </c>
      <c r="H27" s="127">
        <v>32340</v>
      </c>
      <c r="I27" s="127">
        <v>13920</v>
      </c>
      <c r="J27" s="127">
        <v>10440</v>
      </c>
      <c r="K27" s="127">
        <v>8220</v>
      </c>
      <c r="L27" s="127">
        <v>7560</v>
      </c>
      <c r="M27" s="127">
        <v>26880</v>
      </c>
      <c r="N27" s="127">
        <v>43260</v>
      </c>
      <c r="O27" s="127">
        <v>21480</v>
      </c>
      <c r="P27" s="127">
        <v>23640</v>
      </c>
      <c r="Q27" s="127">
        <v>29040</v>
      </c>
      <c r="R27" s="5">
        <f t="shared" si="12"/>
        <v>274680</v>
      </c>
      <c r="S27" s="5">
        <f t="shared" si="4"/>
        <v>251999.99999999997</v>
      </c>
      <c r="T27" s="5">
        <f t="shared" si="5"/>
        <v>22680.000000000029</v>
      </c>
      <c r="U27" s="21">
        <f t="shared" si="19"/>
        <v>4578</v>
      </c>
      <c r="V27" s="35"/>
      <c r="W27" s="1"/>
      <c r="X27" s="142"/>
    </row>
    <row r="28" spans="1:25" ht="14.4" x14ac:dyDescent="0.3">
      <c r="A28" s="46" t="s">
        <v>76</v>
      </c>
      <c r="B28" s="53" t="s">
        <v>124</v>
      </c>
      <c r="C28" s="59" t="s">
        <v>99</v>
      </c>
      <c r="D28" s="60">
        <v>270</v>
      </c>
      <c r="E28" s="155"/>
      <c r="F28" s="127">
        <v>6210</v>
      </c>
      <c r="G28" s="127">
        <v>5130</v>
      </c>
      <c r="H28" s="127">
        <v>22140</v>
      </c>
      <c r="I28" s="127">
        <v>6480</v>
      </c>
      <c r="J28" s="127">
        <v>1080</v>
      </c>
      <c r="K28" s="127">
        <v>20250</v>
      </c>
      <c r="L28" s="127">
        <v>6210</v>
      </c>
      <c r="M28" s="127">
        <v>10800</v>
      </c>
      <c r="N28" s="127">
        <v>17820</v>
      </c>
      <c r="O28" s="127">
        <v>4860</v>
      </c>
      <c r="P28" s="127">
        <v>5940</v>
      </c>
      <c r="Q28" s="127">
        <v>15390</v>
      </c>
      <c r="R28" s="5">
        <f t="shared" si="12"/>
        <v>122310</v>
      </c>
      <c r="S28" s="5">
        <f t="shared" si="4"/>
        <v>112211.00917431191</v>
      </c>
      <c r="T28" s="5">
        <f t="shared" si="5"/>
        <v>10098.990825688088</v>
      </c>
      <c r="U28" s="21">
        <f t="shared" si="19"/>
        <v>453</v>
      </c>
      <c r="V28" s="35"/>
      <c r="W28" s="1"/>
      <c r="X28" s="142"/>
    </row>
    <row r="29" spans="1:25" ht="14.4" x14ac:dyDescent="0.3">
      <c r="A29" s="46" t="s">
        <v>77</v>
      </c>
      <c r="B29" s="53" t="s">
        <v>125</v>
      </c>
      <c r="C29" s="59" t="s">
        <v>100</v>
      </c>
      <c r="D29" s="60">
        <v>135</v>
      </c>
      <c r="E29" s="155"/>
      <c r="F29" s="127">
        <v>135</v>
      </c>
      <c r="G29" s="127">
        <v>270</v>
      </c>
      <c r="H29" s="127">
        <v>810</v>
      </c>
      <c r="I29" s="127">
        <v>0</v>
      </c>
      <c r="J29" s="127">
        <v>135</v>
      </c>
      <c r="K29" s="127">
        <v>135</v>
      </c>
      <c r="L29" s="127">
        <v>135</v>
      </c>
      <c r="M29" s="127">
        <v>270</v>
      </c>
      <c r="N29" s="127">
        <v>405</v>
      </c>
      <c r="O29" s="127">
        <v>135</v>
      </c>
      <c r="P29" s="127">
        <v>135</v>
      </c>
      <c r="Q29" s="127">
        <v>270</v>
      </c>
      <c r="R29" s="5">
        <f t="shared" si="12"/>
        <v>2835</v>
      </c>
      <c r="S29" s="5">
        <f t="shared" si="4"/>
        <v>2600.9174311926604</v>
      </c>
      <c r="T29" s="5">
        <f t="shared" si="5"/>
        <v>234.08256880733961</v>
      </c>
      <c r="U29" s="21">
        <f t="shared" si="19"/>
        <v>21</v>
      </c>
      <c r="V29" s="35"/>
      <c r="W29" s="1"/>
      <c r="X29" s="142"/>
    </row>
    <row r="30" spans="1:25" ht="14.4" x14ac:dyDescent="0.3">
      <c r="A30" s="46" t="s">
        <v>78</v>
      </c>
      <c r="B30" s="53" t="s">
        <v>126</v>
      </c>
      <c r="C30" s="59" t="s">
        <v>101</v>
      </c>
      <c r="D30" s="60">
        <v>54</v>
      </c>
      <c r="E30" s="155"/>
      <c r="F30" s="127">
        <v>2322</v>
      </c>
      <c r="G30" s="127">
        <v>1404</v>
      </c>
      <c r="H30" s="127">
        <v>1512</v>
      </c>
      <c r="I30" s="127">
        <v>486</v>
      </c>
      <c r="J30" s="127">
        <v>216</v>
      </c>
      <c r="K30" s="127">
        <v>108</v>
      </c>
      <c r="L30" s="127">
        <v>54</v>
      </c>
      <c r="M30" s="127">
        <v>1782</v>
      </c>
      <c r="N30" s="127">
        <v>3834</v>
      </c>
      <c r="O30" s="127">
        <v>1566</v>
      </c>
      <c r="P30" s="127">
        <v>1836</v>
      </c>
      <c r="Q30" s="127">
        <v>1728</v>
      </c>
      <c r="R30" s="5">
        <f t="shared" si="12"/>
        <v>16848</v>
      </c>
      <c r="S30" s="5">
        <f t="shared" si="4"/>
        <v>15456.880733944952</v>
      </c>
      <c r="T30" s="5">
        <f t="shared" si="5"/>
        <v>1391.1192660550478</v>
      </c>
      <c r="U30" s="21">
        <f t="shared" si="19"/>
        <v>312</v>
      </c>
      <c r="V30" s="35"/>
      <c r="W30" s="1"/>
      <c r="X30" s="142"/>
    </row>
    <row r="31" spans="1:25" ht="14.4" x14ac:dyDescent="0.3">
      <c r="A31" s="46" t="s">
        <v>79</v>
      </c>
      <c r="B31" s="53" t="s">
        <v>127</v>
      </c>
      <c r="C31" s="59" t="s">
        <v>102</v>
      </c>
      <c r="D31" s="60">
        <v>600</v>
      </c>
      <c r="E31" s="155"/>
      <c r="F31" s="127">
        <v>0</v>
      </c>
      <c r="G31" s="127">
        <v>600</v>
      </c>
      <c r="H31" s="127">
        <v>600</v>
      </c>
      <c r="I31" s="127">
        <v>1200</v>
      </c>
      <c r="J31" s="127">
        <v>0</v>
      </c>
      <c r="K31" s="127">
        <v>0</v>
      </c>
      <c r="L31" s="127">
        <v>600</v>
      </c>
      <c r="M31" s="127">
        <v>1200</v>
      </c>
      <c r="N31" s="127">
        <v>1200</v>
      </c>
      <c r="O31" s="127">
        <v>1800</v>
      </c>
      <c r="P31" s="127">
        <v>1800</v>
      </c>
      <c r="Q31" s="127">
        <v>6000</v>
      </c>
      <c r="R31" s="5">
        <f t="shared" si="12"/>
        <v>15000</v>
      </c>
      <c r="S31" s="5">
        <f t="shared" si="4"/>
        <v>13761.467889908256</v>
      </c>
      <c r="T31" s="5">
        <f t="shared" si="5"/>
        <v>1238.5321100917445</v>
      </c>
      <c r="U31" s="21">
        <f t="shared" si="19"/>
        <v>25</v>
      </c>
      <c r="V31" s="35"/>
      <c r="W31" s="1"/>
      <c r="X31" s="142"/>
    </row>
    <row r="32" spans="1:25" ht="14.4" x14ac:dyDescent="0.3">
      <c r="A32" s="46" t="s">
        <v>80</v>
      </c>
      <c r="B32" s="53" t="s">
        <v>128</v>
      </c>
      <c r="C32" s="59" t="s">
        <v>103</v>
      </c>
      <c r="D32" s="60">
        <v>300</v>
      </c>
      <c r="E32" s="155"/>
      <c r="F32" s="127">
        <v>900</v>
      </c>
      <c r="G32" s="127">
        <v>2100</v>
      </c>
      <c r="H32" s="127">
        <v>1200</v>
      </c>
      <c r="I32" s="127">
        <v>300</v>
      </c>
      <c r="J32" s="127">
        <v>900</v>
      </c>
      <c r="K32" s="127">
        <v>900</v>
      </c>
      <c r="L32" s="127">
        <v>1200</v>
      </c>
      <c r="M32" s="127">
        <v>1500</v>
      </c>
      <c r="N32" s="127">
        <v>1200</v>
      </c>
      <c r="O32" s="127">
        <v>0</v>
      </c>
      <c r="P32" s="127">
        <v>600</v>
      </c>
      <c r="Q32" s="127">
        <v>3000</v>
      </c>
      <c r="R32" s="5">
        <f t="shared" si="12"/>
        <v>13800</v>
      </c>
      <c r="S32" s="5">
        <f t="shared" si="4"/>
        <v>12660.550458715596</v>
      </c>
      <c r="T32" s="5">
        <f t="shared" si="5"/>
        <v>1139.4495412844044</v>
      </c>
      <c r="U32" s="21">
        <f t="shared" si="19"/>
        <v>46</v>
      </c>
      <c r="V32" s="35"/>
      <c r="W32" s="1"/>
      <c r="X32" s="142"/>
    </row>
    <row r="33" spans="1:25" ht="14.4" x14ac:dyDescent="0.3">
      <c r="A33" s="46" t="s">
        <v>81</v>
      </c>
      <c r="B33" s="53" t="s">
        <v>129</v>
      </c>
      <c r="C33" s="59" t="s">
        <v>104</v>
      </c>
      <c r="D33" s="60">
        <v>120</v>
      </c>
      <c r="E33" s="155"/>
      <c r="F33" s="127">
        <v>5280</v>
      </c>
      <c r="G33" s="127">
        <v>2280</v>
      </c>
      <c r="H33" s="127">
        <v>960</v>
      </c>
      <c r="I33" s="127">
        <v>480</v>
      </c>
      <c r="J33" s="127">
        <v>960</v>
      </c>
      <c r="K33" s="127">
        <v>1680</v>
      </c>
      <c r="L33" s="127">
        <v>1440</v>
      </c>
      <c r="M33" s="127">
        <v>6240</v>
      </c>
      <c r="N33" s="127">
        <v>6000</v>
      </c>
      <c r="O33" s="127">
        <v>3120</v>
      </c>
      <c r="P33" s="127">
        <v>6720</v>
      </c>
      <c r="Q33" s="127">
        <v>7680</v>
      </c>
      <c r="R33" s="5">
        <f t="shared" si="12"/>
        <v>42840</v>
      </c>
      <c r="S33" s="5">
        <f t="shared" si="4"/>
        <v>39302.752293577978</v>
      </c>
      <c r="T33" s="5">
        <f t="shared" si="5"/>
        <v>3537.247706422022</v>
      </c>
      <c r="U33" s="21">
        <f t="shared" si="19"/>
        <v>357</v>
      </c>
      <c r="V33" s="35"/>
      <c r="W33" s="1"/>
      <c r="X33" s="142"/>
    </row>
    <row r="34" spans="1:25" ht="14.4" x14ac:dyDescent="0.3">
      <c r="A34" s="46" t="s">
        <v>82</v>
      </c>
      <c r="B34" s="53" t="s">
        <v>130</v>
      </c>
      <c r="C34" s="59" t="s">
        <v>105</v>
      </c>
      <c r="D34" s="60">
        <v>540</v>
      </c>
      <c r="E34" s="155"/>
      <c r="F34" s="127">
        <v>4860</v>
      </c>
      <c r="G34" s="127">
        <v>1080</v>
      </c>
      <c r="H34" s="127">
        <v>1080</v>
      </c>
      <c r="I34" s="127">
        <v>0</v>
      </c>
      <c r="J34" s="127">
        <v>1080</v>
      </c>
      <c r="K34" s="127">
        <v>0</v>
      </c>
      <c r="L34" s="127">
        <v>1080</v>
      </c>
      <c r="M34" s="127">
        <v>0</v>
      </c>
      <c r="N34" s="127">
        <v>0</v>
      </c>
      <c r="O34" s="127">
        <v>1080</v>
      </c>
      <c r="P34" s="127">
        <v>3240</v>
      </c>
      <c r="Q34" s="127">
        <v>1620</v>
      </c>
      <c r="R34" s="5">
        <f t="shared" si="12"/>
        <v>15120</v>
      </c>
      <c r="S34" s="5">
        <f t="shared" si="4"/>
        <v>13871.559633027522</v>
      </c>
      <c r="T34" s="5">
        <f t="shared" si="5"/>
        <v>1248.4403669724779</v>
      </c>
      <c r="U34" s="21">
        <f t="shared" si="19"/>
        <v>28</v>
      </c>
      <c r="V34" s="35"/>
      <c r="W34" s="1"/>
      <c r="X34" s="142"/>
    </row>
    <row r="35" spans="1:25" ht="14.4" x14ac:dyDescent="0.3">
      <c r="A35" s="46" t="s">
        <v>83</v>
      </c>
      <c r="B35" s="53" t="s">
        <v>131</v>
      </c>
      <c r="C35" s="59" t="s">
        <v>106</v>
      </c>
      <c r="D35" s="60">
        <v>270</v>
      </c>
      <c r="E35" s="155"/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540</v>
      </c>
      <c r="R35" s="5">
        <f t="shared" si="12"/>
        <v>540</v>
      </c>
      <c r="S35" s="5">
        <f t="shared" si="4"/>
        <v>495.41284403669721</v>
      </c>
      <c r="T35" s="5">
        <f t="shared" si="5"/>
        <v>44.587155963302791</v>
      </c>
      <c r="U35" s="21">
        <f t="shared" si="19"/>
        <v>2</v>
      </c>
      <c r="V35" s="35"/>
      <c r="W35" s="1"/>
      <c r="X35" s="142"/>
    </row>
    <row r="36" spans="1:25" ht="14.4" x14ac:dyDescent="0.3">
      <c r="A36" s="46" t="s">
        <v>84</v>
      </c>
      <c r="B36" s="53" t="s">
        <v>132</v>
      </c>
      <c r="C36" s="59" t="s">
        <v>107</v>
      </c>
      <c r="D36" s="60">
        <v>108</v>
      </c>
      <c r="E36" s="155"/>
      <c r="F36" s="127">
        <v>432</v>
      </c>
      <c r="G36" s="127">
        <v>0</v>
      </c>
      <c r="H36" s="127">
        <v>0</v>
      </c>
      <c r="I36" s="127">
        <v>0</v>
      </c>
      <c r="J36" s="127">
        <v>0</v>
      </c>
      <c r="K36" s="127">
        <v>108</v>
      </c>
      <c r="L36" s="127">
        <v>0</v>
      </c>
      <c r="M36" s="127">
        <v>108</v>
      </c>
      <c r="N36" s="127">
        <v>540</v>
      </c>
      <c r="O36" s="127">
        <v>324</v>
      </c>
      <c r="P36" s="127">
        <v>756</v>
      </c>
      <c r="Q36" s="127">
        <v>324</v>
      </c>
      <c r="R36" s="5">
        <f t="shared" si="12"/>
        <v>2592</v>
      </c>
      <c r="S36" s="5">
        <f t="shared" si="4"/>
        <v>2377.9816513761466</v>
      </c>
      <c r="T36" s="5">
        <f t="shared" si="5"/>
        <v>214.0183486238534</v>
      </c>
      <c r="U36" s="21">
        <f t="shared" si="19"/>
        <v>24</v>
      </c>
      <c r="V36" s="35"/>
      <c r="W36" s="1"/>
      <c r="X36" s="142"/>
    </row>
    <row r="37" spans="1:25" ht="14.4" x14ac:dyDescent="0.3">
      <c r="A37" s="46" t="s">
        <v>85</v>
      </c>
      <c r="B37" s="53" t="s">
        <v>133</v>
      </c>
      <c r="C37" s="59" t="s">
        <v>108</v>
      </c>
      <c r="D37" s="60">
        <v>900</v>
      </c>
      <c r="E37" s="155"/>
      <c r="F37" s="127">
        <v>2700</v>
      </c>
      <c r="G37" s="127">
        <v>0</v>
      </c>
      <c r="H37" s="127">
        <v>0</v>
      </c>
      <c r="I37" s="127">
        <v>900</v>
      </c>
      <c r="J37" s="127">
        <v>0</v>
      </c>
      <c r="K37" s="127">
        <v>1800</v>
      </c>
      <c r="L37" s="127">
        <v>0</v>
      </c>
      <c r="M37" s="127">
        <v>0</v>
      </c>
      <c r="N37" s="127">
        <v>900</v>
      </c>
      <c r="O37" s="127">
        <v>900</v>
      </c>
      <c r="P37" s="127">
        <v>0</v>
      </c>
      <c r="Q37" s="127">
        <v>900</v>
      </c>
      <c r="R37" s="5">
        <f t="shared" si="12"/>
        <v>8100</v>
      </c>
      <c r="S37" s="5">
        <f t="shared" si="4"/>
        <v>7431.1926605504577</v>
      </c>
      <c r="T37" s="5">
        <f t="shared" si="5"/>
        <v>668.80733944954227</v>
      </c>
      <c r="U37" s="21">
        <f t="shared" si="19"/>
        <v>9</v>
      </c>
      <c r="V37" s="35"/>
      <c r="W37" s="1"/>
      <c r="X37" s="142"/>
    </row>
    <row r="38" spans="1:25" ht="14.4" x14ac:dyDescent="0.3">
      <c r="A38" s="46" t="s">
        <v>86</v>
      </c>
      <c r="B38" s="53" t="s">
        <v>134</v>
      </c>
      <c r="C38" s="59" t="s">
        <v>109</v>
      </c>
      <c r="D38" s="60">
        <v>450</v>
      </c>
      <c r="E38" s="155"/>
      <c r="F38" s="127">
        <v>450</v>
      </c>
      <c r="G38" s="127">
        <v>0</v>
      </c>
      <c r="H38" s="127">
        <v>0</v>
      </c>
      <c r="I38" s="127">
        <v>0</v>
      </c>
      <c r="J38" s="127">
        <v>450</v>
      </c>
      <c r="K38" s="127">
        <v>0</v>
      </c>
      <c r="L38" s="127">
        <v>0</v>
      </c>
      <c r="M38" s="127">
        <v>900</v>
      </c>
      <c r="N38" s="127">
        <v>450</v>
      </c>
      <c r="O38" s="127">
        <v>0</v>
      </c>
      <c r="P38" s="127">
        <v>450</v>
      </c>
      <c r="Q38" s="127">
        <v>900</v>
      </c>
      <c r="R38" s="5">
        <f t="shared" si="12"/>
        <v>3600</v>
      </c>
      <c r="S38" s="5">
        <f t="shared" si="4"/>
        <v>3302.7522935779816</v>
      </c>
      <c r="T38" s="5">
        <f t="shared" si="5"/>
        <v>297.24770642201838</v>
      </c>
      <c r="U38" s="21">
        <f t="shared" si="19"/>
        <v>8</v>
      </c>
      <c r="V38" s="35"/>
      <c r="W38" s="1"/>
      <c r="X38" s="142"/>
    </row>
    <row r="39" spans="1:25" ht="14.4" x14ac:dyDescent="0.3">
      <c r="A39" s="46" t="s">
        <v>87</v>
      </c>
      <c r="B39" s="53" t="s">
        <v>135</v>
      </c>
      <c r="C39" s="59" t="s">
        <v>110</v>
      </c>
      <c r="D39" s="60">
        <v>180</v>
      </c>
      <c r="E39" s="155"/>
      <c r="F39" s="127">
        <v>540</v>
      </c>
      <c r="G39" s="127">
        <v>360</v>
      </c>
      <c r="H39" s="127">
        <v>0</v>
      </c>
      <c r="I39" s="127">
        <v>1080</v>
      </c>
      <c r="J39" s="127">
        <v>360</v>
      </c>
      <c r="K39" s="127">
        <v>540</v>
      </c>
      <c r="L39" s="127">
        <v>1440</v>
      </c>
      <c r="M39" s="127">
        <v>15120</v>
      </c>
      <c r="N39" s="127">
        <v>24840</v>
      </c>
      <c r="O39" s="127">
        <v>2880</v>
      </c>
      <c r="P39" s="127">
        <v>1260</v>
      </c>
      <c r="Q39" s="127">
        <v>1260</v>
      </c>
      <c r="R39" s="5">
        <f t="shared" si="12"/>
        <v>49680</v>
      </c>
      <c r="S39" s="5">
        <f t="shared" si="4"/>
        <v>45577.981651376147</v>
      </c>
      <c r="T39" s="5">
        <f t="shared" si="5"/>
        <v>4102.0183486238529</v>
      </c>
      <c r="U39" s="21">
        <f t="shared" si="19"/>
        <v>276</v>
      </c>
      <c r="V39" s="35"/>
      <c r="W39" s="1"/>
      <c r="X39" s="142"/>
    </row>
    <row r="40" spans="1:25" ht="14.4" x14ac:dyDescent="0.3">
      <c r="A40" s="46" t="s">
        <v>88</v>
      </c>
      <c r="B40" s="53" t="s">
        <v>136</v>
      </c>
      <c r="C40" s="59" t="s">
        <v>111</v>
      </c>
      <c r="D40" s="60">
        <v>810</v>
      </c>
      <c r="E40" s="155"/>
      <c r="F40" s="127">
        <v>1620</v>
      </c>
      <c r="G40" s="127">
        <v>2430</v>
      </c>
      <c r="H40" s="127">
        <v>0</v>
      </c>
      <c r="I40" s="127">
        <v>810</v>
      </c>
      <c r="J40" s="127">
        <v>0</v>
      </c>
      <c r="K40" s="127">
        <v>0</v>
      </c>
      <c r="L40" s="127">
        <v>810</v>
      </c>
      <c r="M40" s="127">
        <v>0</v>
      </c>
      <c r="N40" s="127">
        <v>810</v>
      </c>
      <c r="O40" s="127">
        <v>810</v>
      </c>
      <c r="P40" s="127">
        <v>810</v>
      </c>
      <c r="Q40" s="127">
        <v>810</v>
      </c>
      <c r="R40" s="5">
        <f t="shared" si="12"/>
        <v>8910</v>
      </c>
      <c r="S40" s="5">
        <f t="shared" si="4"/>
        <v>8174.3119266055037</v>
      </c>
      <c r="T40" s="5">
        <f t="shared" si="5"/>
        <v>735.68807339449631</v>
      </c>
      <c r="U40" s="21">
        <f t="shared" si="19"/>
        <v>11</v>
      </c>
      <c r="V40" s="71"/>
      <c r="W40" s="1"/>
      <c r="X40" s="142"/>
    </row>
    <row r="41" spans="1:25" ht="14.4" x14ac:dyDescent="0.3">
      <c r="A41" s="46" t="s">
        <v>89</v>
      </c>
      <c r="B41" s="53" t="s">
        <v>137</v>
      </c>
      <c r="C41" s="59" t="s">
        <v>112</v>
      </c>
      <c r="D41" s="60">
        <v>405</v>
      </c>
      <c r="E41" s="155"/>
      <c r="F41" s="127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405</v>
      </c>
      <c r="O41" s="127">
        <v>0</v>
      </c>
      <c r="P41" s="127">
        <v>0</v>
      </c>
      <c r="Q41" s="127">
        <v>0</v>
      </c>
      <c r="R41" s="5">
        <f t="shared" si="12"/>
        <v>405</v>
      </c>
      <c r="S41" s="5">
        <f t="shared" si="4"/>
        <v>371.55963302752292</v>
      </c>
      <c r="T41" s="5">
        <f t="shared" si="5"/>
        <v>33.440366972477079</v>
      </c>
      <c r="U41" s="21">
        <f t="shared" si="19"/>
        <v>1</v>
      </c>
      <c r="V41" s="71"/>
      <c r="W41" s="1"/>
      <c r="X41" s="142"/>
    </row>
    <row r="42" spans="1:25" ht="14.4" x14ac:dyDescent="0.3">
      <c r="A42" s="54" t="s">
        <v>90</v>
      </c>
      <c r="B42" s="55" t="s">
        <v>138</v>
      </c>
      <c r="C42" s="245" t="s">
        <v>113</v>
      </c>
      <c r="D42" s="246">
        <v>162</v>
      </c>
      <c r="E42" s="158"/>
      <c r="F42" s="221">
        <v>0</v>
      </c>
      <c r="G42" s="127">
        <v>162</v>
      </c>
      <c r="H42" s="127">
        <v>0</v>
      </c>
      <c r="I42" s="127">
        <v>0</v>
      </c>
      <c r="J42" s="127">
        <v>0</v>
      </c>
      <c r="K42" s="127">
        <v>162</v>
      </c>
      <c r="L42" s="127">
        <v>0</v>
      </c>
      <c r="M42" s="127">
        <v>1458</v>
      </c>
      <c r="N42" s="127">
        <v>3726</v>
      </c>
      <c r="O42" s="127">
        <v>162</v>
      </c>
      <c r="P42" s="221">
        <v>0</v>
      </c>
      <c r="Q42" s="221">
        <v>162</v>
      </c>
      <c r="R42" s="26">
        <f t="shared" si="12"/>
        <v>5832</v>
      </c>
      <c r="S42" s="26">
        <f t="shared" si="4"/>
        <v>5350.45871559633</v>
      </c>
      <c r="T42" s="26">
        <f t="shared" si="5"/>
        <v>481.54128440367003</v>
      </c>
      <c r="U42" s="39">
        <f t="shared" si="19"/>
        <v>36</v>
      </c>
      <c r="V42" s="71"/>
      <c r="W42" s="1"/>
      <c r="X42" s="142"/>
    </row>
    <row r="43" spans="1:25" ht="14.4" x14ac:dyDescent="0.3">
      <c r="A43" s="47" t="s">
        <v>201</v>
      </c>
      <c r="B43" s="56" t="s">
        <v>200</v>
      </c>
      <c r="C43" s="66" t="s">
        <v>202</v>
      </c>
      <c r="D43" s="67">
        <v>10</v>
      </c>
      <c r="E43" s="124"/>
      <c r="F43" s="148">
        <v>124630</v>
      </c>
      <c r="G43" s="124">
        <v>21640</v>
      </c>
      <c r="H43" s="124">
        <v>14960</v>
      </c>
      <c r="I43" s="124">
        <v>9880</v>
      </c>
      <c r="J43" s="124">
        <v>6650</v>
      </c>
      <c r="K43" s="124">
        <v>5150</v>
      </c>
      <c r="L43" s="124">
        <v>4200</v>
      </c>
      <c r="M43" s="124">
        <v>3450</v>
      </c>
      <c r="N43" s="124">
        <v>3690</v>
      </c>
      <c r="O43" s="124">
        <v>3560</v>
      </c>
      <c r="P43" s="14">
        <v>3580</v>
      </c>
      <c r="Q43" s="149">
        <v>33390</v>
      </c>
      <c r="R43" s="26">
        <f t="shared" ref="R43" si="20">+SUM(F43:Q43)</f>
        <v>234780</v>
      </c>
      <c r="S43" s="26">
        <f t="shared" ref="S43" si="21">+R43/1.09</f>
        <v>215394.49541284403</v>
      </c>
      <c r="T43" s="26">
        <f t="shared" ref="T43" si="22">+R43-S43</f>
        <v>19385.504587155971</v>
      </c>
      <c r="U43" s="39">
        <f t="shared" ref="U43" si="23">R43/D43</f>
        <v>23478</v>
      </c>
      <c r="V43" s="71"/>
      <c r="W43" s="1"/>
      <c r="X43" s="142"/>
    </row>
    <row r="44" spans="1:25" ht="12" customHeight="1" x14ac:dyDescent="0.25">
      <c r="A44" s="70" t="s">
        <v>16</v>
      </c>
      <c r="B44" s="52" t="s">
        <v>34</v>
      </c>
      <c r="C44" s="80" t="s">
        <v>91</v>
      </c>
      <c r="D44" s="78"/>
      <c r="E44" s="108"/>
      <c r="F44" s="82">
        <f t="shared" ref="F44:U44" si="24">+SUM(F45:F53)</f>
        <v>169216.59999999998</v>
      </c>
      <c r="G44" s="82">
        <f t="shared" si="24"/>
        <v>148800.80000000002</v>
      </c>
      <c r="H44" s="82">
        <f t="shared" si="24"/>
        <v>172610.5</v>
      </c>
      <c r="I44" s="82">
        <f>+SUM(I45:I53)</f>
        <v>195905.09999999998</v>
      </c>
      <c r="J44" s="82">
        <f t="shared" si="24"/>
        <v>209750.80000000002</v>
      </c>
      <c r="K44" s="82">
        <f t="shared" si="24"/>
        <v>268087.40000000002</v>
      </c>
      <c r="L44" s="82">
        <f t="shared" si="24"/>
        <v>266479.5</v>
      </c>
      <c r="M44" s="82">
        <f t="shared" si="24"/>
        <v>246074.2</v>
      </c>
      <c r="N44" s="100">
        <f t="shared" si="24"/>
        <v>231667.5</v>
      </c>
      <c r="O44" s="100">
        <f t="shared" si="24"/>
        <v>202137.89999999997</v>
      </c>
      <c r="P44" s="100">
        <f t="shared" si="24"/>
        <v>169465.8</v>
      </c>
      <c r="Q44" s="100">
        <f t="shared" si="24"/>
        <v>227984.7004458</v>
      </c>
      <c r="R44" s="42">
        <f>+SUM(R45:R53)</f>
        <v>2508180.8004457997</v>
      </c>
      <c r="S44" s="42">
        <f>+SUM(S45:S53)</f>
        <v>2301083.3031612844</v>
      </c>
      <c r="T44" s="42">
        <f t="shared" si="24"/>
        <v>207097.4972845157</v>
      </c>
      <c r="U44" s="42">
        <f t="shared" si="24"/>
        <v>364705.00005907885</v>
      </c>
      <c r="V44" s="71"/>
      <c r="W44" s="1"/>
      <c r="X44" s="141"/>
    </row>
    <row r="45" spans="1:25" ht="12" customHeight="1" x14ac:dyDescent="0.3">
      <c r="A45" s="65" t="s">
        <v>17</v>
      </c>
      <c r="B45" s="86" t="s">
        <v>35</v>
      </c>
      <c r="C45" s="30" t="s">
        <v>2</v>
      </c>
      <c r="D45" s="29">
        <v>12</v>
      </c>
      <c r="E45" s="29"/>
      <c r="F45" s="127">
        <v>17028</v>
      </c>
      <c r="G45" s="127">
        <v>15720</v>
      </c>
      <c r="H45" s="127">
        <v>17664</v>
      </c>
      <c r="I45" s="127">
        <v>20028</v>
      </c>
      <c r="J45" s="127">
        <v>20784</v>
      </c>
      <c r="K45" s="127">
        <v>22044</v>
      </c>
      <c r="L45" s="127">
        <v>28128</v>
      </c>
      <c r="M45" s="127">
        <v>27432</v>
      </c>
      <c r="N45" s="127">
        <v>24696</v>
      </c>
      <c r="O45" s="127">
        <v>21144</v>
      </c>
      <c r="P45" s="127">
        <v>18960</v>
      </c>
      <c r="Q45" s="127">
        <v>21180</v>
      </c>
      <c r="R45" s="5">
        <f t="shared" si="12"/>
        <v>254808</v>
      </c>
      <c r="S45" s="99">
        <f t="shared" si="4"/>
        <v>233768.80733944953</v>
      </c>
      <c r="T45" s="99">
        <f t="shared" si="5"/>
        <v>21039.19266055047</v>
      </c>
      <c r="U45" s="116">
        <f t="shared" ref="U45:U53" si="25">R45/D45</f>
        <v>21234</v>
      </c>
      <c r="V45" s="71"/>
      <c r="W45" s="1"/>
      <c r="X45" s="142"/>
      <c r="Y45"/>
    </row>
    <row r="46" spans="1:25" ht="12" customHeight="1" x14ac:dyDescent="0.3">
      <c r="A46" s="46" t="s">
        <v>18</v>
      </c>
      <c r="B46" s="53" t="s">
        <v>35</v>
      </c>
      <c r="C46" s="11" t="s">
        <v>3</v>
      </c>
      <c r="D46" s="10">
        <v>6</v>
      </c>
      <c r="E46" s="29"/>
      <c r="F46" s="127">
        <v>2196</v>
      </c>
      <c r="G46" s="127">
        <v>1932</v>
      </c>
      <c r="H46" s="127">
        <v>2550</v>
      </c>
      <c r="I46" s="127">
        <v>2652</v>
      </c>
      <c r="J46" s="127">
        <v>2634</v>
      </c>
      <c r="K46" s="127">
        <v>2712</v>
      </c>
      <c r="L46" s="127">
        <v>3006</v>
      </c>
      <c r="M46" s="127">
        <v>2922</v>
      </c>
      <c r="N46" s="127">
        <v>2982</v>
      </c>
      <c r="O46" s="127">
        <v>3102</v>
      </c>
      <c r="P46" s="127">
        <v>2586</v>
      </c>
      <c r="Q46" s="127">
        <v>2472.0001053999999</v>
      </c>
      <c r="R46" s="5">
        <f t="shared" si="12"/>
        <v>31746.000105399999</v>
      </c>
      <c r="S46" s="5">
        <f t="shared" si="4"/>
        <v>29124.770738899078</v>
      </c>
      <c r="T46" s="5">
        <f t="shared" si="5"/>
        <v>2621.2293665009202</v>
      </c>
      <c r="U46" s="31">
        <f t="shared" si="25"/>
        <v>5291.0000175666664</v>
      </c>
      <c r="V46" s="71"/>
      <c r="W46" s="1"/>
      <c r="X46" s="142"/>
    </row>
    <row r="47" spans="1:25" ht="12" customHeight="1" x14ac:dyDescent="0.3">
      <c r="A47" s="46" t="s">
        <v>19</v>
      </c>
      <c r="B47" s="53" t="s">
        <v>35</v>
      </c>
      <c r="C47" s="11" t="s">
        <v>4</v>
      </c>
      <c r="D47" s="10">
        <v>2.4</v>
      </c>
      <c r="E47" s="29"/>
      <c r="F47" s="127">
        <v>37432.799999999996</v>
      </c>
      <c r="G47" s="127">
        <v>34480.800000000003</v>
      </c>
      <c r="H47" s="127">
        <v>41841.599999999999</v>
      </c>
      <c r="I47" s="127">
        <v>45976.800000000003</v>
      </c>
      <c r="J47" s="127">
        <v>49821.600000000006</v>
      </c>
      <c r="K47" s="127">
        <v>63304.800000000003</v>
      </c>
      <c r="L47" s="127">
        <v>59025.599999999991</v>
      </c>
      <c r="M47" s="127">
        <v>63895.199999999997</v>
      </c>
      <c r="N47" s="127">
        <v>48962.400000000001</v>
      </c>
      <c r="O47" s="127">
        <v>48328.799999999996</v>
      </c>
      <c r="P47" s="127">
        <v>42813.599999999991</v>
      </c>
      <c r="Q47" s="127">
        <v>49591.199999999997</v>
      </c>
      <c r="R47" s="5">
        <f t="shared" si="12"/>
        <v>585475.19999999995</v>
      </c>
      <c r="S47" s="5">
        <f t="shared" si="4"/>
        <v>537133.21100917424</v>
      </c>
      <c r="T47" s="5">
        <f t="shared" si="5"/>
        <v>48341.988990825717</v>
      </c>
      <c r="U47" s="31">
        <f t="shared" si="25"/>
        <v>243948</v>
      </c>
      <c r="V47" s="71"/>
      <c r="W47" s="1"/>
      <c r="X47" s="142"/>
    </row>
    <row r="48" spans="1:25" ht="12" customHeight="1" x14ac:dyDescent="0.3">
      <c r="A48" s="46" t="s">
        <v>20</v>
      </c>
      <c r="B48" s="53" t="s">
        <v>35</v>
      </c>
      <c r="C48" s="11" t="s">
        <v>5</v>
      </c>
      <c r="D48" s="10">
        <v>21</v>
      </c>
      <c r="E48" s="29"/>
      <c r="F48" s="127">
        <v>16737</v>
      </c>
      <c r="G48" s="127">
        <v>14973</v>
      </c>
      <c r="H48" s="127">
        <v>16968</v>
      </c>
      <c r="I48" s="127">
        <v>19236</v>
      </c>
      <c r="J48" s="127">
        <v>24234</v>
      </c>
      <c r="K48" s="127">
        <v>31521</v>
      </c>
      <c r="L48" s="127">
        <v>30765</v>
      </c>
      <c r="M48" s="127">
        <v>27762</v>
      </c>
      <c r="N48" s="127">
        <v>27006</v>
      </c>
      <c r="O48" s="127">
        <v>23793</v>
      </c>
      <c r="P48" s="127">
        <v>18921</v>
      </c>
      <c r="Q48" s="127">
        <v>25494</v>
      </c>
      <c r="R48" s="5">
        <f t="shared" si="12"/>
        <v>277410</v>
      </c>
      <c r="S48" s="5">
        <f t="shared" si="4"/>
        <v>254504.58715596329</v>
      </c>
      <c r="T48" s="5">
        <f t="shared" si="5"/>
        <v>22905.412844036706</v>
      </c>
      <c r="U48" s="31">
        <f t="shared" si="25"/>
        <v>13210</v>
      </c>
      <c r="V48" s="71"/>
      <c r="W48" s="1"/>
      <c r="X48" s="142"/>
    </row>
    <row r="49" spans="1:24" ht="12" customHeight="1" x14ac:dyDescent="0.3">
      <c r="A49" s="46" t="s">
        <v>21</v>
      </c>
      <c r="B49" s="53" t="s">
        <v>35</v>
      </c>
      <c r="C49" s="11" t="s">
        <v>6</v>
      </c>
      <c r="D49" s="10">
        <v>10.5</v>
      </c>
      <c r="E49" s="29"/>
      <c r="F49" s="127">
        <v>1501.5</v>
      </c>
      <c r="G49" s="127">
        <v>1543.5</v>
      </c>
      <c r="H49" s="127">
        <v>2016</v>
      </c>
      <c r="I49" s="127">
        <v>1932</v>
      </c>
      <c r="J49" s="127">
        <v>2184</v>
      </c>
      <c r="K49" s="127">
        <v>2583</v>
      </c>
      <c r="L49" s="127">
        <v>2992.5</v>
      </c>
      <c r="M49" s="127">
        <v>2583</v>
      </c>
      <c r="N49" s="127">
        <v>2583</v>
      </c>
      <c r="O49" s="127">
        <v>2415</v>
      </c>
      <c r="P49" s="127">
        <v>2089.5</v>
      </c>
      <c r="Q49" s="127">
        <v>1984.5</v>
      </c>
      <c r="R49" s="5">
        <f t="shared" si="12"/>
        <v>26407.5</v>
      </c>
      <c r="S49" s="5">
        <f t="shared" si="4"/>
        <v>24227.064220183485</v>
      </c>
      <c r="T49" s="5">
        <f t="shared" si="5"/>
        <v>2180.4357798165147</v>
      </c>
      <c r="U49" s="21">
        <f t="shared" si="25"/>
        <v>2515</v>
      </c>
      <c r="V49" s="71"/>
      <c r="W49" s="1"/>
      <c r="X49" s="142"/>
    </row>
    <row r="50" spans="1:24" ht="12" customHeight="1" x14ac:dyDescent="0.3">
      <c r="A50" s="46" t="s">
        <v>22</v>
      </c>
      <c r="B50" s="53" t="s">
        <v>35</v>
      </c>
      <c r="C50" s="11" t="s">
        <v>7</v>
      </c>
      <c r="D50" s="10">
        <v>4.2</v>
      </c>
      <c r="E50" s="29"/>
      <c r="F50" s="127">
        <v>9676.8000000000011</v>
      </c>
      <c r="G50" s="127">
        <v>8290.8000000000011</v>
      </c>
      <c r="H50" s="127">
        <v>9534</v>
      </c>
      <c r="I50" s="127">
        <v>12957</v>
      </c>
      <c r="J50" s="127">
        <v>11020.8</v>
      </c>
      <c r="K50" s="127">
        <v>16338</v>
      </c>
      <c r="L50" s="127">
        <v>13830.599999999999</v>
      </c>
      <c r="M50" s="127">
        <v>13477.799999999997</v>
      </c>
      <c r="N50" s="127">
        <v>11478.6</v>
      </c>
      <c r="O50" s="127">
        <v>10600.800000000003</v>
      </c>
      <c r="P50" s="127">
        <v>9151.7999999999993</v>
      </c>
      <c r="Q50" s="127">
        <v>12700.8</v>
      </c>
      <c r="R50" s="5">
        <f t="shared" si="12"/>
        <v>139057.80000000002</v>
      </c>
      <c r="S50" s="5">
        <f t="shared" si="4"/>
        <v>127575.96330275229</v>
      </c>
      <c r="T50" s="5">
        <f t="shared" si="5"/>
        <v>11481.836697247723</v>
      </c>
      <c r="U50" s="21">
        <f t="shared" si="25"/>
        <v>33109</v>
      </c>
      <c r="V50" s="71"/>
      <c r="W50" s="1"/>
      <c r="X50" s="142"/>
    </row>
    <row r="51" spans="1:24" ht="12" customHeight="1" x14ac:dyDescent="0.3">
      <c r="A51" s="46" t="s">
        <v>23</v>
      </c>
      <c r="B51" s="53" t="s">
        <v>35</v>
      </c>
      <c r="C51" s="11" t="s">
        <v>8</v>
      </c>
      <c r="D51" s="10">
        <v>41</v>
      </c>
      <c r="E51" s="29"/>
      <c r="F51" s="127">
        <v>66953</v>
      </c>
      <c r="G51" s="127">
        <v>59737</v>
      </c>
      <c r="H51" s="127">
        <v>67199</v>
      </c>
      <c r="I51" s="127">
        <v>75440</v>
      </c>
      <c r="J51" s="127">
        <v>78064</v>
      </c>
      <c r="K51" s="127">
        <v>98892</v>
      </c>
      <c r="L51" s="127">
        <v>105165</v>
      </c>
      <c r="M51" s="127">
        <v>89339</v>
      </c>
      <c r="N51" s="127">
        <v>95038</v>
      </c>
      <c r="O51" s="127">
        <v>76916</v>
      </c>
      <c r="P51" s="127">
        <v>61500</v>
      </c>
      <c r="Q51" s="127">
        <v>89462</v>
      </c>
      <c r="R51" s="5">
        <f t="shared" si="12"/>
        <v>963705</v>
      </c>
      <c r="S51" s="5">
        <f t="shared" si="4"/>
        <v>884133.02752293576</v>
      </c>
      <c r="T51" s="5">
        <f t="shared" si="5"/>
        <v>79571.972477064235</v>
      </c>
      <c r="U51" s="21">
        <f t="shared" si="25"/>
        <v>23505</v>
      </c>
      <c r="V51" s="71"/>
      <c r="W51" s="1"/>
      <c r="X51" s="142"/>
    </row>
    <row r="52" spans="1:24" ht="12" customHeight="1" x14ac:dyDescent="0.3">
      <c r="A52" s="46" t="s">
        <v>24</v>
      </c>
      <c r="B52" s="53" t="s">
        <v>35</v>
      </c>
      <c r="C52" s="11" t="s">
        <v>9</v>
      </c>
      <c r="D52" s="10">
        <v>20.5</v>
      </c>
      <c r="E52" s="29"/>
      <c r="F52" s="127">
        <v>4817.5</v>
      </c>
      <c r="G52" s="127">
        <v>4243.5</v>
      </c>
      <c r="H52" s="127">
        <v>6129.5</v>
      </c>
      <c r="I52" s="127">
        <v>6457.5</v>
      </c>
      <c r="J52" s="127">
        <v>7380</v>
      </c>
      <c r="K52" s="127">
        <v>9143</v>
      </c>
      <c r="L52" s="127">
        <v>10086</v>
      </c>
      <c r="M52" s="127">
        <v>7831</v>
      </c>
      <c r="N52" s="127">
        <v>7031.5</v>
      </c>
      <c r="O52" s="127">
        <v>7195.5</v>
      </c>
      <c r="P52" s="127">
        <v>6498.5</v>
      </c>
      <c r="Q52" s="127">
        <v>6601</v>
      </c>
      <c r="R52" s="5">
        <f t="shared" si="12"/>
        <v>83414.5</v>
      </c>
      <c r="S52" s="5">
        <f t="shared" si="4"/>
        <v>76527.064220183485</v>
      </c>
      <c r="T52" s="5">
        <f t="shared" si="5"/>
        <v>6887.4357798165147</v>
      </c>
      <c r="U52" s="21">
        <f t="shared" si="25"/>
        <v>4069</v>
      </c>
      <c r="V52" s="71"/>
      <c r="W52" s="1"/>
      <c r="X52" s="142"/>
    </row>
    <row r="53" spans="1:24" ht="12" customHeight="1" x14ac:dyDescent="0.3">
      <c r="A53" s="47" t="s">
        <v>25</v>
      </c>
      <c r="B53" s="56" t="s">
        <v>35</v>
      </c>
      <c r="C53" s="12" t="s">
        <v>10</v>
      </c>
      <c r="D53" s="7">
        <v>8.1999999999999993</v>
      </c>
      <c r="E53" s="7"/>
      <c r="F53" s="148">
        <v>12874</v>
      </c>
      <c r="G53" s="148">
        <v>7880.2</v>
      </c>
      <c r="H53" s="148">
        <v>8708.4</v>
      </c>
      <c r="I53" s="148">
        <v>11225.800000000001</v>
      </c>
      <c r="J53" s="148">
        <v>13628.4</v>
      </c>
      <c r="K53" s="148">
        <v>21549.600000000006</v>
      </c>
      <c r="L53" s="148">
        <v>13480.800000000001</v>
      </c>
      <c r="M53" s="148">
        <v>10832.2</v>
      </c>
      <c r="N53" s="148">
        <v>11890.000000000004</v>
      </c>
      <c r="O53" s="148">
        <v>8642.8000000000011</v>
      </c>
      <c r="P53" s="149">
        <v>6945.4000000000005</v>
      </c>
      <c r="Q53" s="149">
        <v>18499.200340400002</v>
      </c>
      <c r="R53" s="6">
        <f t="shared" si="12"/>
        <v>146156.80034040002</v>
      </c>
      <c r="S53" s="6">
        <f t="shared" si="4"/>
        <v>134088.80765174312</v>
      </c>
      <c r="T53" s="6">
        <f t="shared" si="5"/>
        <v>12067.992688656901</v>
      </c>
      <c r="U53" s="22">
        <f t="shared" si="25"/>
        <v>17824.000041512198</v>
      </c>
      <c r="V53" s="35"/>
      <c r="W53" s="1"/>
      <c r="X53" s="142"/>
    </row>
    <row r="54" spans="1:24" x14ac:dyDescent="0.25">
      <c r="C54" s="1" t="s">
        <v>190</v>
      </c>
      <c r="F54" s="112">
        <f>+R_2014_01_saskaitos!O54</f>
        <v>78124</v>
      </c>
      <c r="G54" s="112">
        <f>+R_2014_02_saskaitos!O54</f>
        <v>47620</v>
      </c>
      <c r="H54" s="112">
        <f>+R_2014_03_saskaitos!O54</f>
        <v>56956</v>
      </c>
      <c r="I54" s="112">
        <f>+R_2014_04_saskaitos!O54</f>
        <v>50704</v>
      </c>
      <c r="J54" s="112">
        <f>+R_2014_05_saskaitos!P54</f>
        <v>45264</v>
      </c>
      <c r="K54" s="112">
        <f>+R_2014_06_saskaitos!R54</f>
        <v>59348</v>
      </c>
      <c r="L54" s="112">
        <f>+R_2014_07_saskaitos!Q54</f>
        <v>51536</v>
      </c>
      <c r="M54" s="112">
        <f>+R_2014_08_saskaitos!Q54</f>
        <v>55360</v>
      </c>
      <c r="N54" s="112">
        <f>+R_2014_09_saskaitos!Q54</f>
        <v>80728</v>
      </c>
      <c r="O54" s="112">
        <f>+R_2014_10_saskaitos!Q54</f>
        <v>58232</v>
      </c>
      <c r="P54" s="112">
        <f>+R_2014_11_saskaitos!Q54</f>
        <v>44204</v>
      </c>
      <c r="Q54" s="112">
        <f>+R_2014_12_saskaitos!Q54</f>
        <v>45860</v>
      </c>
      <c r="R54" s="112">
        <f t="shared" si="12"/>
        <v>673936</v>
      </c>
      <c r="S54" s="112">
        <f t="shared" si="4"/>
        <v>618289.90825688071</v>
      </c>
      <c r="T54" s="112">
        <f t="shared" si="5"/>
        <v>55646.091743119294</v>
      </c>
    </row>
    <row r="55" spans="1:24" x14ac:dyDescent="0.25">
      <c r="C55" s="1" t="s">
        <v>269</v>
      </c>
      <c r="F55" s="112">
        <f>+R_2014_01_saskaitos!O55</f>
        <v>1003460.6399999999</v>
      </c>
      <c r="G55" s="112">
        <f>+R_2014_02_saskaitos!O55</f>
        <v>917953.2</v>
      </c>
      <c r="H55" s="112">
        <f>+R_2014_03_saskaitos!O55</f>
        <v>1011174.8500000001</v>
      </c>
      <c r="I55" s="112">
        <f>+R_2014_04_saskaitos!O55</f>
        <v>1030998.0800000001</v>
      </c>
      <c r="J55" s="112">
        <f>+R_2014_05_saskaitos!P55</f>
        <v>1032957.51</v>
      </c>
      <c r="K55" s="112">
        <f>+R_2014_06_saskaitos!R55</f>
        <v>988670.82000000007</v>
      </c>
      <c r="L55" s="112">
        <f>+R_2014_07_saskaitos!Q55</f>
        <v>983387.74</v>
      </c>
      <c r="M55" s="112">
        <f>+R_2014_08_saskaitos!Q55</f>
        <v>912655.11999999988</v>
      </c>
      <c r="N55" s="112">
        <f>+R_2014_09_saskaitos!Q54</f>
        <v>80728</v>
      </c>
      <c r="O55" s="112">
        <f>+R_2014_10_saskaitos!Q55</f>
        <v>1058999.5599999998</v>
      </c>
      <c r="P55" s="112">
        <f>+R_2014_11_saskaitos!Q55</f>
        <v>968441.31</v>
      </c>
      <c r="Q55" s="112">
        <f>+R_2014_12_saskaitos!Q55</f>
        <v>1022352.1499999999</v>
      </c>
      <c r="R55" s="112">
        <f t="shared" si="12"/>
        <v>11011778.980000002</v>
      </c>
      <c r="S55" s="112">
        <f t="shared" si="4"/>
        <v>10102549.522935782</v>
      </c>
      <c r="T55" s="112">
        <f t="shared" si="5"/>
        <v>909229.45706422068</v>
      </c>
    </row>
    <row r="56" spans="1:24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24" x14ac:dyDescent="0.25"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>
    <pageSetUpPr fitToPage="1"/>
  </sheetPr>
  <dimension ref="A1:T55"/>
  <sheetViews>
    <sheetView zoomScaleNormal="100" workbookViewId="0">
      <pane xSplit="4" ySplit="7" topLeftCell="K35" activePane="bottomRight" state="frozen"/>
      <selection pane="topRight" activeCell="E1" sqref="E1"/>
      <selection pane="bottomLeft" activeCell="A8" sqref="A8"/>
      <selection pane="bottomRight" activeCell="C3" sqref="C3"/>
    </sheetView>
  </sheetViews>
  <sheetFormatPr defaultColWidth="8.88671875" defaultRowHeight="13.2" outlineLevelCol="1" x14ac:dyDescent="0.25"/>
  <cols>
    <col min="1" max="1" width="11.88671875" style="1" customWidth="1"/>
    <col min="2" max="2" width="5" style="3" customWidth="1"/>
    <col min="3" max="3" width="41.33203125" style="1" customWidth="1"/>
    <col min="4" max="4" width="8.109375" style="4" customWidth="1"/>
    <col min="5" max="5" width="7.88671875" style="4" customWidth="1" outlineLevel="1"/>
    <col min="6" max="6" width="13" style="1" customWidth="1" outlineLevel="1"/>
    <col min="7" max="7" width="12.88671875" style="1" customWidth="1" outlineLevel="1"/>
    <col min="8" max="8" width="13.109375" style="1" customWidth="1" outlineLevel="1"/>
    <col min="9" max="10" width="12.33203125" style="1" bestFit="1" customWidth="1" outlineLevel="1"/>
    <col min="11" max="11" width="11.33203125" style="1" customWidth="1" outlineLevel="1"/>
    <col min="12" max="12" width="12.33203125" style="1" customWidth="1" outlineLevel="1"/>
    <col min="13" max="13" width="12.33203125" style="1" bestFit="1" customWidth="1" outlineLevel="1"/>
    <col min="14" max="14" width="14.109375" style="1" customWidth="1" outlineLevel="1"/>
    <col min="15" max="15" width="12.6640625" style="1" customWidth="1" outlineLevel="1"/>
    <col min="16" max="16" width="12.109375" style="1" customWidth="1" outlineLevel="1"/>
    <col min="17" max="17" width="11.33203125" style="1" customWidth="1"/>
    <col min="18" max="18" width="13.44140625" style="1" bestFit="1" customWidth="1"/>
    <col min="19" max="19" width="2.88671875" style="1" customWidth="1"/>
    <col min="20" max="20" width="12.33203125" style="1" bestFit="1" customWidth="1"/>
    <col min="21" max="16384" width="8.88671875" style="1"/>
  </cols>
  <sheetData>
    <row r="1" spans="1:20" ht="17.399999999999999" customHeight="1" x14ac:dyDescent="0.25">
      <c r="L1" s="2"/>
    </row>
    <row r="2" spans="1:20" ht="19.2" customHeight="1" x14ac:dyDescent="0.3">
      <c r="A2" s="40" t="s">
        <v>198</v>
      </c>
      <c r="P2" s="112"/>
      <c r="R2" s="2"/>
    </row>
    <row r="3" spans="1:20" ht="18" customHeight="1" x14ac:dyDescent="0.25">
      <c r="D3" s="3"/>
      <c r="E3" s="3"/>
      <c r="F3" s="2"/>
      <c r="G3" s="2"/>
      <c r="H3" s="2"/>
      <c r="J3" s="3"/>
      <c r="K3" s="3"/>
      <c r="L3" s="3"/>
      <c r="Q3" s="2"/>
      <c r="R3" s="151"/>
    </row>
    <row r="4" spans="1:20" ht="37.5" customHeight="1" x14ac:dyDescent="0.25">
      <c r="A4" s="81" t="s">
        <v>39</v>
      </c>
      <c r="B4" s="57" t="s">
        <v>37</v>
      </c>
      <c r="C4" s="20" t="s">
        <v>40</v>
      </c>
      <c r="D4" s="88" t="s">
        <v>38</v>
      </c>
      <c r="E4" s="146"/>
      <c r="F4" s="89" t="s">
        <v>154</v>
      </c>
      <c r="G4" s="89" t="s">
        <v>155</v>
      </c>
      <c r="H4" s="89" t="s">
        <v>156</v>
      </c>
      <c r="I4" s="89" t="s">
        <v>157</v>
      </c>
      <c r="J4" s="89" t="s">
        <v>158</v>
      </c>
      <c r="K4" s="89" t="s">
        <v>159</v>
      </c>
      <c r="L4" s="89" t="s">
        <v>160</v>
      </c>
      <c r="M4" s="89" t="s">
        <v>161</v>
      </c>
      <c r="N4" s="89" t="s">
        <v>162</v>
      </c>
      <c r="O4" s="89" t="s">
        <v>163</v>
      </c>
      <c r="P4" s="89" t="s">
        <v>164</v>
      </c>
      <c r="Q4" s="89" t="s">
        <v>165</v>
      </c>
      <c r="R4" s="32" t="s">
        <v>189</v>
      </c>
    </row>
    <row r="5" spans="1:20" ht="12" customHeight="1" x14ac:dyDescent="0.25">
      <c r="A5" s="70" t="s">
        <v>29</v>
      </c>
      <c r="B5" s="52" t="s">
        <v>36</v>
      </c>
      <c r="C5" s="9" t="s">
        <v>45</v>
      </c>
      <c r="D5" s="78"/>
      <c r="E5" s="108"/>
      <c r="F5" s="238">
        <f t="shared" ref="F5:Q5" si="0">+F6+F18+F44</f>
        <v>2283436.9999999995</v>
      </c>
      <c r="G5" s="82">
        <f t="shared" si="0"/>
        <v>2110897</v>
      </c>
      <c r="H5" s="82">
        <f t="shared" si="0"/>
        <v>2369413</v>
      </c>
      <c r="I5" s="82">
        <f t="shared" si="0"/>
        <v>2474889</v>
      </c>
      <c r="J5" s="82">
        <f t="shared" si="0"/>
        <v>2498583</v>
      </c>
      <c r="K5" s="82">
        <f t="shared" si="0"/>
        <v>2311559</v>
      </c>
      <c r="L5" s="82">
        <f t="shared" si="0"/>
        <v>2348426</v>
      </c>
      <c r="M5" s="82">
        <f t="shared" si="0"/>
        <v>2329209</v>
      </c>
      <c r="N5" s="100">
        <f t="shared" si="0"/>
        <v>2570132</v>
      </c>
      <c r="O5" s="100">
        <f t="shared" si="0"/>
        <v>2621667</v>
      </c>
      <c r="P5" s="100">
        <f t="shared" si="0"/>
        <v>2414429.5863636364</v>
      </c>
      <c r="Q5" s="100">
        <f t="shared" si="0"/>
        <v>2681538.2888329425</v>
      </c>
      <c r="R5" s="42">
        <f>+SUM(F5:Q5)</f>
        <v>29014179.87519658</v>
      </c>
      <c r="S5" s="71"/>
    </row>
    <row r="6" spans="1:20" ht="12" customHeight="1" x14ac:dyDescent="0.25">
      <c r="A6" s="70" t="s">
        <v>12</v>
      </c>
      <c r="B6" s="52" t="s">
        <v>30</v>
      </c>
      <c r="C6" s="9" t="s">
        <v>1</v>
      </c>
      <c r="D6" s="78"/>
      <c r="E6" s="108"/>
      <c r="F6" s="238">
        <f t="shared" ref="F6:Q6" si="1">+F7+F11</f>
        <v>2125220.9999999995</v>
      </c>
      <c r="G6" s="82">
        <f t="shared" si="1"/>
        <v>1971062</v>
      </c>
      <c r="H6" s="82">
        <f t="shared" si="1"/>
        <v>2218072</v>
      </c>
      <c r="I6" s="82">
        <f t="shared" si="1"/>
        <v>2327151</v>
      </c>
      <c r="J6" s="82">
        <f t="shared" si="1"/>
        <v>2354728</v>
      </c>
      <c r="K6" s="82">
        <f t="shared" si="1"/>
        <v>2180055</v>
      </c>
      <c r="L6" s="82">
        <f t="shared" si="1"/>
        <v>2229452</v>
      </c>
      <c r="M6" s="82">
        <f t="shared" si="1"/>
        <v>2198076</v>
      </c>
      <c r="N6" s="100">
        <f t="shared" si="1"/>
        <v>2411698</v>
      </c>
      <c r="O6" s="100">
        <f t="shared" si="1"/>
        <v>2467716</v>
      </c>
      <c r="P6" s="100">
        <f t="shared" si="1"/>
        <v>2269017.5863636364</v>
      </c>
      <c r="Q6" s="100">
        <f t="shared" si="1"/>
        <v>2534039.2887738636</v>
      </c>
      <c r="R6" s="42">
        <f>+SUM(F6:Q6)</f>
        <v>27286287.8751375</v>
      </c>
    </row>
    <row r="7" spans="1:20" ht="12" customHeight="1" x14ac:dyDescent="0.25">
      <c r="A7" s="70" t="s">
        <v>52</v>
      </c>
      <c r="B7" s="52" t="s">
        <v>31</v>
      </c>
      <c r="C7" s="8" t="s">
        <v>11</v>
      </c>
      <c r="D7" s="79"/>
      <c r="E7" s="79"/>
      <c r="F7" s="126">
        <f t="shared" ref="F7:R7" si="2">+SUM(F8:F10)</f>
        <v>603759</v>
      </c>
      <c r="G7" s="126">
        <f t="shared" si="2"/>
        <v>518903</v>
      </c>
      <c r="H7" s="126">
        <f t="shared" si="2"/>
        <v>584446</v>
      </c>
      <c r="I7" s="126">
        <f t="shared" si="2"/>
        <v>644162</v>
      </c>
      <c r="J7" s="126">
        <f t="shared" si="2"/>
        <v>673750</v>
      </c>
      <c r="K7" s="126">
        <f t="shared" si="2"/>
        <v>556650</v>
      </c>
      <c r="L7" s="126">
        <f t="shared" si="2"/>
        <v>631100</v>
      </c>
      <c r="M7" s="126">
        <f t="shared" si="2"/>
        <v>606451</v>
      </c>
      <c r="N7" s="126">
        <f t="shared" si="2"/>
        <v>625493</v>
      </c>
      <c r="O7" s="126">
        <f t="shared" si="2"/>
        <v>608101</v>
      </c>
      <c r="P7" s="126">
        <f t="shared" si="2"/>
        <v>522073</v>
      </c>
      <c r="Q7" s="126">
        <f t="shared" si="2"/>
        <v>630878</v>
      </c>
      <c r="R7" s="237">
        <f t="shared" si="2"/>
        <v>7205766</v>
      </c>
      <c r="S7" s="71"/>
    </row>
    <row r="8" spans="1:20" ht="12" customHeight="1" x14ac:dyDescent="0.25">
      <c r="A8" s="46" t="s">
        <v>13</v>
      </c>
      <c r="B8" s="53" t="s">
        <v>47</v>
      </c>
      <c r="C8" s="37" t="s">
        <v>50</v>
      </c>
      <c r="D8" s="10">
        <v>3.5</v>
      </c>
      <c r="E8" s="29"/>
      <c r="F8" s="127">
        <f>+'R_2014_PAGAL_SASKAITAS (Lt)'!F8/'R_2014_PAGAL_SASKAITAS (Lt)'!$D8</f>
        <v>355606</v>
      </c>
      <c r="G8" s="127">
        <f>+'R_2014_PAGAL_SASKAITAS (Lt)'!G8/'R_2014_PAGAL_SASKAITAS (Lt)'!$D8</f>
        <v>301757</v>
      </c>
      <c r="H8" s="127">
        <f>+'R_2014_PAGAL_SASKAITAS (Lt)'!H8/'R_2014_PAGAL_SASKAITAS (Lt)'!$D8</f>
        <v>341886</v>
      </c>
      <c r="I8" s="127">
        <f>+'R_2014_PAGAL_SASKAITAS (Lt)'!I8/'R_2014_PAGAL_SASKAITAS (Lt)'!$D8</f>
        <v>346708</v>
      </c>
      <c r="J8" s="127">
        <f>+'R_2014_PAGAL_SASKAITAS (Lt)'!J8/'R_2014_PAGAL_SASKAITAS (Lt)'!$D8</f>
        <v>387242</v>
      </c>
      <c r="K8" s="127">
        <f>+'R_2014_PAGAL_SASKAITAS (Lt)'!K8/'R_2014_PAGAL_SASKAITAS (Lt)'!$D8</f>
        <v>304585</v>
      </c>
      <c r="L8" s="127">
        <f>+'R_2014_PAGAL_SASKAITAS (Lt)'!L8/'R_2014_PAGAL_SASKAITAS (Lt)'!$D8</f>
        <v>375270</v>
      </c>
      <c r="M8" s="127">
        <f>+'R_2014_PAGAL_SASKAITAS (Lt)'!M8/'R_2014_PAGAL_SASKAITAS (Lt)'!$D8</f>
        <v>353612</v>
      </c>
      <c r="N8" s="127">
        <f>+'R_2014_PAGAL_SASKAITAS (Lt)'!N8/'R_2014_PAGAL_SASKAITAS (Lt)'!$D8</f>
        <v>379116</v>
      </c>
      <c r="O8" s="127">
        <f>+'R_2014_PAGAL_SASKAITAS (Lt)'!O8/'R_2014_PAGAL_SASKAITAS (Lt)'!$D8</f>
        <v>353272</v>
      </c>
      <c r="P8" s="127">
        <f>+'R_2014_PAGAL_SASKAITAS (Lt)'!P8/'R_2014_PAGAL_SASKAITAS (Lt)'!$D8</f>
        <v>300738</v>
      </c>
      <c r="Q8" s="127">
        <f>+'R_2014_PAGAL_SASKAITAS (Lt)'!Q8/'R_2014_PAGAL_SASKAITAS (Lt)'!$D8</f>
        <v>355538</v>
      </c>
      <c r="R8" s="5">
        <f t="shared" ref="R8:R10" si="3">+SUM(F8:Q8)</f>
        <v>4155330</v>
      </c>
      <c r="S8" s="71"/>
    </row>
    <row r="9" spans="1:20" ht="12" customHeight="1" x14ac:dyDescent="0.25">
      <c r="A9" s="54" t="s">
        <v>49</v>
      </c>
      <c r="B9" s="55" t="s">
        <v>48</v>
      </c>
      <c r="C9" s="27" t="s">
        <v>51</v>
      </c>
      <c r="D9" s="38">
        <f t="shared" ref="D9" si="4">+D8*0.5</f>
        <v>1.75</v>
      </c>
      <c r="E9" s="154"/>
      <c r="F9" s="127">
        <f>+'R_2014_PAGAL_SASKAITAS (Lt)'!F9/'R_2014_PAGAL_SASKAITAS (Lt)'!$D9</f>
        <v>242289</v>
      </c>
      <c r="G9" s="127">
        <f>+'R_2014_PAGAL_SASKAITAS (Lt)'!G9/'R_2014_PAGAL_SASKAITAS (Lt)'!$D9</f>
        <v>213703</v>
      </c>
      <c r="H9" s="127">
        <f>+'R_2014_PAGAL_SASKAITAS (Lt)'!H9/'R_2014_PAGAL_SASKAITAS (Lt)'!$D9</f>
        <v>236051</v>
      </c>
      <c r="I9" s="127">
        <f>+'R_2014_PAGAL_SASKAITAS (Lt)'!I9/'R_2014_PAGAL_SASKAITAS (Lt)'!$D9</f>
        <v>274754</v>
      </c>
      <c r="J9" s="127">
        <f>+'R_2014_PAGAL_SASKAITAS (Lt)'!J9/'R_2014_PAGAL_SASKAITAS (Lt)'!$D9</f>
        <v>270604</v>
      </c>
      <c r="K9" s="127">
        <f>+'R_2014_PAGAL_SASKAITAS (Lt)'!K9/'R_2014_PAGAL_SASKAITAS (Lt)'!$D9</f>
        <v>242308</v>
      </c>
      <c r="L9" s="127">
        <f>+'R_2014_PAGAL_SASKAITAS (Lt)'!L9/'R_2014_PAGAL_SASKAITAS (Lt)'!$D9</f>
        <v>249003</v>
      </c>
      <c r="M9" s="127">
        <f>+'R_2014_PAGAL_SASKAITAS (Lt)'!M9/'R_2014_PAGAL_SASKAITAS (Lt)'!$D9</f>
        <v>246686</v>
      </c>
      <c r="N9" s="127">
        <f>+'R_2014_PAGAL_SASKAITAS (Lt)'!N9/'R_2014_PAGAL_SASKAITAS (Lt)'!$D9</f>
        <v>240248</v>
      </c>
      <c r="O9" s="127">
        <f>+'R_2014_PAGAL_SASKAITAS (Lt)'!O9/'R_2014_PAGAL_SASKAITAS (Lt)'!$D9</f>
        <v>248533</v>
      </c>
      <c r="P9" s="127">
        <f>+'R_2014_PAGAL_SASKAITAS (Lt)'!P9/'R_2014_PAGAL_SASKAITAS (Lt)'!$D9</f>
        <v>214953</v>
      </c>
      <c r="Q9" s="127">
        <f>+'R_2014_PAGAL_SASKAITAS (Lt)'!Q9/'R_2014_PAGAL_SASKAITAS (Lt)'!$D9</f>
        <v>248946</v>
      </c>
      <c r="R9" s="5">
        <f t="shared" si="3"/>
        <v>2928078</v>
      </c>
      <c r="S9" s="71"/>
      <c r="T9" s="2"/>
    </row>
    <row r="10" spans="1:20" ht="12" customHeight="1" x14ac:dyDescent="0.25">
      <c r="A10" s="47" t="s">
        <v>185</v>
      </c>
      <c r="B10" s="56" t="s">
        <v>186</v>
      </c>
      <c r="C10" s="222" t="s">
        <v>187</v>
      </c>
      <c r="D10" s="50">
        <v>0.7</v>
      </c>
      <c r="E10" s="133"/>
      <c r="F10" s="127">
        <f>+'R_2014_PAGAL_SASKAITAS (Lt)'!F10/'R_2014_PAGAL_SASKAITAS (Lt)'!$D10</f>
        <v>5864.0000000000009</v>
      </c>
      <c r="G10" s="127">
        <f>+'R_2014_PAGAL_SASKAITAS (Lt)'!G10/'R_2014_PAGAL_SASKAITAS (Lt)'!$D10</f>
        <v>3443</v>
      </c>
      <c r="H10" s="127">
        <f>+'R_2014_PAGAL_SASKAITAS (Lt)'!H10/'R_2014_PAGAL_SASKAITAS (Lt)'!$D10</f>
        <v>6509.0000000000009</v>
      </c>
      <c r="I10" s="127">
        <f>+'R_2014_PAGAL_SASKAITAS (Lt)'!I10/'R_2014_PAGAL_SASKAITAS (Lt)'!$D10</f>
        <v>22700</v>
      </c>
      <c r="J10" s="127">
        <f>+'R_2014_PAGAL_SASKAITAS (Lt)'!J10/'R_2014_PAGAL_SASKAITAS (Lt)'!$D10</f>
        <v>15904</v>
      </c>
      <c r="K10" s="127">
        <f>+'R_2014_PAGAL_SASKAITAS (Lt)'!K10/'R_2014_PAGAL_SASKAITAS (Lt)'!$D10</f>
        <v>9757</v>
      </c>
      <c r="L10" s="127">
        <f>+'R_2014_PAGAL_SASKAITAS (Lt)'!L10/'R_2014_PAGAL_SASKAITAS (Lt)'!$D10</f>
        <v>6827</v>
      </c>
      <c r="M10" s="127">
        <f>+'R_2014_PAGAL_SASKAITAS (Lt)'!M10/'R_2014_PAGAL_SASKAITAS (Lt)'!$D10</f>
        <v>6153.0000000000009</v>
      </c>
      <c r="N10" s="127">
        <f>+'R_2014_PAGAL_SASKAITAS (Lt)'!N10/'R_2014_PAGAL_SASKAITAS (Lt)'!$D10</f>
        <v>6129.0000000000009</v>
      </c>
      <c r="O10" s="127">
        <f>+'R_2014_PAGAL_SASKAITAS (Lt)'!O10/'R_2014_PAGAL_SASKAITAS (Lt)'!$D10</f>
        <v>6296</v>
      </c>
      <c r="P10" s="127">
        <f>+'R_2014_PAGAL_SASKAITAS (Lt)'!P10/'R_2014_PAGAL_SASKAITAS (Lt)'!$D10</f>
        <v>6382</v>
      </c>
      <c r="Q10" s="127">
        <f>+'R_2014_PAGAL_SASKAITAS (Lt)'!Q10/'R_2014_PAGAL_SASKAITAS (Lt)'!$D10</f>
        <v>26394</v>
      </c>
      <c r="R10" s="5">
        <f t="shared" si="3"/>
        <v>122358</v>
      </c>
      <c r="S10" s="2"/>
    </row>
    <row r="11" spans="1:20" ht="12" customHeight="1" x14ac:dyDescent="0.25">
      <c r="A11" s="70" t="s">
        <v>14</v>
      </c>
      <c r="B11" s="52" t="s">
        <v>32</v>
      </c>
      <c r="C11" s="8" t="s">
        <v>46</v>
      </c>
      <c r="D11" s="79"/>
      <c r="E11" s="109"/>
      <c r="F11" s="129">
        <f t="shared" ref="F11:R11" si="5">+SUM(F12:F17)</f>
        <v>1521461.9999999995</v>
      </c>
      <c r="G11" s="84">
        <f t="shared" si="5"/>
        <v>1452159</v>
      </c>
      <c r="H11" s="84">
        <f t="shared" si="5"/>
        <v>1633626</v>
      </c>
      <c r="I11" s="84">
        <f t="shared" si="5"/>
        <v>1682989</v>
      </c>
      <c r="J11" s="84">
        <f t="shared" si="5"/>
        <v>1680977.9999999998</v>
      </c>
      <c r="K11" s="84">
        <f t="shared" si="5"/>
        <v>1623404.9999999998</v>
      </c>
      <c r="L11" s="84">
        <f t="shared" si="5"/>
        <v>1598352</v>
      </c>
      <c r="M11" s="74">
        <f t="shared" si="5"/>
        <v>1591625</v>
      </c>
      <c r="N11" s="101">
        <f t="shared" si="5"/>
        <v>1786205.0000000002</v>
      </c>
      <c r="O11" s="101">
        <f t="shared" si="5"/>
        <v>1859614.9999999998</v>
      </c>
      <c r="P11" s="101">
        <f t="shared" si="5"/>
        <v>1746944.5863636364</v>
      </c>
      <c r="Q11" s="101">
        <f t="shared" si="5"/>
        <v>1903161.2887738633</v>
      </c>
      <c r="R11" s="43">
        <f t="shared" si="5"/>
        <v>20080521.8751375</v>
      </c>
      <c r="S11" s="209"/>
    </row>
    <row r="12" spans="1:20" x14ac:dyDescent="0.25">
      <c r="A12" s="58" t="s">
        <v>53</v>
      </c>
      <c r="B12" s="53" t="s">
        <v>145</v>
      </c>
      <c r="C12" s="59" t="s">
        <v>54</v>
      </c>
      <c r="D12" s="60">
        <v>2.2000000000000002</v>
      </c>
      <c r="E12" s="155"/>
      <c r="F12" s="127">
        <f>+'R_2014_PAGAL_SASKAITAS (Lt)'!F12/'R_2014_PAGAL_SASKAITAS (Lt)'!$D12</f>
        <v>1032080.9999999998</v>
      </c>
      <c r="G12" s="127">
        <f>+'R_2014_PAGAL_SASKAITAS (Lt)'!G12/'R_2014_PAGAL_SASKAITAS (Lt)'!$D12</f>
        <v>966068</v>
      </c>
      <c r="H12" s="127">
        <f>+'R_2014_PAGAL_SASKAITAS (Lt)'!H12/'R_2014_PAGAL_SASKAITAS (Lt)'!$D12</f>
        <v>1069821</v>
      </c>
      <c r="I12" s="127">
        <f>+'R_2014_PAGAL_SASKAITAS (Lt)'!I12/'R_2014_PAGAL_SASKAITAS (Lt)'!$D12</f>
        <v>1095445</v>
      </c>
      <c r="J12" s="127">
        <f>+'R_2014_PAGAL_SASKAITAS (Lt)'!J12/'R_2014_PAGAL_SASKAITAS (Lt)'!$D12</f>
        <v>1106133.9999999998</v>
      </c>
      <c r="K12" s="127">
        <f>+'R_2014_PAGAL_SASKAITAS (Lt)'!K12/'R_2014_PAGAL_SASKAITAS (Lt)'!$D12</f>
        <v>1058117.9999999998</v>
      </c>
      <c r="L12" s="127">
        <f>+'R_2014_PAGAL_SASKAITAS (Lt)'!L12/'R_2014_PAGAL_SASKAITAS (Lt)'!$D12</f>
        <v>1055426</v>
      </c>
      <c r="M12" s="127">
        <f>+'R_2014_PAGAL_SASKAITAS (Lt)'!M12/'R_2014_PAGAL_SASKAITAS (Lt)'!$D12</f>
        <v>1055665</v>
      </c>
      <c r="N12" s="127">
        <f>+'R_2014_PAGAL_SASKAITAS (Lt)'!N12/'R_2014_PAGAL_SASKAITAS (Lt)'!$D12</f>
        <v>1182367.0000000002</v>
      </c>
      <c r="O12" s="127">
        <f>+'R_2014_PAGAL_SASKAITAS (Lt)'!O12/'R_2014_PAGAL_SASKAITAS (Lt)'!$D12</f>
        <v>1224251.9999999998</v>
      </c>
      <c r="P12" s="127">
        <f>+'R_2014_PAGAL_SASKAITAS (Lt)'!P12/'R_2014_PAGAL_SASKAITAS (Lt)'!$D12</f>
        <v>1144136.290909091</v>
      </c>
      <c r="Q12" s="127">
        <f>+'R_2014_PAGAL_SASKAITAS (Lt)'!Q12/'R_2014_PAGAL_SASKAITAS (Lt)'!$D12</f>
        <v>1221077.709090909</v>
      </c>
      <c r="R12" s="5">
        <f t="shared" ref="R12:R53" si="6">+SUM(F12:Q12)</f>
        <v>13210591</v>
      </c>
      <c r="S12" s="212"/>
    </row>
    <row r="13" spans="1:20" x14ac:dyDescent="0.25">
      <c r="A13" s="58" t="s">
        <v>55</v>
      </c>
      <c r="B13" s="53" t="s">
        <v>139</v>
      </c>
      <c r="C13" s="59" t="s">
        <v>92</v>
      </c>
      <c r="D13" s="60">
        <v>1.1000000000000001</v>
      </c>
      <c r="E13" s="155"/>
      <c r="F13" s="127">
        <f>+'R_2014_PAGAL_SASKAITAS (Lt)'!F13/'R_2014_PAGAL_SASKAITAS (Lt)'!$D13</f>
        <v>417813.99999999988</v>
      </c>
      <c r="G13" s="127">
        <f>+'R_2014_PAGAL_SASKAITAS (Lt)'!G13/'R_2014_PAGAL_SASKAITAS (Lt)'!$D13</f>
        <v>419970.99999999994</v>
      </c>
      <c r="H13" s="127">
        <f>+'R_2014_PAGAL_SASKAITAS (Lt)'!H13/'R_2014_PAGAL_SASKAITAS (Lt)'!$D13</f>
        <v>489218.99999999988</v>
      </c>
      <c r="I13" s="127">
        <f>+'R_2014_PAGAL_SASKAITAS (Lt)'!I13/'R_2014_PAGAL_SASKAITAS (Lt)'!$D13</f>
        <v>508079.99999999994</v>
      </c>
      <c r="J13" s="127">
        <f>+'R_2014_PAGAL_SASKAITAS (Lt)'!J13/'R_2014_PAGAL_SASKAITAS (Lt)'!$D13</f>
        <v>494370.00000000006</v>
      </c>
      <c r="K13" s="127">
        <f>+'R_2014_PAGAL_SASKAITAS (Lt)'!K13/'R_2014_PAGAL_SASKAITAS (Lt)'!$D13</f>
        <v>484677</v>
      </c>
      <c r="L13" s="127">
        <f>+'R_2014_PAGAL_SASKAITAS (Lt)'!L13/'R_2014_PAGAL_SASKAITAS (Lt)'!$D13</f>
        <v>466519</v>
      </c>
      <c r="M13" s="127">
        <f>+'R_2014_PAGAL_SASKAITAS (Lt)'!M13/'R_2014_PAGAL_SASKAITAS (Lt)'!$D13</f>
        <v>454032</v>
      </c>
      <c r="N13" s="127">
        <f>+'R_2014_PAGAL_SASKAITAS (Lt)'!N13/'R_2014_PAGAL_SASKAITAS (Lt)'!$D13</f>
        <v>513979</v>
      </c>
      <c r="O13" s="127">
        <f>+'R_2014_PAGAL_SASKAITAS (Lt)'!O13/'R_2014_PAGAL_SASKAITAS (Lt)'!$D13</f>
        <v>544409</v>
      </c>
      <c r="P13" s="127">
        <f>+'R_2014_PAGAL_SASKAITAS (Lt)'!P13/'R_2014_PAGAL_SASKAITAS (Lt)'!$D13</f>
        <v>517803.99999999988</v>
      </c>
      <c r="Q13" s="127">
        <f>+'R_2014_PAGAL_SASKAITAS (Lt)'!Q13/'R_2014_PAGAL_SASKAITAS (Lt)'!$D13</f>
        <v>595245.99999999977</v>
      </c>
      <c r="R13" s="5">
        <f t="shared" si="6"/>
        <v>5906120</v>
      </c>
      <c r="S13" s="71"/>
    </row>
    <row r="14" spans="1:20" x14ac:dyDescent="0.25">
      <c r="A14" s="58" t="s">
        <v>56</v>
      </c>
      <c r="B14" s="53" t="s">
        <v>140</v>
      </c>
      <c r="C14" s="59" t="s">
        <v>93</v>
      </c>
      <c r="D14" s="62">
        <v>0.44</v>
      </c>
      <c r="E14" s="156"/>
      <c r="F14" s="127">
        <f>+'R_2014_PAGAL_SASKAITAS (Lt)'!F14/'R_2014_PAGAL_SASKAITAS (Lt)'!$D14</f>
        <v>13007.999999999998</v>
      </c>
      <c r="G14" s="127">
        <f>+'R_2014_PAGAL_SASKAITAS (Lt)'!G14/'R_2014_PAGAL_SASKAITAS (Lt)'!$D14</f>
        <v>12467.000000000002</v>
      </c>
      <c r="H14" s="127">
        <f>+'R_2014_PAGAL_SASKAITAS (Lt)'!H14/'R_2014_PAGAL_SASKAITAS (Lt)'!$D14</f>
        <v>15643.000000000002</v>
      </c>
      <c r="I14" s="127">
        <f>+'R_2014_PAGAL_SASKAITAS (Lt)'!I14/'R_2014_PAGAL_SASKAITAS (Lt)'!$D14</f>
        <v>15703.000000000002</v>
      </c>
      <c r="J14" s="127">
        <f>+'R_2014_PAGAL_SASKAITAS (Lt)'!J14/'R_2014_PAGAL_SASKAITAS (Lt)'!$D14</f>
        <v>15405</v>
      </c>
      <c r="K14" s="127">
        <f>+'R_2014_PAGAL_SASKAITAS (Lt)'!K14/'R_2014_PAGAL_SASKAITAS (Lt)'!$D14</f>
        <v>16115</v>
      </c>
      <c r="L14" s="127">
        <f>+'R_2014_PAGAL_SASKAITAS (Lt)'!L14/'R_2014_PAGAL_SASKAITAS (Lt)'!$D14</f>
        <v>14360</v>
      </c>
      <c r="M14" s="127">
        <f>+'R_2014_PAGAL_SASKAITAS (Lt)'!M14/'R_2014_PAGAL_SASKAITAS (Lt)'!$D14</f>
        <v>14613</v>
      </c>
      <c r="N14" s="127">
        <f>+'R_2014_PAGAL_SASKAITAS (Lt)'!N14/'R_2014_PAGAL_SASKAITAS (Lt)'!$D14</f>
        <v>18037</v>
      </c>
      <c r="O14" s="127">
        <f>+'R_2014_PAGAL_SASKAITAS (Lt)'!O14/'R_2014_PAGAL_SASKAITAS (Lt)'!$D14</f>
        <v>16879.000000000004</v>
      </c>
      <c r="P14" s="127">
        <f>+'R_2014_PAGAL_SASKAITAS (Lt)'!P14/'R_2014_PAGAL_SASKAITAS (Lt)'!$D14</f>
        <v>15656.295454545452</v>
      </c>
      <c r="Q14" s="127">
        <f>+'R_2014_PAGAL_SASKAITAS (Lt)'!Q14/'R_2014_PAGAL_SASKAITAS (Lt)'!$D14</f>
        <v>17944.704545454544</v>
      </c>
      <c r="R14" s="5">
        <f t="shared" si="6"/>
        <v>185831</v>
      </c>
      <c r="S14" s="71"/>
    </row>
    <row r="15" spans="1:20" x14ac:dyDescent="0.25">
      <c r="A15" s="58" t="s">
        <v>57</v>
      </c>
      <c r="B15" s="53" t="s">
        <v>146</v>
      </c>
      <c r="C15" s="59" t="s">
        <v>58</v>
      </c>
      <c r="D15" s="62">
        <v>3.2</v>
      </c>
      <c r="E15" s="156"/>
      <c r="F15" s="127">
        <f>+'R_2014_PAGAL_SASKAITAS (Lt)'!F15/'R_2014_PAGAL_SASKAITAS (Lt)'!$D15</f>
        <v>46640</v>
      </c>
      <c r="G15" s="127">
        <f>+'R_2014_PAGAL_SASKAITAS (Lt)'!G15/'R_2014_PAGAL_SASKAITAS (Lt)'!$D15</f>
        <v>42394</v>
      </c>
      <c r="H15" s="127">
        <f>+'R_2014_PAGAL_SASKAITAS (Lt)'!H15/'R_2014_PAGAL_SASKAITAS (Lt)'!$D15</f>
        <v>45556.999999999993</v>
      </c>
      <c r="I15" s="127">
        <f>+'R_2014_PAGAL_SASKAITAS (Lt)'!I15/'R_2014_PAGAL_SASKAITAS (Lt)'!$D15</f>
        <v>48683</v>
      </c>
      <c r="J15" s="127">
        <f>+'R_2014_PAGAL_SASKAITAS (Lt)'!J15/'R_2014_PAGAL_SASKAITAS (Lt)'!$D15</f>
        <v>49364.999999999978</v>
      </c>
      <c r="K15" s="127">
        <f>+'R_2014_PAGAL_SASKAITAS (Lt)'!K15/'R_2014_PAGAL_SASKAITAS (Lt)'!$D15</f>
        <v>48689.999999999985</v>
      </c>
      <c r="L15" s="127">
        <f>+'R_2014_PAGAL_SASKAITAS (Lt)'!L15/'R_2014_PAGAL_SASKAITAS (Lt)'!$D15</f>
        <v>47056.999999999993</v>
      </c>
      <c r="M15" s="127">
        <f>+'R_2014_PAGAL_SASKAITAS (Lt)'!M15/'R_2014_PAGAL_SASKAITAS (Lt)'!$D15</f>
        <v>51666</v>
      </c>
      <c r="N15" s="127">
        <f>+'R_2014_PAGAL_SASKAITAS (Lt)'!N15/'R_2014_PAGAL_SASKAITAS (Lt)'!$D15</f>
        <v>55311.999999999985</v>
      </c>
      <c r="O15" s="127">
        <f>+'R_2014_PAGAL_SASKAITAS (Lt)'!O15/'R_2014_PAGAL_SASKAITAS (Lt)'!$D15</f>
        <v>57176</v>
      </c>
      <c r="P15" s="127">
        <f>+'R_2014_PAGAL_SASKAITAS (Lt)'!P15/'R_2014_PAGAL_SASKAITAS (Lt)'!$D15</f>
        <v>54078.000000000007</v>
      </c>
      <c r="Q15" s="127">
        <f>+'R_2014_PAGAL_SASKAITAS (Lt)'!Q15/'R_2014_PAGAL_SASKAITAS (Lt)'!$D15</f>
        <v>54196.875</v>
      </c>
      <c r="R15" s="5">
        <f t="shared" si="6"/>
        <v>600814.875</v>
      </c>
      <c r="S15" s="71"/>
    </row>
    <row r="16" spans="1:20" x14ac:dyDescent="0.25">
      <c r="A16" s="58" t="s">
        <v>59</v>
      </c>
      <c r="B16" s="53" t="s">
        <v>147</v>
      </c>
      <c r="C16" s="59" t="s">
        <v>94</v>
      </c>
      <c r="D16" s="62">
        <v>1.6</v>
      </c>
      <c r="E16" s="156"/>
      <c r="F16" s="127">
        <f>+'R_2014_PAGAL_SASKAITAS (Lt)'!F16/'R_2014_PAGAL_SASKAITAS (Lt)'!$D16</f>
        <v>11375.000000000002</v>
      </c>
      <c r="G16" s="127">
        <f>+'R_2014_PAGAL_SASKAITAS (Lt)'!G16/'R_2014_PAGAL_SASKAITAS (Lt)'!$D16</f>
        <v>10672</v>
      </c>
      <c r="H16" s="127">
        <f>+'R_2014_PAGAL_SASKAITAS (Lt)'!H16/'R_2014_PAGAL_SASKAITAS (Lt)'!$D16</f>
        <v>12689</v>
      </c>
      <c r="I16" s="127">
        <f>+'R_2014_PAGAL_SASKAITAS (Lt)'!I16/'R_2014_PAGAL_SASKAITAS (Lt)'!$D16</f>
        <v>14353.000000000002</v>
      </c>
      <c r="J16" s="127">
        <f>+'R_2014_PAGAL_SASKAITAS (Lt)'!J16/'R_2014_PAGAL_SASKAITAS (Lt)'!$D16</f>
        <v>14983.999999999998</v>
      </c>
      <c r="K16" s="127">
        <f>+'R_2014_PAGAL_SASKAITAS (Lt)'!K16/'R_2014_PAGAL_SASKAITAS (Lt)'!$D16</f>
        <v>15075.999999999996</v>
      </c>
      <c r="L16" s="127">
        <f>+'R_2014_PAGAL_SASKAITAS (Lt)'!L16/'R_2014_PAGAL_SASKAITAS (Lt)'!$D16</f>
        <v>14253.000000000004</v>
      </c>
      <c r="M16" s="127">
        <f>+'R_2014_PAGAL_SASKAITAS (Lt)'!M16/'R_2014_PAGAL_SASKAITAS (Lt)'!$D16</f>
        <v>14933.999999999998</v>
      </c>
      <c r="N16" s="127">
        <f>+'R_2014_PAGAL_SASKAITAS (Lt)'!N16/'R_2014_PAGAL_SASKAITAS (Lt)'!$D16</f>
        <v>15637.999999999998</v>
      </c>
      <c r="O16" s="127">
        <f>+'R_2014_PAGAL_SASKAITAS (Lt)'!O16/'R_2014_PAGAL_SASKAITAS (Lt)'!$D16</f>
        <v>15986.999999999995</v>
      </c>
      <c r="P16" s="127">
        <f>+'R_2014_PAGAL_SASKAITAS (Lt)'!P16/'R_2014_PAGAL_SASKAITAS (Lt)'!$D16</f>
        <v>14361</v>
      </c>
      <c r="Q16" s="127">
        <f>+'R_2014_PAGAL_SASKAITAS (Lt)'!Q16/'R_2014_PAGAL_SASKAITAS (Lt)'!$D16</f>
        <v>13635.999999999998</v>
      </c>
      <c r="R16" s="5">
        <f t="shared" si="6"/>
        <v>167958</v>
      </c>
      <c r="S16" s="71"/>
    </row>
    <row r="17" spans="1:19" x14ac:dyDescent="0.25">
      <c r="A17" s="58" t="s">
        <v>60</v>
      </c>
      <c r="B17" s="53" t="s">
        <v>191</v>
      </c>
      <c r="C17" s="63" t="s">
        <v>95</v>
      </c>
      <c r="D17" s="63">
        <v>0.64</v>
      </c>
      <c r="E17" s="157"/>
      <c r="F17" s="127">
        <f>+'R_2014_PAGAL_SASKAITAS (Lt)'!F17/'R_2014_PAGAL_SASKAITAS (Lt)'!$D17</f>
        <v>543.99999999999989</v>
      </c>
      <c r="G17" s="127">
        <f>+'R_2014_PAGAL_SASKAITAS (Lt)'!G17/'R_2014_PAGAL_SASKAITAS (Lt)'!$D17</f>
        <v>586.99999999999989</v>
      </c>
      <c r="H17" s="127">
        <f>+'R_2014_PAGAL_SASKAITAS (Lt)'!H17/'R_2014_PAGAL_SASKAITAS (Lt)'!$D17</f>
        <v>697</v>
      </c>
      <c r="I17" s="127">
        <f>+'R_2014_PAGAL_SASKAITAS (Lt)'!I17/'R_2014_PAGAL_SASKAITAS (Lt)'!$D17</f>
        <v>725.00000000000011</v>
      </c>
      <c r="J17" s="127">
        <f>+'R_2014_PAGAL_SASKAITAS (Lt)'!J17/'R_2014_PAGAL_SASKAITAS (Lt)'!$D17</f>
        <v>720.00000000000011</v>
      </c>
      <c r="K17" s="127">
        <f>+'R_2014_PAGAL_SASKAITAS (Lt)'!K17/'R_2014_PAGAL_SASKAITAS (Lt)'!$D17</f>
        <v>729</v>
      </c>
      <c r="L17" s="127">
        <f>+'R_2014_PAGAL_SASKAITAS (Lt)'!L17/'R_2014_PAGAL_SASKAITAS (Lt)'!$D17</f>
        <v>736.99999999999989</v>
      </c>
      <c r="M17" s="127">
        <f>+'R_2014_PAGAL_SASKAITAS (Lt)'!M17/'R_2014_PAGAL_SASKAITAS (Lt)'!$D17</f>
        <v>714.99999999999989</v>
      </c>
      <c r="N17" s="127">
        <f>+'R_2014_PAGAL_SASKAITAS (Lt)'!N17/'R_2014_PAGAL_SASKAITAS (Lt)'!$D17</f>
        <v>872</v>
      </c>
      <c r="O17" s="127">
        <f>+'R_2014_PAGAL_SASKAITAS (Lt)'!O17/'R_2014_PAGAL_SASKAITAS (Lt)'!$D17</f>
        <v>912.00000000000011</v>
      </c>
      <c r="P17" s="127">
        <f>+'R_2014_PAGAL_SASKAITAS (Lt)'!P17/'R_2014_PAGAL_SASKAITAS (Lt)'!$D17</f>
        <v>909</v>
      </c>
      <c r="Q17" s="127">
        <f>+'R_2014_PAGAL_SASKAITAS (Lt)'!Q17/'R_2014_PAGAL_SASKAITAS (Lt)'!$D17</f>
        <v>1060.0001374999999</v>
      </c>
      <c r="R17" s="5">
        <f t="shared" si="6"/>
        <v>9207.0001374999993</v>
      </c>
      <c r="S17" s="71"/>
    </row>
    <row r="18" spans="1:19" ht="12" customHeight="1" x14ac:dyDescent="0.25">
      <c r="A18" s="70" t="s">
        <v>15</v>
      </c>
      <c r="B18" s="52" t="s">
        <v>33</v>
      </c>
      <c r="C18" s="9" t="s">
        <v>141</v>
      </c>
      <c r="D18" s="78"/>
      <c r="E18" s="108"/>
      <c r="F18" s="118">
        <f>+SUM(F19:F43)</f>
        <v>134152</v>
      </c>
      <c r="G18" s="118">
        <f t="shared" ref="G18:Q18" si="7">+SUM(G19:G43)</f>
        <v>118377</v>
      </c>
      <c r="H18" s="118">
        <f t="shared" si="7"/>
        <v>125740</v>
      </c>
      <c r="I18" s="118">
        <f t="shared" si="7"/>
        <v>118761</v>
      </c>
      <c r="J18" s="118">
        <f t="shared" si="7"/>
        <v>113013</v>
      </c>
      <c r="K18" s="118">
        <f t="shared" si="7"/>
        <v>91715</v>
      </c>
      <c r="L18" s="118">
        <f t="shared" si="7"/>
        <v>81791</v>
      </c>
      <c r="M18" s="118">
        <f t="shared" si="7"/>
        <v>93078</v>
      </c>
      <c r="N18" s="118">
        <f t="shared" si="7"/>
        <v>127102</v>
      </c>
      <c r="O18" s="118">
        <f t="shared" si="7"/>
        <v>124367</v>
      </c>
      <c r="P18" s="118">
        <f t="shared" si="7"/>
        <v>119619</v>
      </c>
      <c r="Q18" s="118">
        <f t="shared" si="7"/>
        <v>115472</v>
      </c>
      <c r="R18" s="42">
        <f>+SUM(R19:R43)</f>
        <v>1363187</v>
      </c>
      <c r="S18" s="71"/>
    </row>
    <row r="19" spans="1:19" x14ac:dyDescent="0.25">
      <c r="A19" s="68" t="s">
        <v>61</v>
      </c>
      <c r="B19" s="69" t="s">
        <v>117</v>
      </c>
      <c r="C19" s="90" t="s">
        <v>62</v>
      </c>
      <c r="D19" s="91">
        <v>100</v>
      </c>
      <c r="E19" s="155"/>
      <c r="F19" s="127">
        <f>+'R_2014_PAGAL_SASKAITAS (Lt)'!F19/'R_2014_PAGAL_SASKAITAS (Lt)'!$D19</f>
        <v>36822</v>
      </c>
      <c r="G19" s="127">
        <f>+'R_2014_PAGAL_SASKAITAS (Lt)'!G19/'R_2014_PAGAL_SASKAITAS (Lt)'!$D19</f>
        <v>33567</v>
      </c>
      <c r="H19" s="127">
        <f>+'R_2014_PAGAL_SASKAITAS (Lt)'!H19/'R_2014_PAGAL_SASKAITAS (Lt)'!$D19</f>
        <v>36665</v>
      </c>
      <c r="I19" s="127">
        <f>+'R_2014_PAGAL_SASKAITAS (Lt)'!I19/'R_2014_PAGAL_SASKAITAS (Lt)'!$D19</f>
        <v>34893</v>
      </c>
      <c r="J19" s="127">
        <f>+'R_2014_PAGAL_SASKAITAS (Lt)'!J19/'R_2014_PAGAL_SASKAITAS (Lt)'!$D19</f>
        <v>34537</v>
      </c>
      <c r="K19" s="127">
        <f>+'R_2014_PAGAL_SASKAITAS (Lt)'!K19/'R_2014_PAGAL_SASKAITAS (Lt)'!$D19</f>
        <v>31412</v>
      </c>
      <c r="L19" s="127">
        <f>+'R_2014_PAGAL_SASKAITAS (Lt)'!L19/'R_2014_PAGAL_SASKAITAS (Lt)'!$D19</f>
        <v>30045</v>
      </c>
      <c r="M19" s="127">
        <f>+'R_2014_PAGAL_SASKAITAS (Lt)'!M19/'R_2014_PAGAL_SASKAITAS (Lt)'!$D19</f>
        <v>31624</v>
      </c>
      <c r="N19" s="127">
        <f>+'R_2014_PAGAL_SASKAITAS (Lt)'!N19/'R_2014_PAGAL_SASKAITAS (Lt)'!$D19</f>
        <v>35440</v>
      </c>
      <c r="O19" s="127">
        <f>+'R_2014_PAGAL_SASKAITAS (Lt)'!O19/'R_2014_PAGAL_SASKAITAS (Lt)'!$D19</f>
        <v>37219</v>
      </c>
      <c r="P19" s="127">
        <f>+'R_2014_PAGAL_SASKAITAS (Lt)'!P19/'R_2014_PAGAL_SASKAITAS (Lt)'!$D19</f>
        <v>35691</v>
      </c>
      <c r="Q19" s="127">
        <f>+'R_2014_PAGAL_SASKAITAS (Lt)'!Q19/'R_2014_PAGAL_SASKAITAS (Lt)'!$D19</f>
        <v>35975</v>
      </c>
      <c r="R19" s="5">
        <f t="shared" si="6"/>
        <v>413890</v>
      </c>
      <c r="S19" s="41"/>
    </row>
    <row r="20" spans="1:19" x14ac:dyDescent="0.25">
      <c r="A20" s="46" t="s">
        <v>63</v>
      </c>
      <c r="B20" s="53" t="s">
        <v>116</v>
      </c>
      <c r="C20" s="59" t="s">
        <v>64</v>
      </c>
      <c r="D20" s="60">
        <v>50</v>
      </c>
      <c r="E20" s="155"/>
      <c r="F20" s="127">
        <f>+'R_2014_PAGAL_SASKAITAS (Lt)'!F20/'R_2014_PAGAL_SASKAITAS (Lt)'!$D20</f>
        <v>17727</v>
      </c>
      <c r="G20" s="127">
        <f>+'R_2014_PAGAL_SASKAITAS (Lt)'!G20/'R_2014_PAGAL_SASKAITAS (Lt)'!$D20</f>
        <v>16558</v>
      </c>
      <c r="H20" s="127">
        <f>+'R_2014_PAGAL_SASKAITAS (Lt)'!H20/'R_2014_PAGAL_SASKAITAS (Lt)'!$D20</f>
        <v>18485</v>
      </c>
      <c r="I20" s="127">
        <f>+'R_2014_PAGAL_SASKAITAS (Lt)'!I20/'R_2014_PAGAL_SASKAITAS (Lt)'!$D20</f>
        <v>18427</v>
      </c>
      <c r="J20" s="127">
        <f>+'R_2014_PAGAL_SASKAITAS (Lt)'!J20/'R_2014_PAGAL_SASKAITAS (Lt)'!$D20</f>
        <v>18277</v>
      </c>
      <c r="K20" s="127">
        <f>+'R_2014_PAGAL_SASKAITAS (Lt)'!K20/'R_2014_PAGAL_SASKAITAS (Lt)'!$D20</f>
        <v>17162</v>
      </c>
      <c r="L20" s="127">
        <f>+'R_2014_PAGAL_SASKAITAS (Lt)'!L20/'R_2014_PAGAL_SASKAITAS (Lt)'!$D20</f>
        <v>16917</v>
      </c>
      <c r="M20" s="127">
        <f>+'R_2014_PAGAL_SASKAITAS (Lt)'!M20/'R_2014_PAGAL_SASKAITAS (Lt)'!$D20</f>
        <v>17181</v>
      </c>
      <c r="N20" s="127">
        <f>+'R_2014_PAGAL_SASKAITAS (Lt)'!N20/'R_2014_PAGAL_SASKAITAS (Lt)'!$D20</f>
        <v>18298</v>
      </c>
      <c r="O20" s="127">
        <f>+'R_2014_PAGAL_SASKAITAS (Lt)'!O20/'R_2014_PAGAL_SASKAITAS (Lt)'!$D20</f>
        <v>18884</v>
      </c>
      <c r="P20" s="127">
        <f>+'R_2014_PAGAL_SASKAITAS (Lt)'!P20/'R_2014_PAGAL_SASKAITAS (Lt)'!$D20</f>
        <v>17546</v>
      </c>
      <c r="Q20" s="127">
        <f>+'R_2014_PAGAL_SASKAITAS (Lt)'!Q20/'R_2014_PAGAL_SASKAITAS (Lt)'!$D20</f>
        <v>19167</v>
      </c>
      <c r="R20" s="5">
        <f t="shared" si="6"/>
        <v>214629</v>
      </c>
      <c r="S20" s="41"/>
    </row>
    <row r="21" spans="1:19" x14ac:dyDescent="0.25">
      <c r="A21" s="46" t="s">
        <v>65</v>
      </c>
      <c r="B21" s="53" t="s">
        <v>115</v>
      </c>
      <c r="C21" s="59" t="s">
        <v>66</v>
      </c>
      <c r="D21" s="60">
        <v>20</v>
      </c>
      <c r="E21" s="155"/>
      <c r="F21" s="127">
        <f>+'R_2014_PAGAL_SASKAITAS (Lt)'!F21/'R_2014_PAGAL_SASKAITAS (Lt)'!$D21</f>
        <v>56987</v>
      </c>
      <c r="G21" s="127">
        <f>+'R_2014_PAGAL_SASKAITAS (Lt)'!G21/'R_2014_PAGAL_SASKAITAS (Lt)'!$D21</f>
        <v>56625</v>
      </c>
      <c r="H21" s="127">
        <f>+'R_2014_PAGAL_SASKAITAS (Lt)'!H21/'R_2014_PAGAL_SASKAITAS (Lt)'!$D21</f>
        <v>59394</v>
      </c>
      <c r="I21" s="127">
        <f>+'R_2014_PAGAL_SASKAITAS (Lt)'!I21/'R_2014_PAGAL_SASKAITAS (Lt)'!$D21</f>
        <v>55833</v>
      </c>
      <c r="J21" s="127">
        <f>+'R_2014_PAGAL_SASKAITAS (Lt)'!J21/'R_2014_PAGAL_SASKAITAS (Lt)'!$D21</f>
        <v>51751</v>
      </c>
      <c r="K21" s="127">
        <f>+'R_2014_PAGAL_SASKAITAS (Lt)'!K21/'R_2014_PAGAL_SASKAITAS (Lt)'!$D21</f>
        <v>36095</v>
      </c>
      <c r="L21" s="127">
        <f>+'R_2014_PAGAL_SASKAITAS (Lt)'!L21/'R_2014_PAGAL_SASKAITAS (Lt)'!$D21</f>
        <v>28786</v>
      </c>
      <c r="M21" s="127">
        <f>+'R_2014_PAGAL_SASKAITAS (Lt)'!M21/'R_2014_PAGAL_SASKAITAS (Lt)'!$D21</f>
        <v>36601</v>
      </c>
      <c r="N21" s="127">
        <f>+'R_2014_PAGAL_SASKAITAS (Lt)'!N21/'R_2014_PAGAL_SASKAITAS (Lt)'!$D21</f>
        <v>62151</v>
      </c>
      <c r="O21" s="127">
        <f>+'R_2014_PAGAL_SASKAITAS (Lt)'!O21/'R_2014_PAGAL_SASKAITAS (Lt)'!$D21</f>
        <v>58217</v>
      </c>
      <c r="P21" s="127">
        <f>+'R_2014_PAGAL_SASKAITAS (Lt)'!P21/'R_2014_PAGAL_SASKAITAS (Lt)'!$D21</f>
        <v>56442</v>
      </c>
      <c r="Q21" s="127">
        <f>+'R_2014_PAGAL_SASKAITAS (Lt)'!Q21/'R_2014_PAGAL_SASKAITAS (Lt)'!$D21</f>
        <v>49712</v>
      </c>
      <c r="R21" s="5">
        <f t="shared" si="6"/>
        <v>608594</v>
      </c>
      <c r="S21" s="41"/>
    </row>
    <row r="22" spans="1:19" x14ac:dyDescent="0.25">
      <c r="A22" s="46" t="s">
        <v>67</v>
      </c>
      <c r="B22" s="53" t="s">
        <v>118</v>
      </c>
      <c r="C22" s="59" t="s">
        <v>68</v>
      </c>
      <c r="D22" s="60">
        <v>90</v>
      </c>
      <c r="E22" s="155"/>
      <c r="F22" s="127">
        <f>+'R_2014_PAGAL_SASKAITAS (Lt)'!F22/'R_2014_PAGAL_SASKAITAS (Lt)'!$D22</f>
        <v>7035</v>
      </c>
      <c r="G22" s="127">
        <f>+'R_2014_PAGAL_SASKAITAS (Lt)'!G22/'R_2014_PAGAL_SASKAITAS (Lt)'!$D22</f>
        <v>6560</v>
      </c>
      <c r="H22" s="127">
        <f>+'R_2014_PAGAL_SASKAITAS (Lt)'!H22/'R_2014_PAGAL_SASKAITAS (Lt)'!$D22</f>
        <v>6644</v>
      </c>
      <c r="I22" s="127">
        <f>+'R_2014_PAGAL_SASKAITAS (Lt)'!I22/'R_2014_PAGAL_SASKAITAS (Lt)'!$D22</f>
        <v>6211</v>
      </c>
      <c r="J22" s="127">
        <f>+'R_2014_PAGAL_SASKAITAS (Lt)'!J22/'R_2014_PAGAL_SASKAITAS (Lt)'!$D22</f>
        <v>5935</v>
      </c>
      <c r="K22" s="127">
        <f>+'R_2014_PAGAL_SASKAITAS (Lt)'!K22/'R_2014_PAGAL_SASKAITAS (Lt)'!$D22</f>
        <v>5336</v>
      </c>
      <c r="L22" s="127">
        <f>+'R_2014_PAGAL_SASKAITAS (Lt)'!L22/'R_2014_PAGAL_SASKAITAS (Lt)'!$D22</f>
        <v>4724</v>
      </c>
      <c r="M22" s="127">
        <f>+'R_2014_PAGAL_SASKAITAS (Lt)'!M22/'R_2014_PAGAL_SASKAITAS (Lt)'!$D22</f>
        <v>5430</v>
      </c>
      <c r="N22" s="127">
        <f>+'R_2014_PAGAL_SASKAITAS (Lt)'!N22/'R_2014_PAGAL_SASKAITAS (Lt)'!$D22</f>
        <v>6826</v>
      </c>
      <c r="O22" s="127">
        <f>+'R_2014_PAGAL_SASKAITAS (Lt)'!O22/'R_2014_PAGAL_SASKAITAS (Lt)'!$D22</f>
        <v>6700</v>
      </c>
      <c r="P22" s="127">
        <f>+'R_2014_PAGAL_SASKAITAS (Lt)'!P22/'R_2014_PAGAL_SASKAITAS (Lt)'!$D22</f>
        <v>6415</v>
      </c>
      <c r="Q22" s="127">
        <f>+'R_2014_PAGAL_SASKAITAS (Lt)'!Q22/'R_2014_PAGAL_SASKAITAS (Lt)'!$D22</f>
        <v>4700</v>
      </c>
      <c r="R22" s="5">
        <f t="shared" si="6"/>
        <v>72516</v>
      </c>
      <c r="S22" s="41"/>
    </row>
    <row r="23" spans="1:19" x14ac:dyDescent="0.25">
      <c r="A23" s="46" t="s">
        <v>69</v>
      </c>
      <c r="B23" s="53" t="s">
        <v>119</v>
      </c>
      <c r="C23" s="59" t="s">
        <v>70</v>
      </c>
      <c r="D23" s="60">
        <v>45</v>
      </c>
      <c r="E23" s="155"/>
      <c r="F23" s="127">
        <f>+'R_2014_PAGAL_SASKAITAS (Lt)'!F23/'R_2014_PAGAL_SASKAITAS (Lt)'!$D23</f>
        <v>689</v>
      </c>
      <c r="G23" s="127">
        <f>+'R_2014_PAGAL_SASKAITAS (Lt)'!G23/'R_2014_PAGAL_SASKAITAS (Lt)'!$D23</f>
        <v>669</v>
      </c>
      <c r="H23" s="127">
        <f>+'R_2014_PAGAL_SASKAITAS (Lt)'!H23/'R_2014_PAGAL_SASKAITAS (Lt)'!$D23</f>
        <v>685</v>
      </c>
      <c r="I23" s="127">
        <f>+'R_2014_PAGAL_SASKAITAS (Lt)'!I23/'R_2014_PAGAL_SASKAITAS (Lt)'!$D23</f>
        <v>650</v>
      </c>
      <c r="J23" s="127">
        <f>+'R_2014_PAGAL_SASKAITAS (Lt)'!J23/'R_2014_PAGAL_SASKAITAS (Lt)'!$D23</f>
        <v>642</v>
      </c>
      <c r="K23" s="127">
        <f>+'R_2014_PAGAL_SASKAITAS (Lt)'!K23/'R_2014_PAGAL_SASKAITAS (Lt)'!$D23</f>
        <v>557</v>
      </c>
      <c r="L23" s="127">
        <f>+'R_2014_PAGAL_SASKAITAS (Lt)'!L23/'R_2014_PAGAL_SASKAITAS (Lt)'!$D23</f>
        <v>526</v>
      </c>
      <c r="M23" s="127">
        <f>+'R_2014_PAGAL_SASKAITAS (Lt)'!M23/'R_2014_PAGAL_SASKAITAS (Lt)'!$D23</f>
        <v>576</v>
      </c>
      <c r="N23" s="127">
        <f>+'R_2014_PAGAL_SASKAITAS (Lt)'!N23/'R_2014_PAGAL_SASKAITAS (Lt)'!$D23</f>
        <v>763</v>
      </c>
      <c r="O23" s="127">
        <f>+'R_2014_PAGAL_SASKAITAS (Lt)'!O23/'R_2014_PAGAL_SASKAITAS (Lt)'!$D23</f>
        <v>749</v>
      </c>
      <c r="P23" s="127">
        <f>+'R_2014_PAGAL_SASKAITAS (Lt)'!P23/'R_2014_PAGAL_SASKAITAS (Lt)'!$D23</f>
        <v>687</v>
      </c>
      <c r="Q23" s="127">
        <f>+'R_2014_PAGAL_SASKAITAS (Lt)'!Q23/'R_2014_PAGAL_SASKAITAS (Lt)'!$D23</f>
        <v>592</v>
      </c>
      <c r="R23" s="5">
        <f t="shared" si="6"/>
        <v>7785</v>
      </c>
      <c r="S23" s="35"/>
    </row>
    <row r="24" spans="1:19" x14ac:dyDescent="0.25">
      <c r="A24" s="46" t="s">
        <v>71</v>
      </c>
      <c r="B24" s="53" t="s">
        <v>120</v>
      </c>
      <c r="C24" s="59" t="s">
        <v>72</v>
      </c>
      <c r="D24" s="60">
        <v>18</v>
      </c>
      <c r="E24" s="155"/>
      <c r="F24" s="127">
        <f>+'R_2014_PAGAL_SASKAITAS (Lt)'!F24/'R_2014_PAGAL_SASKAITAS (Lt)'!$D24</f>
        <v>1732</v>
      </c>
      <c r="G24" s="127">
        <f>+'R_2014_PAGAL_SASKAITAS (Lt)'!G24/'R_2014_PAGAL_SASKAITAS (Lt)'!$D24</f>
        <v>1622</v>
      </c>
      <c r="H24" s="127">
        <f>+'R_2014_PAGAL_SASKAITAS (Lt)'!H24/'R_2014_PAGAL_SASKAITAS (Lt)'!$D24</f>
        <v>1608</v>
      </c>
      <c r="I24" s="127">
        <f>+'R_2014_PAGAL_SASKAITAS (Lt)'!I24/'R_2014_PAGAL_SASKAITAS (Lt)'!$D24</f>
        <v>1412</v>
      </c>
      <c r="J24" s="127">
        <f>+'R_2014_PAGAL_SASKAITAS (Lt)'!J24/'R_2014_PAGAL_SASKAITAS (Lt)'!$D24</f>
        <v>953</v>
      </c>
      <c r="K24" s="127">
        <f>+'R_2014_PAGAL_SASKAITAS (Lt)'!K24/'R_2014_PAGAL_SASKAITAS (Lt)'!$D24</f>
        <v>307</v>
      </c>
      <c r="L24" s="127">
        <f>+'R_2014_PAGAL_SASKAITAS (Lt)'!L24/'R_2014_PAGAL_SASKAITAS (Lt)'!$D24</f>
        <v>142</v>
      </c>
      <c r="M24" s="127">
        <f>+'R_2014_PAGAL_SASKAITAS (Lt)'!M24/'R_2014_PAGAL_SASKAITAS (Lt)'!$D24</f>
        <v>574</v>
      </c>
      <c r="N24" s="127">
        <f>+'R_2014_PAGAL_SASKAITAS (Lt)'!N24/'R_2014_PAGAL_SASKAITAS (Lt)'!$D24</f>
        <v>2046</v>
      </c>
      <c r="O24" s="127">
        <f>+'R_2014_PAGAL_SASKAITAS (Lt)'!O24/'R_2014_PAGAL_SASKAITAS (Lt)'!$D24</f>
        <v>1713</v>
      </c>
      <c r="P24" s="127">
        <f>+'R_2014_PAGAL_SASKAITAS (Lt)'!P24/'R_2014_PAGAL_SASKAITAS (Lt)'!$D24</f>
        <v>1848</v>
      </c>
      <c r="Q24" s="127">
        <f>+'R_2014_PAGAL_SASKAITAS (Lt)'!Q24/'R_2014_PAGAL_SASKAITAS (Lt)'!$D24</f>
        <v>1022</v>
      </c>
      <c r="R24" s="5">
        <f t="shared" si="6"/>
        <v>14979</v>
      </c>
      <c r="S24" s="35"/>
    </row>
    <row r="25" spans="1:19" x14ac:dyDescent="0.25">
      <c r="A25" s="46" t="s">
        <v>73</v>
      </c>
      <c r="B25" s="53" t="s">
        <v>121</v>
      </c>
      <c r="C25" s="59" t="s">
        <v>96</v>
      </c>
      <c r="D25" s="60">
        <v>300</v>
      </c>
      <c r="E25" s="155"/>
      <c r="F25" s="127">
        <f>+'R_2014_PAGAL_SASKAITAS (Lt)'!F25/'R_2014_PAGAL_SASKAITAS (Lt)'!$D25</f>
        <v>29</v>
      </c>
      <c r="G25" s="127">
        <f>+'R_2014_PAGAL_SASKAITAS (Lt)'!G25/'R_2014_PAGAL_SASKAITAS (Lt)'!$D25</f>
        <v>28</v>
      </c>
      <c r="H25" s="127">
        <f>+'R_2014_PAGAL_SASKAITAS (Lt)'!H25/'R_2014_PAGAL_SASKAITAS (Lt)'!$D25</f>
        <v>32</v>
      </c>
      <c r="I25" s="127">
        <f>+'R_2014_PAGAL_SASKAITAS (Lt)'!I25/'R_2014_PAGAL_SASKAITAS (Lt)'!$D25</f>
        <v>39</v>
      </c>
      <c r="J25" s="127">
        <f>+'R_2014_PAGAL_SASKAITAS (Lt)'!J25/'R_2014_PAGAL_SASKAITAS (Lt)'!$D25</f>
        <v>25</v>
      </c>
      <c r="K25" s="127">
        <f>+'R_2014_PAGAL_SASKAITAS (Lt)'!K25/'R_2014_PAGAL_SASKAITAS (Lt)'!$D25</f>
        <v>40</v>
      </c>
      <c r="L25" s="127">
        <f>+'R_2014_PAGAL_SASKAITAS (Lt)'!L25/'R_2014_PAGAL_SASKAITAS (Lt)'!$D25</f>
        <v>27</v>
      </c>
      <c r="M25" s="127">
        <f>+'R_2014_PAGAL_SASKAITAS (Lt)'!M25/'R_2014_PAGAL_SASKAITAS (Lt)'!$D25</f>
        <v>32</v>
      </c>
      <c r="N25" s="127">
        <f>+'R_2014_PAGAL_SASKAITAS (Lt)'!N25/'R_2014_PAGAL_SASKAITAS (Lt)'!$D25</f>
        <v>60</v>
      </c>
      <c r="O25" s="127">
        <f>+'R_2014_PAGAL_SASKAITAS (Lt)'!O25/'R_2014_PAGAL_SASKAITAS (Lt)'!$D25</f>
        <v>37</v>
      </c>
      <c r="P25" s="127">
        <f>+'R_2014_PAGAL_SASKAITAS (Lt)'!P25/'R_2014_PAGAL_SASKAITAS (Lt)'!$D25</f>
        <v>43</v>
      </c>
      <c r="Q25" s="127">
        <f>+'R_2014_PAGAL_SASKAITAS (Lt)'!Q25/'R_2014_PAGAL_SASKAITAS (Lt)'!$D25</f>
        <v>120</v>
      </c>
      <c r="R25" s="5">
        <f t="shared" si="6"/>
        <v>512</v>
      </c>
      <c r="S25" s="35"/>
    </row>
    <row r="26" spans="1:19" x14ac:dyDescent="0.25">
      <c r="A26" s="46" t="s">
        <v>74</v>
      </c>
      <c r="B26" s="53" t="s">
        <v>122</v>
      </c>
      <c r="C26" s="59" t="s">
        <v>97</v>
      </c>
      <c r="D26" s="60">
        <v>150</v>
      </c>
      <c r="E26" s="155"/>
      <c r="F26" s="127">
        <f>+'R_2014_PAGAL_SASKAITAS (Lt)'!F26/'R_2014_PAGAL_SASKAITAS (Lt)'!$D26</f>
        <v>27</v>
      </c>
      <c r="G26" s="127">
        <f>+'R_2014_PAGAL_SASKAITAS (Lt)'!G26/'R_2014_PAGAL_SASKAITAS (Lt)'!$D26</f>
        <v>42</v>
      </c>
      <c r="H26" s="127">
        <f>+'R_2014_PAGAL_SASKAITAS (Lt)'!H26/'R_2014_PAGAL_SASKAITAS (Lt)'!$D26</f>
        <v>61</v>
      </c>
      <c r="I26" s="127">
        <f>+'R_2014_PAGAL_SASKAITAS (Lt)'!I26/'R_2014_PAGAL_SASKAITAS (Lt)'!$D26</f>
        <v>28</v>
      </c>
      <c r="J26" s="127">
        <f>+'R_2014_PAGAL_SASKAITAS (Lt)'!J26/'R_2014_PAGAL_SASKAITAS (Lt)'!$D26</f>
        <v>29</v>
      </c>
      <c r="K26" s="127">
        <f>+'R_2014_PAGAL_SASKAITAS (Lt)'!K26/'R_2014_PAGAL_SASKAITAS (Lt)'!$D26</f>
        <v>52</v>
      </c>
      <c r="L26" s="127">
        <f>+'R_2014_PAGAL_SASKAITAS (Lt)'!L26/'R_2014_PAGAL_SASKAITAS (Lt)'!$D26</f>
        <v>25</v>
      </c>
      <c r="M26" s="127">
        <f>+'R_2014_PAGAL_SASKAITAS (Lt)'!M26/'R_2014_PAGAL_SASKAITAS (Lt)'!$D26</f>
        <v>37</v>
      </c>
      <c r="N26" s="127">
        <f>+'R_2014_PAGAL_SASKAITAS (Lt)'!N26/'R_2014_PAGAL_SASKAITAS (Lt)'!$D26</f>
        <v>62</v>
      </c>
      <c r="O26" s="127">
        <f>+'R_2014_PAGAL_SASKAITAS (Lt)'!O26/'R_2014_PAGAL_SASKAITAS (Lt)'!$D26</f>
        <v>33</v>
      </c>
      <c r="P26" s="127">
        <f>+'R_2014_PAGAL_SASKAITAS (Lt)'!P26/'R_2014_PAGAL_SASKAITAS (Lt)'!$D26</f>
        <v>55</v>
      </c>
      <c r="Q26" s="127">
        <f>+'R_2014_PAGAL_SASKAITAS (Lt)'!Q26/'R_2014_PAGAL_SASKAITAS (Lt)'!$D26</f>
        <v>166</v>
      </c>
      <c r="R26" s="5">
        <f t="shared" si="6"/>
        <v>617</v>
      </c>
      <c r="S26" s="35"/>
    </row>
    <row r="27" spans="1:19" x14ac:dyDescent="0.25">
      <c r="A27" s="46" t="s">
        <v>75</v>
      </c>
      <c r="B27" s="53" t="s">
        <v>123</v>
      </c>
      <c r="C27" s="59" t="s">
        <v>98</v>
      </c>
      <c r="D27" s="60">
        <v>60</v>
      </c>
      <c r="E27" s="155"/>
      <c r="F27" s="127">
        <f>+'R_2014_PAGAL_SASKAITAS (Lt)'!F27/'R_2014_PAGAL_SASKAITAS (Lt)'!$D27</f>
        <v>505</v>
      </c>
      <c r="G27" s="127">
        <f>+'R_2014_PAGAL_SASKAITAS (Lt)'!G27/'R_2014_PAGAL_SASKAITAS (Lt)'!$D27</f>
        <v>460</v>
      </c>
      <c r="H27" s="127">
        <f>+'R_2014_PAGAL_SASKAITAS (Lt)'!H27/'R_2014_PAGAL_SASKAITAS (Lt)'!$D27</f>
        <v>539</v>
      </c>
      <c r="I27" s="127">
        <f>+'R_2014_PAGAL_SASKAITAS (Lt)'!I27/'R_2014_PAGAL_SASKAITAS (Lt)'!$D27</f>
        <v>232</v>
      </c>
      <c r="J27" s="127">
        <f>+'R_2014_PAGAL_SASKAITAS (Lt)'!J27/'R_2014_PAGAL_SASKAITAS (Lt)'!$D27</f>
        <v>174</v>
      </c>
      <c r="K27" s="127">
        <f>+'R_2014_PAGAL_SASKAITAS (Lt)'!K27/'R_2014_PAGAL_SASKAITAS (Lt)'!$D27</f>
        <v>137</v>
      </c>
      <c r="L27" s="127">
        <f>+'R_2014_PAGAL_SASKAITAS (Lt)'!L27/'R_2014_PAGAL_SASKAITAS (Lt)'!$D27</f>
        <v>126</v>
      </c>
      <c r="M27" s="127">
        <f>+'R_2014_PAGAL_SASKAITAS (Lt)'!M27/'R_2014_PAGAL_SASKAITAS (Lt)'!$D27</f>
        <v>448</v>
      </c>
      <c r="N27" s="127">
        <f>+'R_2014_PAGAL_SASKAITAS (Lt)'!N27/'R_2014_PAGAL_SASKAITAS (Lt)'!$D27</f>
        <v>721</v>
      </c>
      <c r="O27" s="127">
        <f>+'R_2014_PAGAL_SASKAITAS (Lt)'!O27/'R_2014_PAGAL_SASKAITAS (Lt)'!$D27</f>
        <v>358</v>
      </c>
      <c r="P27" s="127">
        <f>+'R_2014_PAGAL_SASKAITAS (Lt)'!P27/'R_2014_PAGAL_SASKAITAS (Lt)'!$D27</f>
        <v>394</v>
      </c>
      <c r="Q27" s="127">
        <f>+'R_2014_PAGAL_SASKAITAS (Lt)'!Q27/'R_2014_PAGAL_SASKAITAS (Lt)'!$D27</f>
        <v>484</v>
      </c>
      <c r="R27" s="5">
        <f t="shared" si="6"/>
        <v>4578</v>
      </c>
      <c r="S27" s="35"/>
    </row>
    <row r="28" spans="1:19" x14ac:dyDescent="0.25">
      <c r="A28" s="46" t="s">
        <v>76</v>
      </c>
      <c r="B28" s="53" t="s">
        <v>124</v>
      </c>
      <c r="C28" s="59" t="s">
        <v>99</v>
      </c>
      <c r="D28" s="60">
        <v>270</v>
      </c>
      <c r="E28" s="155"/>
      <c r="F28" s="127">
        <f>+'R_2014_PAGAL_SASKAITAS (Lt)'!F28/'R_2014_PAGAL_SASKAITAS (Lt)'!$D28</f>
        <v>23</v>
      </c>
      <c r="G28" s="127">
        <f>+'R_2014_PAGAL_SASKAITAS (Lt)'!G28/'R_2014_PAGAL_SASKAITAS (Lt)'!$D28</f>
        <v>19</v>
      </c>
      <c r="H28" s="127">
        <f>+'R_2014_PAGAL_SASKAITAS (Lt)'!H28/'R_2014_PAGAL_SASKAITAS (Lt)'!$D28</f>
        <v>82</v>
      </c>
      <c r="I28" s="127">
        <f>+'R_2014_PAGAL_SASKAITAS (Lt)'!I28/'R_2014_PAGAL_SASKAITAS (Lt)'!$D28</f>
        <v>24</v>
      </c>
      <c r="J28" s="127">
        <f>+'R_2014_PAGAL_SASKAITAS (Lt)'!J28/'R_2014_PAGAL_SASKAITAS (Lt)'!$D28</f>
        <v>4</v>
      </c>
      <c r="K28" s="127">
        <f>+'R_2014_PAGAL_SASKAITAS (Lt)'!K28/'R_2014_PAGAL_SASKAITAS (Lt)'!$D28</f>
        <v>75</v>
      </c>
      <c r="L28" s="127">
        <f>+'R_2014_PAGAL_SASKAITAS (Lt)'!L28/'R_2014_PAGAL_SASKAITAS (Lt)'!$D28</f>
        <v>23</v>
      </c>
      <c r="M28" s="127">
        <f>+'R_2014_PAGAL_SASKAITAS (Lt)'!M28/'R_2014_PAGAL_SASKAITAS (Lt)'!$D28</f>
        <v>40</v>
      </c>
      <c r="N28" s="127">
        <f>+'R_2014_PAGAL_SASKAITAS (Lt)'!N28/'R_2014_PAGAL_SASKAITAS (Lt)'!$D28</f>
        <v>66</v>
      </c>
      <c r="O28" s="127">
        <f>+'R_2014_PAGAL_SASKAITAS (Lt)'!O28/'R_2014_PAGAL_SASKAITAS (Lt)'!$D28</f>
        <v>18</v>
      </c>
      <c r="P28" s="127">
        <f>+'R_2014_PAGAL_SASKAITAS (Lt)'!P28/'R_2014_PAGAL_SASKAITAS (Lt)'!$D28</f>
        <v>22</v>
      </c>
      <c r="Q28" s="127">
        <f>+'R_2014_PAGAL_SASKAITAS (Lt)'!Q28/'R_2014_PAGAL_SASKAITAS (Lt)'!$D28</f>
        <v>57</v>
      </c>
      <c r="R28" s="5">
        <f t="shared" si="6"/>
        <v>453</v>
      </c>
      <c r="S28" s="35"/>
    </row>
    <row r="29" spans="1:19" x14ac:dyDescent="0.25">
      <c r="A29" s="46" t="s">
        <v>77</v>
      </c>
      <c r="B29" s="53" t="s">
        <v>125</v>
      </c>
      <c r="C29" s="59" t="s">
        <v>100</v>
      </c>
      <c r="D29" s="60">
        <v>135</v>
      </c>
      <c r="E29" s="155"/>
      <c r="F29" s="127">
        <f>+'R_2014_PAGAL_SASKAITAS (Lt)'!F29/'R_2014_PAGAL_SASKAITAS (Lt)'!$D29</f>
        <v>1</v>
      </c>
      <c r="G29" s="127">
        <f>+'R_2014_PAGAL_SASKAITAS (Lt)'!G29/'R_2014_PAGAL_SASKAITAS (Lt)'!$D29</f>
        <v>2</v>
      </c>
      <c r="H29" s="127">
        <f>+'R_2014_PAGAL_SASKAITAS (Lt)'!H29/'R_2014_PAGAL_SASKAITAS (Lt)'!$D29</f>
        <v>6</v>
      </c>
      <c r="I29" s="127">
        <f>+'R_2014_PAGAL_SASKAITAS (Lt)'!I29/'R_2014_PAGAL_SASKAITAS (Lt)'!$D29</f>
        <v>0</v>
      </c>
      <c r="J29" s="127">
        <f>+'R_2014_PAGAL_SASKAITAS (Lt)'!J29/'R_2014_PAGAL_SASKAITAS (Lt)'!$D29</f>
        <v>1</v>
      </c>
      <c r="K29" s="127">
        <f>+'R_2014_PAGAL_SASKAITAS (Lt)'!K29/'R_2014_PAGAL_SASKAITAS (Lt)'!$D29</f>
        <v>1</v>
      </c>
      <c r="L29" s="127">
        <f>+'R_2014_PAGAL_SASKAITAS (Lt)'!L29/'R_2014_PAGAL_SASKAITAS (Lt)'!$D29</f>
        <v>1</v>
      </c>
      <c r="M29" s="127">
        <f>+'R_2014_PAGAL_SASKAITAS (Lt)'!M29/'R_2014_PAGAL_SASKAITAS (Lt)'!$D29</f>
        <v>2</v>
      </c>
      <c r="N29" s="127">
        <f>+'R_2014_PAGAL_SASKAITAS (Lt)'!N29/'R_2014_PAGAL_SASKAITAS (Lt)'!$D29</f>
        <v>3</v>
      </c>
      <c r="O29" s="127">
        <f>+'R_2014_PAGAL_SASKAITAS (Lt)'!O29/'R_2014_PAGAL_SASKAITAS (Lt)'!$D29</f>
        <v>1</v>
      </c>
      <c r="P29" s="127">
        <f>+'R_2014_PAGAL_SASKAITAS (Lt)'!P29/'R_2014_PAGAL_SASKAITAS (Lt)'!$D29</f>
        <v>1</v>
      </c>
      <c r="Q29" s="127">
        <f>+'R_2014_PAGAL_SASKAITAS (Lt)'!Q29/'R_2014_PAGAL_SASKAITAS (Lt)'!$D29</f>
        <v>2</v>
      </c>
      <c r="R29" s="5">
        <f t="shared" si="6"/>
        <v>21</v>
      </c>
      <c r="S29" s="35"/>
    </row>
    <row r="30" spans="1:19" x14ac:dyDescent="0.25">
      <c r="A30" s="46" t="s">
        <v>78</v>
      </c>
      <c r="B30" s="53" t="s">
        <v>126</v>
      </c>
      <c r="C30" s="59" t="s">
        <v>101</v>
      </c>
      <c r="D30" s="60">
        <v>54</v>
      </c>
      <c r="E30" s="155"/>
      <c r="F30" s="127">
        <f>+'R_2014_PAGAL_SASKAITAS (Lt)'!F30/'R_2014_PAGAL_SASKAITAS (Lt)'!$D30</f>
        <v>43</v>
      </c>
      <c r="G30" s="127">
        <f>+'R_2014_PAGAL_SASKAITAS (Lt)'!G30/'R_2014_PAGAL_SASKAITAS (Lt)'!$D30</f>
        <v>26</v>
      </c>
      <c r="H30" s="127">
        <f>+'R_2014_PAGAL_SASKAITAS (Lt)'!H30/'R_2014_PAGAL_SASKAITAS (Lt)'!$D30</f>
        <v>28</v>
      </c>
      <c r="I30" s="127">
        <f>+'R_2014_PAGAL_SASKAITAS (Lt)'!I30/'R_2014_PAGAL_SASKAITAS (Lt)'!$D30</f>
        <v>9</v>
      </c>
      <c r="J30" s="127">
        <f>+'R_2014_PAGAL_SASKAITAS (Lt)'!J30/'R_2014_PAGAL_SASKAITAS (Lt)'!$D30</f>
        <v>4</v>
      </c>
      <c r="K30" s="127">
        <f>+'R_2014_PAGAL_SASKAITAS (Lt)'!K30/'R_2014_PAGAL_SASKAITAS (Lt)'!$D30</f>
        <v>2</v>
      </c>
      <c r="L30" s="127">
        <f>+'R_2014_PAGAL_SASKAITAS (Lt)'!L30/'R_2014_PAGAL_SASKAITAS (Lt)'!$D30</f>
        <v>1</v>
      </c>
      <c r="M30" s="127">
        <f>+'R_2014_PAGAL_SASKAITAS (Lt)'!M30/'R_2014_PAGAL_SASKAITAS (Lt)'!$D30</f>
        <v>33</v>
      </c>
      <c r="N30" s="127">
        <f>+'R_2014_PAGAL_SASKAITAS (Lt)'!N30/'R_2014_PAGAL_SASKAITAS (Lt)'!$D30</f>
        <v>71</v>
      </c>
      <c r="O30" s="127">
        <f>+'R_2014_PAGAL_SASKAITAS (Lt)'!O30/'R_2014_PAGAL_SASKAITAS (Lt)'!$D30</f>
        <v>29</v>
      </c>
      <c r="P30" s="127">
        <f>+'R_2014_PAGAL_SASKAITAS (Lt)'!P30/'R_2014_PAGAL_SASKAITAS (Lt)'!$D30</f>
        <v>34</v>
      </c>
      <c r="Q30" s="127">
        <f>+'R_2014_PAGAL_SASKAITAS (Lt)'!Q30/'R_2014_PAGAL_SASKAITAS (Lt)'!$D30</f>
        <v>32</v>
      </c>
      <c r="R30" s="5">
        <f t="shared" si="6"/>
        <v>312</v>
      </c>
      <c r="S30" s="35"/>
    </row>
    <row r="31" spans="1:19" x14ac:dyDescent="0.25">
      <c r="A31" s="46" t="s">
        <v>79</v>
      </c>
      <c r="B31" s="53" t="s">
        <v>127</v>
      </c>
      <c r="C31" s="59" t="s">
        <v>102</v>
      </c>
      <c r="D31" s="60">
        <v>600</v>
      </c>
      <c r="E31" s="155"/>
      <c r="F31" s="127">
        <f>+'R_2014_PAGAL_SASKAITAS (Lt)'!F31/'R_2014_PAGAL_SASKAITAS (Lt)'!$D31</f>
        <v>0</v>
      </c>
      <c r="G31" s="127">
        <f>+'R_2014_PAGAL_SASKAITAS (Lt)'!G31/'R_2014_PAGAL_SASKAITAS (Lt)'!$D31</f>
        <v>1</v>
      </c>
      <c r="H31" s="127">
        <f>+'R_2014_PAGAL_SASKAITAS (Lt)'!H31/'R_2014_PAGAL_SASKAITAS (Lt)'!$D31</f>
        <v>1</v>
      </c>
      <c r="I31" s="127">
        <f>+'R_2014_PAGAL_SASKAITAS (Lt)'!I31/'R_2014_PAGAL_SASKAITAS (Lt)'!$D31</f>
        <v>2</v>
      </c>
      <c r="J31" s="127">
        <f>+'R_2014_PAGAL_SASKAITAS (Lt)'!J31/'R_2014_PAGAL_SASKAITAS (Lt)'!$D31</f>
        <v>0</v>
      </c>
      <c r="K31" s="127">
        <f>+'R_2014_PAGAL_SASKAITAS (Lt)'!K31/'R_2014_PAGAL_SASKAITAS (Lt)'!$D31</f>
        <v>0</v>
      </c>
      <c r="L31" s="127">
        <f>+'R_2014_PAGAL_SASKAITAS (Lt)'!L31/'R_2014_PAGAL_SASKAITAS (Lt)'!$D31</f>
        <v>1</v>
      </c>
      <c r="M31" s="127">
        <f>+'R_2014_PAGAL_SASKAITAS (Lt)'!M31/'R_2014_PAGAL_SASKAITAS (Lt)'!$D31</f>
        <v>2</v>
      </c>
      <c r="N31" s="127">
        <f>+'R_2014_PAGAL_SASKAITAS (Lt)'!N31/'R_2014_PAGAL_SASKAITAS (Lt)'!$D31</f>
        <v>2</v>
      </c>
      <c r="O31" s="127">
        <f>+'R_2014_PAGAL_SASKAITAS (Lt)'!O31/'R_2014_PAGAL_SASKAITAS (Lt)'!$D31</f>
        <v>3</v>
      </c>
      <c r="P31" s="127">
        <f>+'R_2014_PAGAL_SASKAITAS (Lt)'!P31/'R_2014_PAGAL_SASKAITAS (Lt)'!$D31</f>
        <v>3</v>
      </c>
      <c r="Q31" s="127">
        <f>+'R_2014_PAGAL_SASKAITAS (Lt)'!Q31/'R_2014_PAGAL_SASKAITAS (Lt)'!$D31</f>
        <v>10</v>
      </c>
      <c r="R31" s="5">
        <f t="shared" si="6"/>
        <v>25</v>
      </c>
      <c r="S31" s="35"/>
    </row>
    <row r="32" spans="1:19" x14ac:dyDescent="0.25">
      <c r="A32" s="46" t="s">
        <v>80</v>
      </c>
      <c r="B32" s="53" t="s">
        <v>128</v>
      </c>
      <c r="C32" s="59" t="s">
        <v>103</v>
      </c>
      <c r="D32" s="60">
        <v>300</v>
      </c>
      <c r="E32" s="155"/>
      <c r="F32" s="127">
        <f>+'R_2014_PAGAL_SASKAITAS (Lt)'!F32/'R_2014_PAGAL_SASKAITAS (Lt)'!$D32</f>
        <v>3</v>
      </c>
      <c r="G32" s="127">
        <f>+'R_2014_PAGAL_SASKAITAS (Lt)'!G32/'R_2014_PAGAL_SASKAITAS (Lt)'!$D32</f>
        <v>7</v>
      </c>
      <c r="H32" s="127">
        <f>+'R_2014_PAGAL_SASKAITAS (Lt)'!H32/'R_2014_PAGAL_SASKAITAS (Lt)'!$D32</f>
        <v>4</v>
      </c>
      <c r="I32" s="127">
        <f>+'R_2014_PAGAL_SASKAITAS (Lt)'!I32/'R_2014_PAGAL_SASKAITAS (Lt)'!$D32</f>
        <v>1</v>
      </c>
      <c r="J32" s="127">
        <f>+'R_2014_PAGAL_SASKAITAS (Lt)'!J32/'R_2014_PAGAL_SASKAITAS (Lt)'!$D32</f>
        <v>3</v>
      </c>
      <c r="K32" s="127">
        <f>+'R_2014_PAGAL_SASKAITAS (Lt)'!K32/'R_2014_PAGAL_SASKAITAS (Lt)'!$D32</f>
        <v>3</v>
      </c>
      <c r="L32" s="127">
        <f>+'R_2014_PAGAL_SASKAITAS (Lt)'!L32/'R_2014_PAGAL_SASKAITAS (Lt)'!$D32</f>
        <v>4</v>
      </c>
      <c r="M32" s="127">
        <f>+'R_2014_PAGAL_SASKAITAS (Lt)'!M32/'R_2014_PAGAL_SASKAITAS (Lt)'!$D32</f>
        <v>5</v>
      </c>
      <c r="N32" s="127">
        <f>+'R_2014_PAGAL_SASKAITAS (Lt)'!N32/'R_2014_PAGAL_SASKAITAS (Lt)'!$D32</f>
        <v>4</v>
      </c>
      <c r="O32" s="127">
        <f>+'R_2014_PAGAL_SASKAITAS (Lt)'!O32/'R_2014_PAGAL_SASKAITAS (Lt)'!$D32</f>
        <v>0</v>
      </c>
      <c r="P32" s="127">
        <f>+'R_2014_PAGAL_SASKAITAS (Lt)'!P32/'R_2014_PAGAL_SASKAITAS (Lt)'!$D32</f>
        <v>2</v>
      </c>
      <c r="Q32" s="127">
        <f>+'R_2014_PAGAL_SASKAITAS (Lt)'!Q32/'R_2014_PAGAL_SASKAITAS (Lt)'!$D32</f>
        <v>10</v>
      </c>
      <c r="R32" s="5">
        <f t="shared" si="6"/>
        <v>46</v>
      </c>
      <c r="S32" s="35"/>
    </row>
    <row r="33" spans="1:20" x14ac:dyDescent="0.25">
      <c r="A33" s="46" t="s">
        <v>81</v>
      </c>
      <c r="B33" s="53" t="s">
        <v>129</v>
      </c>
      <c r="C33" s="59" t="s">
        <v>104</v>
      </c>
      <c r="D33" s="60">
        <v>120</v>
      </c>
      <c r="E33" s="155"/>
      <c r="F33" s="127">
        <f>+'R_2014_PAGAL_SASKAITAS (Lt)'!F33/'R_2014_PAGAL_SASKAITAS (Lt)'!$D33</f>
        <v>44</v>
      </c>
      <c r="G33" s="127">
        <f>+'R_2014_PAGAL_SASKAITAS (Lt)'!G33/'R_2014_PAGAL_SASKAITAS (Lt)'!$D33</f>
        <v>19</v>
      </c>
      <c r="H33" s="127">
        <f>+'R_2014_PAGAL_SASKAITAS (Lt)'!H33/'R_2014_PAGAL_SASKAITAS (Lt)'!$D33</f>
        <v>8</v>
      </c>
      <c r="I33" s="127">
        <f>+'R_2014_PAGAL_SASKAITAS (Lt)'!I33/'R_2014_PAGAL_SASKAITAS (Lt)'!$D33</f>
        <v>4</v>
      </c>
      <c r="J33" s="127">
        <f>+'R_2014_PAGAL_SASKAITAS (Lt)'!J33/'R_2014_PAGAL_SASKAITAS (Lt)'!$D33</f>
        <v>8</v>
      </c>
      <c r="K33" s="127">
        <f>+'R_2014_PAGAL_SASKAITAS (Lt)'!K33/'R_2014_PAGAL_SASKAITAS (Lt)'!$D33</f>
        <v>14</v>
      </c>
      <c r="L33" s="127">
        <f>+'R_2014_PAGAL_SASKAITAS (Lt)'!L33/'R_2014_PAGAL_SASKAITAS (Lt)'!$D33</f>
        <v>12</v>
      </c>
      <c r="M33" s="127">
        <f>+'R_2014_PAGAL_SASKAITAS (Lt)'!M33/'R_2014_PAGAL_SASKAITAS (Lt)'!$D33</f>
        <v>52</v>
      </c>
      <c r="N33" s="127">
        <f>+'R_2014_PAGAL_SASKAITAS (Lt)'!N33/'R_2014_PAGAL_SASKAITAS (Lt)'!$D33</f>
        <v>50</v>
      </c>
      <c r="O33" s="127">
        <f>+'R_2014_PAGAL_SASKAITAS (Lt)'!O33/'R_2014_PAGAL_SASKAITAS (Lt)'!$D33</f>
        <v>26</v>
      </c>
      <c r="P33" s="127">
        <f>+'R_2014_PAGAL_SASKAITAS (Lt)'!P33/'R_2014_PAGAL_SASKAITAS (Lt)'!$D33</f>
        <v>56</v>
      </c>
      <c r="Q33" s="127">
        <f>+'R_2014_PAGAL_SASKAITAS (Lt)'!Q33/'R_2014_PAGAL_SASKAITAS (Lt)'!$D33</f>
        <v>64</v>
      </c>
      <c r="R33" s="5">
        <f t="shared" si="6"/>
        <v>357</v>
      </c>
      <c r="S33" s="35"/>
    </row>
    <row r="34" spans="1:20" x14ac:dyDescent="0.25">
      <c r="A34" s="46" t="s">
        <v>82</v>
      </c>
      <c r="B34" s="53" t="s">
        <v>130</v>
      </c>
      <c r="C34" s="59" t="s">
        <v>105</v>
      </c>
      <c r="D34" s="60">
        <v>540</v>
      </c>
      <c r="E34" s="155"/>
      <c r="F34" s="127">
        <f>+'R_2014_PAGAL_SASKAITAS (Lt)'!F34/'R_2014_PAGAL_SASKAITAS (Lt)'!$D34</f>
        <v>9</v>
      </c>
      <c r="G34" s="127">
        <f>+'R_2014_PAGAL_SASKAITAS (Lt)'!G34/'R_2014_PAGAL_SASKAITAS (Lt)'!$D34</f>
        <v>2</v>
      </c>
      <c r="H34" s="127">
        <f>+'R_2014_PAGAL_SASKAITAS (Lt)'!H34/'R_2014_PAGAL_SASKAITAS (Lt)'!$D34</f>
        <v>2</v>
      </c>
      <c r="I34" s="127">
        <f>+'R_2014_PAGAL_SASKAITAS (Lt)'!I34/'R_2014_PAGAL_SASKAITAS (Lt)'!$D34</f>
        <v>0</v>
      </c>
      <c r="J34" s="127">
        <f>+'R_2014_PAGAL_SASKAITAS (Lt)'!J34/'R_2014_PAGAL_SASKAITAS (Lt)'!$D34</f>
        <v>2</v>
      </c>
      <c r="K34" s="127">
        <f>+'R_2014_PAGAL_SASKAITAS (Lt)'!K34/'R_2014_PAGAL_SASKAITAS (Lt)'!$D34</f>
        <v>0</v>
      </c>
      <c r="L34" s="127">
        <f>+'R_2014_PAGAL_SASKAITAS (Lt)'!L34/'R_2014_PAGAL_SASKAITAS (Lt)'!$D34</f>
        <v>2</v>
      </c>
      <c r="M34" s="127">
        <f>+'R_2014_PAGAL_SASKAITAS (Lt)'!M34/'R_2014_PAGAL_SASKAITAS (Lt)'!$D34</f>
        <v>0</v>
      </c>
      <c r="N34" s="127">
        <f>+'R_2014_PAGAL_SASKAITAS (Lt)'!N34/'R_2014_PAGAL_SASKAITAS (Lt)'!$D34</f>
        <v>0</v>
      </c>
      <c r="O34" s="127">
        <f>+'R_2014_PAGAL_SASKAITAS (Lt)'!O34/'R_2014_PAGAL_SASKAITAS (Lt)'!$D34</f>
        <v>2</v>
      </c>
      <c r="P34" s="127">
        <f>+'R_2014_PAGAL_SASKAITAS (Lt)'!P34/'R_2014_PAGAL_SASKAITAS (Lt)'!$D34</f>
        <v>6</v>
      </c>
      <c r="Q34" s="127">
        <f>+'R_2014_PAGAL_SASKAITAS (Lt)'!Q34/'R_2014_PAGAL_SASKAITAS (Lt)'!$D34</f>
        <v>3</v>
      </c>
      <c r="R34" s="5">
        <f t="shared" si="6"/>
        <v>28</v>
      </c>
      <c r="S34" s="35"/>
    </row>
    <row r="35" spans="1:20" x14ac:dyDescent="0.25">
      <c r="A35" s="46" t="s">
        <v>83</v>
      </c>
      <c r="B35" s="53" t="s">
        <v>131</v>
      </c>
      <c r="C35" s="59" t="s">
        <v>106</v>
      </c>
      <c r="D35" s="60">
        <v>270</v>
      </c>
      <c r="E35" s="155"/>
      <c r="F35" s="127">
        <f>+'R_2014_PAGAL_SASKAITAS (Lt)'!F35/'R_2014_PAGAL_SASKAITAS (Lt)'!$D35</f>
        <v>0</v>
      </c>
      <c r="G35" s="127">
        <f>+'R_2014_PAGAL_SASKAITAS (Lt)'!G35/'R_2014_PAGAL_SASKAITAS (Lt)'!$D35</f>
        <v>0</v>
      </c>
      <c r="H35" s="127">
        <f>+'R_2014_PAGAL_SASKAITAS (Lt)'!H35/'R_2014_PAGAL_SASKAITAS (Lt)'!$D35</f>
        <v>0</v>
      </c>
      <c r="I35" s="127">
        <f>+'R_2014_PAGAL_SASKAITAS (Lt)'!I35/'R_2014_PAGAL_SASKAITAS (Lt)'!$D35</f>
        <v>0</v>
      </c>
      <c r="J35" s="127">
        <f>+'R_2014_PAGAL_SASKAITAS (Lt)'!J35/'R_2014_PAGAL_SASKAITAS (Lt)'!$D35</f>
        <v>0</v>
      </c>
      <c r="K35" s="127">
        <f>+'R_2014_PAGAL_SASKAITAS (Lt)'!K35/'R_2014_PAGAL_SASKAITAS (Lt)'!$D35</f>
        <v>0</v>
      </c>
      <c r="L35" s="127">
        <f>+'R_2014_PAGAL_SASKAITAS (Lt)'!L35/'R_2014_PAGAL_SASKAITAS (Lt)'!$D35</f>
        <v>0</v>
      </c>
      <c r="M35" s="127">
        <f>+'R_2014_PAGAL_SASKAITAS (Lt)'!M35/'R_2014_PAGAL_SASKAITAS (Lt)'!$D35</f>
        <v>0</v>
      </c>
      <c r="N35" s="127">
        <f>+'R_2014_PAGAL_SASKAITAS (Lt)'!N35/'R_2014_PAGAL_SASKAITAS (Lt)'!$D35</f>
        <v>0</v>
      </c>
      <c r="O35" s="127">
        <f>+'R_2014_PAGAL_SASKAITAS (Lt)'!O35/'R_2014_PAGAL_SASKAITAS (Lt)'!$D35</f>
        <v>0</v>
      </c>
      <c r="P35" s="127">
        <f>+'R_2014_PAGAL_SASKAITAS (Lt)'!P35/'R_2014_PAGAL_SASKAITAS (Lt)'!$D35</f>
        <v>0</v>
      </c>
      <c r="Q35" s="127">
        <f>+'R_2014_PAGAL_SASKAITAS (Lt)'!Q35/'R_2014_PAGAL_SASKAITAS (Lt)'!$D35</f>
        <v>2</v>
      </c>
      <c r="R35" s="5">
        <f t="shared" si="6"/>
        <v>2</v>
      </c>
      <c r="S35" s="35"/>
    </row>
    <row r="36" spans="1:20" x14ac:dyDescent="0.25">
      <c r="A36" s="46" t="s">
        <v>84</v>
      </c>
      <c r="B36" s="53" t="s">
        <v>132</v>
      </c>
      <c r="C36" s="59" t="s">
        <v>107</v>
      </c>
      <c r="D36" s="60">
        <v>108</v>
      </c>
      <c r="E36" s="155"/>
      <c r="F36" s="127">
        <f>+'R_2014_PAGAL_SASKAITAS (Lt)'!F36/'R_2014_PAGAL_SASKAITAS (Lt)'!$D36</f>
        <v>4</v>
      </c>
      <c r="G36" s="127">
        <f>+'R_2014_PAGAL_SASKAITAS (Lt)'!G36/'R_2014_PAGAL_SASKAITAS (Lt)'!$D36</f>
        <v>0</v>
      </c>
      <c r="H36" s="127">
        <f>+'R_2014_PAGAL_SASKAITAS (Lt)'!H36/'R_2014_PAGAL_SASKAITAS (Lt)'!$D36</f>
        <v>0</v>
      </c>
      <c r="I36" s="127">
        <f>+'R_2014_PAGAL_SASKAITAS (Lt)'!I36/'R_2014_PAGAL_SASKAITAS (Lt)'!$D36</f>
        <v>0</v>
      </c>
      <c r="J36" s="127">
        <f>+'R_2014_PAGAL_SASKAITAS (Lt)'!J36/'R_2014_PAGAL_SASKAITAS (Lt)'!$D36</f>
        <v>0</v>
      </c>
      <c r="K36" s="127">
        <f>+'R_2014_PAGAL_SASKAITAS (Lt)'!K36/'R_2014_PAGAL_SASKAITAS (Lt)'!$D36</f>
        <v>1</v>
      </c>
      <c r="L36" s="127">
        <f>+'R_2014_PAGAL_SASKAITAS (Lt)'!L36/'R_2014_PAGAL_SASKAITAS (Lt)'!$D36</f>
        <v>0</v>
      </c>
      <c r="M36" s="127">
        <f>+'R_2014_PAGAL_SASKAITAS (Lt)'!M36/'R_2014_PAGAL_SASKAITAS (Lt)'!$D36</f>
        <v>1</v>
      </c>
      <c r="N36" s="127">
        <f>+'R_2014_PAGAL_SASKAITAS (Lt)'!N36/'R_2014_PAGAL_SASKAITAS (Lt)'!$D36</f>
        <v>5</v>
      </c>
      <c r="O36" s="127">
        <f>+'R_2014_PAGAL_SASKAITAS (Lt)'!O36/'R_2014_PAGAL_SASKAITAS (Lt)'!$D36</f>
        <v>3</v>
      </c>
      <c r="P36" s="127">
        <f>+'R_2014_PAGAL_SASKAITAS (Lt)'!P36/'R_2014_PAGAL_SASKAITAS (Lt)'!$D36</f>
        <v>7</v>
      </c>
      <c r="Q36" s="127">
        <f>+'R_2014_PAGAL_SASKAITAS (Lt)'!Q36/'R_2014_PAGAL_SASKAITAS (Lt)'!$D36</f>
        <v>3</v>
      </c>
      <c r="R36" s="5">
        <f t="shared" si="6"/>
        <v>24</v>
      </c>
      <c r="S36" s="35"/>
    </row>
    <row r="37" spans="1:20" x14ac:dyDescent="0.25">
      <c r="A37" s="46" t="s">
        <v>85</v>
      </c>
      <c r="B37" s="53" t="s">
        <v>133</v>
      </c>
      <c r="C37" s="59" t="s">
        <v>108</v>
      </c>
      <c r="D37" s="60">
        <v>900</v>
      </c>
      <c r="E37" s="155"/>
      <c r="F37" s="127">
        <f>+'R_2014_PAGAL_SASKAITAS (Lt)'!F37/'R_2014_PAGAL_SASKAITAS (Lt)'!$D37</f>
        <v>3</v>
      </c>
      <c r="G37" s="127">
        <f>+'R_2014_PAGAL_SASKAITAS (Lt)'!G37/'R_2014_PAGAL_SASKAITAS (Lt)'!$D37</f>
        <v>0</v>
      </c>
      <c r="H37" s="127">
        <f>+'R_2014_PAGAL_SASKAITAS (Lt)'!H37/'R_2014_PAGAL_SASKAITAS (Lt)'!$D37</f>
        <v>0</v>
      </c>
      <c r="I37" s="127">
        <f>+'R_2014_PAGAL_SASKAITAS (Lt)'!I37/'R_2014_PAGAL_SASKAITAS (Lt)'!$D37</f>
        <v>1</v>
      </c>
      <c r="J37" s="127">
        <f>+'R_2014_PAGAL_SASKAITAS (Lt)'!J37/'R_2014_PAGAL_SASKAITAS (Lt)'!$D37</f>
        <v>0</v>
      </c>
      <c r="K37" s="127">
        <f>+'R_2014_PAGAL_SASKAITAS (Lt)'!K37/'R_2014_PAGAL_SASKAITAS (Lt)'!$D37</f>
        <v>2</v>
      </c>
      <c r="L37" s="127">
        <f>+'R_2014_PAGAL_SASKAITAS (Lt)'!L37/'R_2014_PAGAL_SASKAITAS (Lt)'!$D37</f>
        <v>0</v>
      </c>
      <c r="M37" s="127">
        <f>+'R_2014_PAGAL_SASKAITAS (Lt)'!M37/'R_2014_PAGAL_SASKAITAS (Lt)'!$D37</f>
        <v>0</v>
      </c>
      <c r="N37" s="127">
        <f>+'R_2014_PAGAL_SASKAITAS (Lt)'!N37/'R_2014_PAGAL_SASKAITAS (Lt)'!$D37</f>
        <v>1</v>
      </c>
      <c r="O37" s="127">
        <f>+'R_2014_PAGAL_SASKAITAS (Lt)'!O37/'R_2014_PAGAL_SASKAITAS (Lt)'!$D37</f>
        <v>1</v>
      </c>
      <c r="P37" s="127">
        <f>+'R_2014_PAGAL_SASKAITAS (Lt)'!P37/'R_2014_PAGAL_SASKAITAS (Lt)'!$D37</f>
        <v>0</v>
      </c>
      <c r="Q37" s="127">
        <f>+'R_2014_PAGAL_SASKAITAS (Lt)'!Q37/'R_2014_PAGAL_SASKAITAS (Lt)'!$D37</f>
        <v>1</v>
      </c>
      <c r="R37" s="5">
        <f t="shared" si="6"/>
        <v>9</v>
      </c>
      <c r="S37" s="35"/>
    </row>
    <row r="38" spans="1:20" x14ac:dyDescent="0.25">
      <c r="A38" s="46" t="s">
        <v>86</v>
      </c>
      <c r="B38" s="53" t="s">
        <v>134</v>
      </c>
      <c r="C38" s="59" t="s">
        <v>109</v>
      </c>
      <c r="D38" s="60">
        <v>450</v>
      </c>
      <c r="E38" s="155"/>
      <c r="F38" s="127">
        <f>+'R_2014_PAGAL_SASKAITAS (Lt)'!F38/'R_2014_PAGAL_SASKAITAS (Lt)'!$D38</f>
        <v>1</v>
      </c>
      <c r="G38" s="127">
        <f>+'R_2014_PAGAL_SASKAITAS (Lt)'!G38/'R_2014_PAGAL_SASKAITAS (Lt)'!$D38</f>
        <v>0</v>
      </c>
      <c r="H38" s="127">
        <f>+'R_2014_PAGAL_SASKAITAS (Lt)'!H38/'R_2014_PAGAL_SASKAITAS (Lt)'!$D38</f>
        <v>0</v>
      </c>
      <c r="I38" s="127">
        <f>+'R_2014_PAGAL_SASKAITAS (Lt)'!I38/'R_2014_PAGAL_SASKAITAS (Lt)'!$D38</f>
        <v>0</v>
      </c>
      <c r="J38" s="127">
        <f>+'R_2014_PAGAL_SASKAITAS (Lt)'!J38/'R_2014_PAGAL_SASKAITAS (Lt)'!$D38</f>
        <v>1</v>
      </c>
      <c r="K38" s="127">
        <f>+'R_2014_PAGAL_SASKAITAS (Lt)'!K38/'R_2014_PAGAL_SASKAITAS (Lt)'!$D38</f>
        <v>0</v>
      </c>
      <c r="L38" s="127">
        <f>+'R_2014_PAGAL_SASKAITAS (Lt)'!L38/'R_2014_PAGAL_SASKAITAS (Lt)'!$D38</f>
        <v>0</v>
      </c>
      <c r="M38" s="127">
        <f>+'R_2014_PAGAL_SASKAITAS (Lt)'!M38/'R_2014_PAGAL_SASKAITAS (Lt)'!$D38</f>
        <v>2</v>
      </c>
      <c r="N38" s="127">
        <f>+'R_2014_PAGAL_SASKAITAS (Lt)'!N38/'R_2014_PAGAL_SASKAITAS (Lt)'!$D38</f>
        <v>1</v>
      </c>
      <c r="O38" s="127">
        <f>+'R_2014_PAGAL_SASKAITAS (Lt)'!O38/'R_2014_PAGAL_SASKAITAS (Lt)'!$D38</f>
        <v>0</v>
      </c>
      <c r="P38" s="127">
        <f>+'R_2014_PAGAL_SASKAITAS (Lt)'!P38/'R_2014_PAGAL_SASKAITAS (Lt)'!$D38</f>
        <v>1</v>
      </c>
      <c r="Q38" s="127">
        <f>+'R_2014_PAGAL_SASKAITAS (Lt)'!Q38/'R_2014_PAGAL_SASKAITAS (Lt)'!$D38</f>
        <v>2</v>
      </c>
      <c r="R38" s="5">
        <f t="shared" si="6"/>
        <v>8</v>
      </c>
      <c r="S38" s="35"/>
    </row>
    <row r="39" spans="1:20" x14ac:dyDescent="0.25">
      <c r="A39" s="46" t="s">
        <v>87</v>
      </c>
      <c r="B39" s="53" t="s">
        <v>135</v>
      </c>
      <c r="C39" s="59" t="s">
        <v>110</v>
      </c>
      <c r="D39" s="60">
        <v>180</v>
      </c>
      <c r="E39" s="155"/>
      <c r="F39" s="127">
        <f>+'R_2014_PAGAL_SASKAITAS (Lt)'!F39/'R_2014_PAGAL_SASKAITAS (Lt)'!$D39</f>
        <v>3</v>
      </c>
      <c r="G39" s="127">
        <f>+'R_2014_PAGAL_SASKAITAS (Lt)'!G39/'R_2014_PAGAL_SASKAITAS (Lt)'!$D39</f>
        <v>2</v>
      </c>
      <c r="H39" s="127">
        <f>+'R_2014_PAGAL_SASKAITAS (Lt)'!H39/'R_2014_PAGAL_SASKAITAS (Lt)'!$D39</f>
        <v>0</v>
      </c>
      <c r="I39" s="127">
        <f>+'R_2014_PAGAL_SASKAITAS (Lt)'!I39/'R_2014_PAGAL_SASKAITAS (Lt)'!$D39</f>
        <v>6</v>
      </c>
      <c r="J39" s="127">
        <f>+'R_2014_PAGAL_SASKAITAS (Lt)'!J39/'R_2014_PAGAL_SASKAITAS (Lt)'!$D39</f>
        <v>2</v>
      </c>
      <c r="K39" s="127">
        <f>+'R_2014_PAGAL_SASKAITAS (Lt)'!K39/'R_2014_PAGAL_SASKAITAS (Lt)'!$D39</f>
        <v>3</v>
      </c>
      <c r="L39" s="127">
        <f>+'R_2014_PAGAL_SASKAITAS (Lt)'!L39/'R_2014_PAGAL_SASKAITAS (Lt)'!$D39</f>
        <v>8</v>
      </c>
      <c r="M39" s="127">
        <f>+'R_2014_PAGAL_SASKAITAS (Lt)'!M39/'R_2014_PAGAL_SASKAITAS (Lt)'!$D39</f>
        <v>84</v>
      </c>
      <c r="N39" s="127">
        <f>+'R_2014_PAGAL_SASKAITAS (Lt)'!N39/'R_2014_PAGAL_SASKAITAS (Lt)'!$D39</f>
        <v>138</v>
      </c>
      <c r="O39" s="127">
        <f>+'R_2014_PAGAL_SASKAITAS (Lt)'!O39/'R_2014_PAGAL_SASKAITAS (Lt)'!$D39</f>
        <v>16</v>
      </c>
      <c r="P39" s="127">
        <f>+'R_2014_PAGAL_SASKAITAS (Lt)'!P39/'R_2014_PAGAL_SASKAITAS (Lt)'!$D39</f>
        <v>7</v>
      </c>
      <c r="Q39" s="127">
        <f>+'R_2014_PAGAL_SASKAITAS (Lt)'!Q39/'R_2014_PAGAL_SASKAITAS (Lt)'!$D39</f>
        <v>7</v>
      </c>
      <c r="R39" s="5">
        <f t="shared" si="6"/>
        <v>276</v>
      </c>
      <c r="S39" s="35"/>
    </row>
    <row r="40" spans="1:20" x14ac:dyDescent="0.25">
      <c r="A40" s="46" t="s">
        <v>88</v>
      </c>
      <c r="B40" s="53" t="s">
        <v>136</v>
      </c>
      <c r="C40" s="59" t="s">
        <v>111</v>
      </c>
      <c r="D40" s="60">
        <v>810</v>
      </c>
      <c r="E40" s="155"/>
      <c r="F40" s="127">
        <f>+'R_2014_PAGAL_SASKAITAS (Lt)'!F40/'R_2014_PAGAL_SASKAITAS (Lt)'!$D40</f>
        <v>2</v>
      </c>
      <c r="G40" s="127">
        <f>+'R_2014_PAGAL_SASKAITAS (Lt)'!G40/'R_2014_PAGAL_SASKAITAS (Lt)'!$D40</f>
        <v>3</v>
      </c>
      <c r="H40" s="127">
        <f>+'R_2014_PAGAL_SASKAITAS (Lt)'!H40/'R_2014_PAGAL_SASKAITAS (Lt)'!$D40</f>
        <v>0</v>
      </c>
      <c r="I40" s="127">
        <f>+'R_2014_PAGAL_SASKAITAS (Lt)'!I40/'R_2014_PAGAL_SASKAITAS (Lt)'!$D40</f>
        <v>1</v>
      </c>
      <c r="J40" s="127">
        <f>+'R_2014_PAGAL_SASKAITAS (Lt)'!J40/'R_2014_PAGAL_SASKAITAS (Lt)'!$D40</f>
        <v>0</v>
      </c>
      <c r="K40" s="127">
        <f>+'R_2014_PAGAL_SASKAITAS (Lt)'!K40/'R_2014_PAGAL_SASKAITAS (Lt)'!$D40</f>
        <v>0</v>
      </c>
      <c r="L40" s="127">
        <f>+'R_2014_PAGAL_SASKAITAS (Lt)'!L40/'R_2014_PAGAL_SASKAITAS (Lt)'!$D40</f>
        <v>1</v>
      </c>
      <c r="M40" s="127">
        <f>+'R_2014_PAGAL_SASKAITAS (Lt)'!M40/'R_2014_PAGAL_SASKAITAS (Lt)'!$D40</f>
        <v>0</v>
      </c>
      <c r="N40" s="127">
        <f>+'R_2014_PAGAL_SASKAITAS (Lt)'!N40/'R_2014_PAGAL_SASKAITAS (Lt)'!$D40</f>
        <v>1</v>
      </c>
      <c r="O40" s="127">
        <f>+'R_2014_PAGAL_SASKAITAS (Lt)'!O40/'R_2014_PAGAL_SASKAITAS (Lt)'!$D40</f>
        <v>1</v>
      </c>
      <c r="P40" s="127">
        <f>+'R_2014_PAGAL_SASKAITAS (Lt)'!P40/'R_2014_PAGAL_SASKAITAS (Lt)'!$D40</f>
        <v>1</v>
      </c>
      <c r="Q40" s="127">
        <f>+'R_2014_PAGAL_SASKAITAS (Lt)'!Q40/'R_2014_PAGAL_SASKAITAS (Lt)'!$D40</f>
        <v>1</v>
      </c>
      <c r="R40" s="5">
        <f t="shared" si="6"/>
        <v>11</v>
      </c>
      <c r="S40" s="71"/>
    </row>
    <row r="41" spans="1:20" x14ac:dyDescent="0.25">
      <c r="A41" s="46" t="s">
        <v>89</v>
      </c>
      <c r="B41" s="53" t="s">
        <v>137</v>
      </c>
      <c r="C41" s="59" t="s">
        <v>112</v>
      </c>
      <c r="D41" s="60">
        <v>405</v>
      </c>
      <c r="E41" s="155"/>
      <c r="F41" s="127">
        <f>+'R_2014_PAGAL_SASKAITAS (Lt)'!F41/'R_2014_PAGAL_SASKAITAS (Lt)'!$D41</f>
        <v>0</v>
      </c>
      <c r="G41" s="127">
        <f>+'R_2014_PAGAL_SASKAITAS (Lt)'!G41/'R_2014_PAGAL_SASKAITAS (Lt)'!$D41</f>
        <v>0</v>
      </c>
      <c r="H41" s="127">
        <f>+'R_2014_PAGAL_SASKAITAS (Lt)'!H41/'R_2014_PAGAL_SASKAITAS (Lt)'!$D41</f>
        <v>0</v>
      </c>
      <c r="I41" s="127">
        <f>+'R_2014_PAGAL_SASKAITAS (Lt)'!I41/'R_2014_PAGAL_SASKAITAS (Lt)'!$D41</f>
        <v>0</v>
      </c>
      <c r="J41" s="127">
        <f>+'R_2014_PAGAL_SASKAITAS (Lt)'!J41/'R_2014_PAGAL_SASKAITAS (Lt)'!$D41</f>
        <v>0</v>
      </c>
      <c r="K41" s="127">
        <f>+'R_2014_PAGAL_SASKAITAS (Lt)'!K41/'R_2014_PAGAL_SASKAITAS (Lt)'!$D41</f>
        <v>0</v>
      </c>
      <c r="L41" s="127">
        <f>+'R_2014_PAGAL_SASKAITAS (Lt)'!L41/'R_2014_PAGAL_SASKAITAS (Lt)'!$D41</f>
        <v>0</v>
      </c>
      <c r="M41" s="127">
        <f>+'R_2014_PAGAL_SASKAITAS (Lt)'!M41/'R_2014_PAGAL_SASKAITAS (Lt)'!$D41</f>
        <v>0</v>
      </c>
      <c r="N41" s="127">
        <f>+'R_2014_PAGAL_SASKAITAS (Lt)'!N41/'R_2014_PAGAL_SASKAITAS (Lt)'!$D41</f>
        <v>1</v>
      </c>
      <c r="O41" s="127">
        <f>+'R_2014_PAGAL_SASKAITAS (Lt)'!O41/'R_2014_PAGAL_SASKAITAS (Lt)'!$D41</f>
        <v>0</v>
      </c>
      <c r="P41" s="127">
        <f>+'R_2014_PAGAL_SASKAITAS (Lt)'!P41/'R_2014_PAGAL_SASKAITAS (Lt)'!$D41</f>
        <v>0</v>
      </c>
      <c r="Q41" s="127">
        <f>+'R_2014_PAGAL_SASKAITAS (Lt)'!Q41/'R_2014_PAGAL_SASKAITAS (Lt)'!$D41</f>
        <v>0</v>
      </c>
      <c r="R41" s="5">
        <f t="shared" si="6"/>
        <v>1</v>
      </c>
      <c r="S41" s="71"/>
    </row>
    <row r="42" spans="1:20" x14ac:dyDescent="0.25">
      <c r="A42" s="54" t="s">
        <v>90</v>
      </c>
      <c r="B42" s="55" t="s">
        <v>138</v>
      </c>
      <c r="C42" s="245" t="s">
        <v>113</v>
      </c>
      <c r="D42" s="246">
        <v>162</v>
      </c>
      <c r="E42" s="60"/>
      <c r="F42" s="96">
        <f>+'R_2014_PAGAL_SASKAITAS (Lt)'!F42/'R_2014_PAGAL_SASKAITAS (Lt)'!$D42</f>
        <v>0</v>
      </c>
      <c r="G42" s="96">
        <f>+'R_2014_PAGAL_SASKAITAS (Lt)'!G42/'R_2014_PAGAL_SASKAITAS (Lt)'!$D42</f>
        <v>1</v>
      </c>
      <c r="H42" s="96">
        <f>+'R_2014_PAGAL_SASKAITAS (Lt)'!H42/'R_2014_PAGAL_SASKAITAS (Lt)'!$D42</f>
        <v>0</v>
      </c>
      <c r="I42" s="96">
        <f>+'R_2014_PAGAL_SASKAITAS (Lt)'!I42/'R_2014_PAGAL_SASKAITAS (Lt)'!$D42</f>
        <v>0</v>
      </c>
      <c r="J42" s="96">
        <f>+'R_2014_PAGAL_SASKAITAS (Lt)'!J42/'R_2014_PAGAL_SASKAITAS (Lt)'!$D42</f>
        <v>0</v>
      </c>
      <c r="K42" s="96">
        <f>+'R_2014_PAGAL_SASKAITAS (Lt)'!K42/'R_2014_PAGAL_SASKAITAS (Lt)'!$D42</f>
        <v>1</v>
      </c>
      <c r="L42" s="96">
        <f>+'R_2014_PAGAL_SASKAITAS (Lt)'!L42/'R_2014_PAGAL_SASKAITAS (Lt)'!$D42</f>
        <v>0</v>
      </c>
      <c r="M42" s="96">
        <f>+'R_2014_PAGAL_SASKAITAS (Lt)'!M42/'R_2014_PAGAL_SASKAITAS (Lt)'!$D42</f>
        <v>9</v>
      </c>
      <c r="N42" s="96">
        <f>+'R_2014_PAGAL_SASKAITAS (Lt)'!N42/'R_2014_PAGAL_SASKAITAS (Lt)'!$D42</f>
        <v>23</v>
      </c>
      <c r="O42" s="96">
        <f>+'R_2014_PAGAL_SASKAITAS (Lt)'!O42/'R_2014_PAGAL_SASKAITAS (Lt)'!$D42</f>
        <v>1</v>
      </c>
      <c r="P42" s="96">
        <f>+'R_2014_PAGAL_SASKAITAS (Lt)'!P42/'R_2014_PAGAL_SASKAITAS (Lt)'!$D42</f>
        <v>0</v>
      </c>
      <c r="Q42" s="201">
        <f>+'R_2014_PAGAL_SASKAITAS (Lt)'!Q42/'R_2014_PAGAL_SASKAITAS (Lt)'!$D42</f>
        <v>1</v>
      </c>
      <c r="R42" s="26">
        <f t="shared" si="6"/>
        <v>36</v>
      </c>
      <c r="S42" s="71"/>
    </row>
    <row r="43" spans="1:20" x14ac:dyDescent="0.25">
      <c r="A43" s="47" t="s">
        <v>201</v>
      </c>
      <c r="B43" s="56" t="s">
        <v>200</v>
      </c>
      <c r="C43" s="66" t="s">
        <v>202</v>
      </c>
      <c r="D43" s="67">
        <v>10</v>
      </c>
      <c r="E43" s="148"/>
      <c r="F43" s="148">
        <f>+'R_2014_PAGAL_SASKAITAS (Lt)'!F43/'R_2014_PAGAL_SASKAITAS (Lt)'!$D43</f>
        <v>12463</v>
      </c>
      <c r="G43" s="148">
        <f>+'R_2014_PAGAL_SASKAITAS (Lt)'!G43/'R_2014_PAGAL_SASKAITAS (Lt)'!$D43</f>
        <v>2164</v>
      </c>
      <c r="H43" s="148">
        <f>+'R_2014_PAGAL_SASKAITAS (Lt)'!H43/'R_2014_PAGAL_SASKAITAS (Lt)'!$D43</f>
        <v>1496</v>
      </c>
      <c r="I43" s="148">
        <f>+'R_2014_PAGAL_SASKAITAS (Lt)'!I43/'R_2014_PAGAL_SASKAITAS (Lt)'!$D43</f>
        <v>988</v>
      </c>
      <c r="J43" s="148">
        <f>+'R_2014_PAGAL_SASKAITAS (Lt)'!J43/'R_2014_PAGAL_SASKAITAS (Lt)'!$D43</f>
        <v>665</v>
      </c>
      <c r="K43" s="148">
        <f>+'R_2014_PAGAL_SASKAITAS (Lt)'!K43/'R_2014_PAGAL_SASKAITAS (Lt)'!$D43</f>
        <v>515</v>
      </c>
      <c r="L43" s="148">
        <f>+'R_2014_PAGAL_SASKAITAS (Lt)'!L43/'R_2014_PAGAL_SASKAITAS (Lt)'!$D43</f>
        <v>420</v>
      </c>
      <c r="M43" s="148">
        <f>+'R_2014_PAGAL_SASKAITAS (Lt)'!M43/'R_2014_PAGAL_SASKAITAS (Lt)'!$D43</f>
        <v>345</v>
      </c>
      <c r="N43" s="148">
        <f>+'R_2014_PAGAL_SASKAITAS (Lt)'!N43/'R_2014_PAGAL_SASKAITAS (Lt)'!$D43</f>
        <v>369</v>
      </c>
      <c r="O43" s="148">
        <f>+'R_2014_PAGAL_SASKAITAS (Lt)'!O43/'R_2014_PAGAL_SASKAITAS (Lt)'!$D43</f>
        <v>356</v>
      </c>
      <c r="P43" s="148">
        <f>+'R_2014_PAGAL_SASKAITAS (Lt)'!P43/'R_2014_PAGAL_SASKAITAS (Lt)'!$D43</f>
        <v>358</v>
      </c>
      <c r="Q43" s="149">
        <f>+'R_2014_PAGAL_SASKAITAS (Lt)'!Q43/'R_2014_PAGAL_SASKAITAS (Lt)'!$D43</f>
        <v>3339</v>
      </c>
      <c r="R43" s="26">
        <f t="shared" ref="R43" si="8">+SUM(F43:Q43)</f>
        <v>23478</v>
      </c>
      <c r="S43" s="252"/>
    </row>
    <row r="44" spans="1:20" ht="12" customHeight="1" x14ac:dyDescent="0.25">
      <c r="A44" s="70" t="s">
        <v>16</v>
      </c>
      <c r="B44" s="52" t="s">
        <v>34</v>
      </c>
      <c r="C44" s="80" t="s">
        <v>91</v>
      </c>
      <c r="D44" s="78"/>
      <c r="E44" s="108"/>
      <c r="F44" s="118">
        <f>+SUM(F45:F53)</f>
        <v>24064</v>
      </c>
      <c r="G44" s="82">
        <f>+SUM(G45:G53)</f>
        <v>21458</v>
      </c>
      <c r="H44" s="82">
        <f t="shared" ref="H44:Q44" si="9">+SUM(H45:H53)</f>
        <v>25601</v>
      </c>
      <c r="I44" s="82">
        <f>+SUM(I45:I53)</f>
        <v>28977.000000000004</v>
      </c>
      <c r="J44" s="82">
        <f t="shared" si="9"/>
        <v>30842.000000000004</v>
      </c>
      <c r="K44" s="82">
        <f t="shared" si="9"/>
        <v>39789</v>
      </c>
      <c r="L44" s="82">
        <f t="shared" si="9"/>
        <v>37183</v>
      </c>
      <c r="M44" s="82">
        <f t="shared" si="9"/>
        <v>38055</v>
      </c>
      <c r="N44" s="100">
        <f t="shared" si="9"/>
        <v>31332</v>
      </c>
      <c r="O44" s="100">
        <f t="shared" si="9"/>
        <v>29584</v>
      </c>
      <c r="P44" s="100">
        <f t="shared" si="9"/>
        <v>25792.999999999996</v>
      </c>
      <c r="Q44" s="100">
        <f t="shared" si="9"/>
        <v>32027.000059078862</v>
      </c>
      <c r="R44" s="42">
        <f>+SUM(R45:R53)</f>
        <v>364705.00005907885</v>
      </c>
      <c r="S44" s="71"/>
    </row>
    <row r="45" spans="1:20" ht="12" customHeight="1" x14ac:dyDescent="0.25">
      <c r="A45" s="65" t="s">
        <v>17</v>
      </c>
      <c r="B45" s="86" t="s">
        <v>35</v>
      </c>
      <c r="C45" s="30" t="s">
        <v>2</v>
      </c>
      <c r="D45" s="29">
        <v>12</v>
      </c>
      <c r="E45" s="29"/>
      <c r="F45" s="127">
        <f>+'R_2014_PAGAL_SASKAITAS (Lt)'!F45/'R_2014_PAGAL_SASKAITAS (Lt)'!$D45</f>
        <v>1419</v>
      </c>
      <c r="G45" s="127">
        <f>+'R_2014_PAGAL_SASKAITAS (Lt)'!G45/'R_2014_PAGAL_SASKAITAS (Lt)'!$D45</f>
        <v>1310</v>
      </c>
      <c r="H45" s="127">
        <f>+'R_2014_PAGAL_SASKAITAS (Lt)'!H45/'R_2014_PAGAL_SASKAITAS (Lt)'!$D45</f>
        <v>1472</v>
      </c>
      <c r="I45" s="127">
        <f>+'R_2014_PAGAL_SASKAITAS (Lt)'!I45/'R_2014_PAGAL_SASKAITAS (Lt)'!$D45</f>
        <v>1669</v>
      </c>
      <c r="J45" s="127">
        <f>+'R_2014_PAGAL_SASKAITAS (Lt)'!J45/'R_2014_PAGAL_SASKAITAS (Lt)'!$D45</f>
        <v>1732</v>
      </c>
      <c r="K45" s="127">
        <f>+'R_2014_PAGAL_SASKAITAS (Lt)'!K45/'R_2014_PAGAL_SASKAITAS (Lt)'!$D45</f>
        <v>1837</v>
      </c>
      <c r="L45" s="127">
        <f>+'R_2014_PAGAL_SASKAITAS (Lt)'!L45/'R_2014_PAGAL_SASKAITAS (Lt)'!$D45</f>
        <v>2344</v>
      </c>
      <c r="M45" s="127">
        <f>+'R_2014_PAGAL_SASKAITAS (Lt)'!M45/'R_2014_PAGAL_SASKAITAS (Lt)'!$D45</f>
        <v>2286</v>
      </c>
      <c r="N45" s="127">
        <f>+'R_2014_PAGAL_SASKAITAS (Lt)'!N45/'R_2014_PAGAL_SASKAITAS (Lt)'!$D45</f>
        <v>2058</v>
      </c>
      <c r="O45" s="127">
        <f>+'R_2014_PAGAL_SASKAITAS (Lt)'!O45/'R_2014_PAGAL_SASKAITAS (Lt)'!$D45</f>
        <v>1762</v>
      </c>
      <c r="P45" s="127">
        <f>+'R_2014_PAGAL_SASKAITAS (Lt)'!P45/'R_2014_PAGAL_SASKAITAS (Lt)'!$D45</f>
        <v>1580</v>
      </c>
      <c r="Q45" s="127">
        <f>+'R_2014_PAGAL_SASKAITAS (Lt)'!Q45/'R_2014_PAGAL_SASKAITAS (Lt)'!$D45</f>
        <v>1765</v>
      </c>
      <c r="R45" s="5">
        <f t="shared" si="6"/>
        <v>21234</v>
      </c>
      <c r="S45" s="71"/>
      <c r="T45" s="2"/>
    </row>
    <row r="46" spans="1:20" ht="12" customHeight="1" x14ac:dyDescent="0.25">
      <c r="A46" s="46" t="s">
        <v>18</v>
      </c>
      <c r="B46" s="53" t="s">
        <v>35</v>
      </c>
      <c r="C46" s="11" t="s">
        <v>3</v>
      </c>
      <c r="D46" s="10">
        <v>6</v>
      </c>
      <c r="E46" s="29"/>
      <c r="F46" s="127">
        <f>+'R_2014_PAGAL_SASKAITAS (Lt)'!F46/'R_2014_PAGAL_SASKAITAS (Lt)'!$D46</f>
        <v>366</v>
      </c>
      <c r="G46" s="127">
        <f>+'R_2014_PAGAL_SASKAITAS (Lt)'!G46/'R_2014_PAGAL_SASKAITAS (Lt)'!$D46</f>
        <v>322</v>
      </c>
      <c r="H46" s="127">
        <f>+'R_2014_PAGAL_SASKAITAS (Lt)'!H46/'R_2014_PAGAL_SASKAITAS (Lt)'!$D46</f>
        <v>425</v>
      </c>
      <c r="I46" s="127">
        <f>+'R_2014_PAGAL_SASKAITAS (Lt)'!I46/'R_2014_PAGAL_SASKAITAS (Lt)'!$D46</f>
        <v>442</v>
      </c>
      <c r="J46" s="127">
        <f>+'R_2014_PAGAL_SASKAITAS (Lt)'!J46/'R_2014_PAGAL_SASKAITAS (Lt)'!$D46</f>
        <v>439</v>
      </c>
      <c r="K46" s="127">
        <f>+'R_2014_PAGAL_SASKAITAS (Lt)'!K46/'R_2014_PAGAL_SASKAITAS (Lt)'!$D46</f>
        <v>452</v>
      </c>
      <c r="L46" s="127">
        <f>+'R_2014_PAGAL_SASKAITAS (Lt)'!L46/'R_2014_PAGAL_SASKAITAS (Lt)'!$D46</f>
        <v>501</v>
      </c>
      <c r="M46" s="127">
        <f>+'R_2014_PAGAL_SASKAITAS (Lt)'!M46/'R_2014_PAGAL_SASKAITAS (Lt)'!$D46</f>
        <v>487</v>
      </c>
      <c r="N46" s="127">
        <f>+'R_2014_PAGAL_SASKAITAS (Lt)'!N46/'R_2014_PAGAL_SASKAITAS (Lt)'!$D46</f>
        <v>497</v>
      </c>
      <c r="O46" s="127">
        <f>+'R_2014_PAGAL_SASKAITAS (Lt)'!O46/'R_2014_PAGAL_SASKAITAS (Lt)'!$D46</f>
        <v>517</v>
      </c>
      <c r="P46" s="127">
        <f>+'R_2014_PAGAL_SASKAITAS (Lt)'!P46/'R_2014_PAGAL_SASKAITAS (Lt)'!$D46</f>
        <v>431</v>
      </c>
      <c r="Q46" s="127">
        <f>+'R_2014_PAGAL_SASKAITAS (Lt)'!Q46/'R_2014_PAGAL_SASKAITAS (Lt)'!$D46</f>
        <v>412.00001756666666</v>
      </c>
      <c r="R46" s="5">
        <f t="shared" si="6"/>
        <v>5291.0000175666664</v>
      </c>
      <c r="S46" s="71"/>
    </row>
    <row r="47" spans="1:20" ht="12" customHeight="1" x14ac:dyDescent="0.25">
      <c r="A47" s="46" t="s">
        <v>19</v>
      </c>
      <c r="B47" s="53" t="s">
        <v>35</v>
      </c>
      <c r="C47" s="11" t="s">
        <v>4</v>
      </c>
      <c r="D47" s="10">
        <v>2.4</v>
      </c>
      <c r="E47" s="29"/>
      <c r="F47" s="127">
        <f>+'R_2014_PAGAL_SASKAITAS (Lt)'!F47/'R_2014_PAGAL_SASKAITAS (Lt)'!$D47</f>
        <v>15596.999999999998</v>
      </c>
      <c r="G47" s="127">
        <f>+'R_2014_PAGAL_SASKAITAS (Lt)'!G47/'R_2014_PAGAL_SASKAITAS (Lt)'!$D47</f>
        <v>14367.000000000002</v>
      </c>
      <c r="H47" s="127">
        <f>+'R_2014_PAGAL_SASKAITAS (Lt)'!H47/'R_2014_PAGAL_SASKAITAS (Lt)'!$D47</f>
        <v>17434</v>
      </c>
      <c r="I47" s="127">
        <f>+'R_2014_PAGAL_SASKAITAS (Lt)'!I47/'R_2014_PAGAL_SASKAITAS (Lt)'!$D47</f>
        <v>19157.000000000004</v>
      </c>
      <c r="J47" s="127">
        <f>+'R_2014_PAGAL_SASKAITAS (Lt)'!J47/'R_2014_PAGAL_SASKAITAS (Lt)'!$D47</f>
        <v>20759.000000000004</v>
      </c>
      <c r="K47" s="127">
        <f>+'R_2014_PAGAL_SASKAITAS (Lt)'!K47/'R_2014_PAGAL_SASKAITAS (Lt)'!$D47</f>
        <v>26377.000000000004</v>
      </c>
      <c r="L47" s="127">
        <f>+'R_2014_PAGAL_SASKAITAS (Lt)'!L47/'R_2014_PAGAL_SASKAITAS (Lt)'!$D47</f>
        <v>24593.999999999996</v>
      </c>
      <c r="M47" s="127">
        <f>+'R_2014_PAGAL_SASKAITAS (Lt)'!M47/'R_2014_PAGAL_SASKAITAS (Lt)'!$D47</f>
        <v>26623</v>
      </c>
      <c r="N47" s="127">
        <f>+'R_2014_PAGAL_SASKAITAS (Lt)'!N47/'R_2014_PAGAL_SASKAITAS (Lt)'!$D47</f>
        <v>20401</v>
      </c>
      <c r="O47" s="127">
        <f>+'R_2014_PAGAL_SASKAITAS (Lt)'!O47/'R_2014_PAGAL_SASKAITAS (Lt)'!$D47</f>
        <v>20137</v>
      </c>
      <c r="P47" s="127">
        <f>+'R_2014_PAGAL_SASKAITAS (Lt)'!P47/'R_2014_PAGAL_SASKAITAS (Lt)'!$D47</f>
        <v>17838.999999999996</v>
      </c>
      <c r="Q47" s="127">
        <f>+'R_2014_PAGAL_SASKAITAS (Lt)'!Q47/'R_2014_PAGAL_SASKAITAS (Lt)'!$D47</f>
        <v>20663</v>
      </c>
      <c r="R47" s="5">
        <f t="shared" si="6"/>
        <v>243948</v>
      </c>
      <c r="S47" s="71"/>
      <c r="T47" s="2"/>
    </row>
    <row r="48" spans="1:20" ht="12" customHeight="1" x14ac:dyDescent="0.25">
      <c r="A48" s="46" t="s">
        <v>20</v>
      </c>
      <c r="B48" s="53" t="s">
        <v>35</v>
      </c>
      <c r="C48" s="11" t="s">
        <v>5</v>
      </c>
      <c r="D48" s="10">
        <v>21</v>
      </c>
      <c r="E48" s="29"/>
      <c r="F48" s="127">
        <f>+'R_2014_PAGAL_SASKAITAS (Lt)'!F48/'R_2014_PAGAL_SASKAITAS (Lt)'!$D48</f>
        <v>797</v>
      </c>
      <c r="G48" s="127">
        <f>+'R_2014_PAGAL_SASKAITAS (Lt)'!G48/'R_2014_PAGAL_SASKAITAS (Lt)'!$D48</f>
        <v>713</v>
      </c>
      <c r="H48" s="127">
        <f>+'R_2014_PAGAL_SASKAITAS (Lt)'!H48/'R_2014_PAGAL_SASKAITAS (Lt)'!$D48</f>
        <v>808</v>
      </c>
      <c r="I48" s="127">
        <f>+'R_2014_PAGAL_SASKAITAS (Lt)'!I48/'R_2014_PAGAL_SASKAITAS (Lt)'!$D48</f>
        <v>916</v>
      </c>
      <c r="J48" s="127">
        <f>+'R_2014_PAGAL_SASKAITAS (Lt)'!J48/'R_2014_PAGAL_SASKAITAS (Lt)'!$D48</f>
        <v>1154</v>
      </c>
      <c r="K48" s="127">
        <f>+'R_2014_PAGAL_SASKAITAS (Lt)'!K48/'R_2014_PAGAL_SASKAITAS (Lt)'!$D48</f>
        <v>1501</v>
      </c>
      <c r="L48" s="127">
        <f>+'R_2014_PAGAL_SASKAITAS (Lt)'!L48/'R_2014_PAGAL_SASKAITAS (Lt)'!$D48</f>
        <v>1465</v>
      </c>
      <c r="M48" s="127">
        <f>+'R_2014_PAGAL_SASKAITAS (Lt)'!M48/'R_2014_PAGAL_SASKAITAS (Lt)'!$D48</f>
        <v>1322</v>
      </c>
      <c r="N48" s="127">
        <f>+'R_2014_PAGAL_SASKAITAS (Lt)'!N48/'R_2014_PAGAL_SASKAITAS (Lt)'!$D48</f>
        <v>1286</v>
      </c>
      <c r="O48" s="127">
        <f>+'R_2014_PAGAL_SASKAITAS (Lt)'!O48/'R_2014_PAGAL_SASKAITAS (Lt)'!$D48</f>
        <v>1133</v>
      </c>
      <c r="P48" s="127">
        <f>+'R_2014_PAGAL_SASKAITAS (Lt)'!P48/'R_2014_PAGAL_SASKAITAS (Lt)'!$D48</f>
        <v>901</v>
      </c>
      <c r="Q48" s="127">
        <f>+'R_2014_PAGAL_SASKAITAS (Lt)'!Q48/'R_2014_PAGAL_SASKAITAS (Lt)'!$D48</f>
        <v>1214</v>
      </c>
      <c r="R48" s="5">
        <f t="shared" si="6"/>
        <v>13210</v>
      </c>
      <c r="S48" s="71"/>
      <c r="T48" s="2"/>
    </row>
    <row r="49" spans="1:20" ht="12" customHeight="1" x14ac:dyDescent="0.25">
      <c r="A49" s="46" t="s">
        <v>21</v>
      </c>
      <c r="B49" s="53" t="s">
        <v>35</v>
      </c>
      <c r="C49" s="11" t="s">
        <v>6</v>
      </c>
      <c r="D49" s="10">
        <v>10.5</v>
      </c>
      <c r="E49" s="29"/>
      <c r="F49" s="127">
        <f>+'R_2014_PAGAL_SASKAITAS (Lt)'!F49/'R_2014_PAGAL_SASKAITAS (Lt)'!$D49</f>
        <v>143</v>
      </c>
      <c r="G49" s="127">
        <f>+'R_2014_PAGAL_SASKAITAS (Lt)'!G49/'R_2014_PAGAL_SASKAITAS (Lt)'!$D49</f>
        <v>147</v>
      </c>
      <c r="H49" s="127">
        <f>+'R_2014_PAGAL_SASKAITAS (Lt)'!H49/'R_2014_PAGAL_SASKAITAS (Lt)'!$D49</f>
        <v>192</v>
      </c>
      <c r="I49" s="127">
        <f>+'R_2014_PAGAL_SASKAITAS (Lt)'!I49/'R_2014_PAGAL_SASKAITAS (Lt)'!$D49</f>
        <v>184</v>
      </c>
      <c r="J49" s="127">
        <f>+'R_2014_PAGAL_SASKAITAS (Lt)'!J49/'R_2014_PAGAL_SASKAITAS (Lt)'!$D49</f>
        <v>208</v>
      </c>
      <c r="K49" s="127">
        <f>+'R_2014_PAGAL_SASKAITAS (Lt)'!K49/'R_2014_PAGAL_SASKAITAS (Lt)'!$D49</f>
        <v>246</v>
      </c>
      <c r="L49" s="127">
        <f>+'R_2014_PAGAL_SASKAITAS (Lt)'!L49/'R_2014_PAGAL_SASKAITAS (Lt)'!$D49</f>
        <v>285</v>
      </c>
      <c r="M49" s="127">
        <f>+'R_2014_PAGAL_SASKAITAS (Lt)'!M49/'R_2014_PAGAL_SASKAITAS (Lt)'!$D49</f>
        <v>246</v>
      </c>
      <c r="N49" s="127">
        <f>+'R_2014_PAGAL_SASKAITAS (Lt)'!N49/'R_2014_PAGAL_SASKAITAS (Lt)'!$D49</f>
        <v>246</v>
      </c>
      <c r="O49" s="127">
        <f>+'R_2014_PAGAL_SASKAITAS (Lt)'!O49/'R_2014_PAGAL_SASKAITAS (Lt)'!$D49</f>
        <v>230</v>
      </c>
      <c r="P49" s="127">
        <f>+'R_2014_PAGAL_SASKAITAS (Lt)'!P49/'R_2014_PAGAL_SASKAITAS (Lt)'!$D49</f>
        <v>199</v>
      </c>
      <c r="Q49" s="127">
        <f>+'R_2014_PAGAL_SASKAITAS (Lt)'!Q49/'R_2014_PAGAL_SASKAITAS (Lt)'!$D49</f>
        <v>189</v>
      </c>
      <c r="R49" s="5">
        <f t="shared" si="6"/>
        <v>2515</v>
      </c>
      <c r="S49" s="71"/>
    </row>
    <row r="50" spans="1:20" ht="12" customHeight="1" x14ac:dyDescent="0.25">
      <c r="A50" s="46" t="s">
        <v>22</v>
      </c>
      <c r="B50" s="53" t="s">
        <v>35</v>
      </c>
      <c r="C50" s="11" t="s">
        <v>7</v>
      </c>
      <c r="D50" s="10">
        <v>4.2</v>
      </c>
      <c r="E50" s="29"/>
      <c r="F50" s="127">
        <f>+'R_2014_PAGAL_SASKAITAS (Lt)'!F50/'R_2014_PAGAL_SASKAITAS (Lt)'!$D50</f>
        <v>2304</v>
      </c>
      <c r="G50" s="127">
        <f>+'R_2014_PAGAL_SASKAITAS (Lt)'!G50/'R_2014_PAGAL_SASKAITAS (Lt)'!$D50</f>
        <v>1974.0000000000002</v>
      </c>
      <c r="H50" s="127">
        <f>+'R_2014_PAGAL_SASKAITAS (Lt)'!H50/'R_2014_PAGAL_SASKAITAS (Lt)'!$D50</f>
        <v>2270</v>
      </c>
      <c r="I50" s="127">
        <f>+'R_2014_PAGAL_SASKAITAS (Lt)'!I50/'R_2014_PAGAL_SASKAITAS (Lt)'!$D50</f>
        <v>3085</v>
      </c>
      <c r="J50" s="127">
        <f>+'R_2014_PAGAL_SASKAITAS (Lt)'!J50/'R_2014_PAGAL_SASKAITAS (Lt)'!$D50</f>
        <v>2623.9999999999995</v>
      </c>
      <c r="K50" s="127">
        <f>+'R_2014_PAGAL_SASKAITAS (Lt)'!K50/'R_2014_PAGAL_SASKAITAS (Lt)'!$D50</f>
        <v>3890</v>
      </c>
      <c r="L50" s="127">
        <f>+'R_2014_PAGAL_SASKAITAS (Lt)'!L50/'R_2014_PAGAL_SASKAITAS (Lt)'!$D50</f>
        <v>3292.9999999999995</v>
      </c>
      <c r="M50" s="127">
        <f>+'R_2014_PAGAL_SASKAITAS (Lt)'!M50/'R_2014_PAGAL_SASKAITAS (Lt)'!$D50</f>
        <v>3208.9999999999991</v>
      </c>
      <c r="N50" s="127">
        <f>+'R_2014_PAGAL_SASKAITAS (Lt)'!N50/'R_2014_PAGAL_SASKAITAS (Lt)'!$D50</f>
        <v>2733</v>
      </c>
      <c r="O50" s="127">
        <f>+'R_2014_PAGAL_SASKAITAS (Lt)'!O50/'R_2014_PAGAL_SASKAITAS (Lt)'!$D50</f>
        <v>2524.0000000000005</v>
      </c>
      <c r="P50" s="127">
        <f>+'R_2014_PAGAL_SASKAITAS (Lt)'!P50/'R_2014_PAGAL_SASKAITAS (Lt)'!$D50</f>
        <v>2178.9999999999995</v>
      </c>
      <c r="Q50" s="127">
        <f>+'R_2014_PAGAL_SASKAITAS (Lt)'!Q50/'R_2014_PAGAL_SASKAITAS (Lt)'!$D50</f>
        <v>3023.9999999999995</v>
      </c>
      <c r="R50" s="5">
        <f t="shared" si="6"/>
        <v>33109</v>
      </c>
      <c r="S50" s="71"/>
      <c r="T50" s="2"/>
    </row>
    <row r="51" spans="1:20" ht="12" customHeight="1" x14ac:dyDescent="0.25">
      <c r="A51" s="46" t="s">
        <v>23</v>
      </c>
      <c r="B51" s="53" t="s">
        <v>35</v>
      </c>
      <c r="C51" s="11" t="s">
        <v>8</v>
      </c>
      <c r="D51" s="10">
        <v>41</v>
      </c>
      <c r="E51" s="29"/>
      <c r="F51" s="127">
        <f>+'R_2014_PAGAL_SASKAITAS (Lt)'!F51/'R_2014_PAGAL_SASKAITAS (Lt)'!$D51</f>
        <v>1633</v>
      </c>
      <c r="G51" s="127">
        <f>+'R_2014_PAGAL_SASKAITAS (Lt)'!G51/'R_2014_PAGAL_SASKAITAS (Lt)'!$D51</f>
        <v>1457</v>
      </c>
      <c r="H51" s="127">
        <f>+'R_2014_PAGAL_SASKAITAS (Lt)'!H51/'R_2014_PAGAL_SASKAITAS (Lt)'!$D51</f>
        <v>1639</v>
      </c>
      <c r="I51" s="127">
        <f>+'R_2014_PAGAL_SASKAITAS (Lt)'!I51/'R_2014_PAGAL_SASKAITAS (Lt)'!$D51</f>
        <v>1840</v>
      </c>
      <c r="J51" s="127">
        <f>+'R_2014_PAGAL_SASKAITAS (Lt)'!J51/'R_2014_PAGAL_SASKAITAS (Lt)'!$D51</f>
        <v>1904</v>
      </c>
      <c r="K51" s="127">
        <f>+'R_2014_PAGAL_SASKAITAS (Lt)'!K51/'R_2014_PAGAL_SASKAITAS (Lt)'!$D51</f>
        <v>2412</v>
      </c>
      <c r="L51" s="127">
        <f>+'R_2014_PAGAL_SASKAITAS (Lt)'!L51/'R_2014_PAGAL_SASKAITAS (Lt)'!$D51</f>
        <v>2565</v>
      </c>
      <c r="M51" s="127">
        <f>+'R_2014_PAGAL_SASKAITAS (Lt)'!M51/'R_2014_PAGAL_SASKAITAS (Lt)'!$D51</f>
        <v>2179</v>
      </c>
      <c r="N51" s="127">
        <f>+'R_2014_PAGAL_SASKAITAS (Lt)'!N51/'R_2014_PAGAL_SASKAITAS (Lt)'!$D51</f>
        <v>2318</v>
      </c>
      <c r="O51" s="127">
        <f>+'R_2014_PAGAL_SASKAITAS (Lt)'!O51/'R_2014_PAGAL_SASKAITAS (Lt)'!$D51</f>
        <v>1876</v>
      </c>
      <c r="P51" s="127">
        <f>+'R_2014_PAGAL_SASKAITAS (Lt)'!P51/'R_2014_PAGAL_SASKAITAS (Lt)'!$D51</f>
        <v>1500</v>
      </c>
      <c r="Q51" s="127">
        <f>+'R_2014_PAGAL_SASKAITAS (Lt)'!Q51/'R_2014_PAGAL_SASKAITAS (Lt)'!$D51</f>
        <v>2182</v>
      </c>
      <c r="R51" s="5">
        <f t="shared" si="6"/>
        <v>23505</v>
      </c>
      <c r="S51" s="71"/>
    </row>
    <row r="52" spans="1:20" ht="12" customHeight="1" x14ac:dyDescent="0.25">
      <c r="A52" s="46" t="s">
        <v>24</v>
      </c>
      <c r="B52" s="53" t="s">
        <v>35</v>
      </c>
      <c r="C52" s="11" t="s">
        <v>9</v>
      </c>
      <c r="D52" s="10">
        <v>20.5</v>
      </c>
      <c r="E52" s="29"/>
      <c r="F52" s="127">
        <f>+'R_2014_PAGAL_SASKAITAS (Lt)'!F52/'R_2014_PAGAL_SASKAITAS (Lt)'!$D52</f>
        <v>235</v>
      </c>
      <c r="G52" s="127">
        <f>+'R_2014_PAGAL_SASKAITAS (Lt)'!G52/'R_2014_PAGAL_SASKAITAS (Lt)'!$D52</f>
        <v>207</v>
      </c>
      <c r="H52" s="127">
        <f>+'R_2014_PAGAL_SASKAITAS (Lt)'!H52/'R_2014_PAGAL_SASKAITAS (Lt)'!$D52</f>
        <v>299</v>
      </c>
      <c r="I52" s="127">
        <f>+'R_2014_PAGAL_SASKAITAS (Lt)'!I52/'R_2014_PAGAL_SASKAITAS (Lt)'!$D52</f>
        <v>315</v>
      </c>
      <c r="J52" s="127">
        <f>+'R_2014_PAGAL_SASKAITAS (Lt)'!J52/'R_2014_PAGAL_SASKAITAS (Lt)'!$D52</f>
        <v>360</v>
      </c>
      <c r="K52" s="127">
        <f>+'R_2014_PAGAL_SASKAITAS (Lt)'!K52/'R_2014_PAGAL_SASKAITAS (Lt)'!$D52</f>
        <v>446</v>
      </c>
      <c r="L52" s="127">
        <f>+'R_2014_PAGAL_SASKAITAS (Lt)'!L52/'R_2014_PAGAL_SASKAITAS (Lt)'!$D52</f>
        <v>492</v>
      </c>
      <c r="M52" s="127">
        <f>+'R_2014_PAGAL_SASKAITAS (Lt)'!M52/'R_2014_PAGAL_SASKAITAS (Lt)'!$D52</f>
        <v>382</v>
      </c>
      <c r="N52" s="127">
        <f>+'R_2014_PAGAL_SASKAITAS (Lt)'!N52/'R_2014_PAGAL_SASKAITAS (Lt)'!$D52</f>
        <v>343</v>
      </c>
      <c r="O52" s="127">
        <f>+'R_2014_PAGAL_SASKAITAS (Lt)'!O52/'R_2014_PAGAL_SASKAITAS (Lt)'!$D52</f>
        <v>351</v>
      </c>
      <c r="P52" s="127">
        <f>+'R_2014_PAGAL_SASKAITAS (Lt)'!P52/'R_2014_PAGAL_SASKAITAS (Lt)'!$D52</f>
        <v>317</v>
      </c>
      <c r="Q52" s="127">
        <f>+'R_2014_PAGAL_SASKAITAS (Lt)'!Q52/'R_2014_PAGAL_SASKAITAS (Lt)'!$D52</f>
        <v>322</v>
      </c>
      <c r="R52" s="5">
        <f t="shared" si="6"/>
        <v>4069</v>
      </c>
      <c r="S52" s="71"/>
    </row>
    <row r="53" spans="1:20" ht="12" customHeight="1" x14ac:dyDescent="0.25">
      <c r="A53" s="47" t="s">
        <v>25</v>
      </c>
      <c r="B53" s="56" t="s">
        <v>35</v>
      </c>
      <c r="C53" s="12" t="s">
        <v>10</v>
      </c>
      <c r="D53" s="7">
        <v>8.1999999999999993</v>
      </c>
      <c r="E53" s="7"/>
      <c r="F53" s="199">
        <f>+'R_2014_PAGAL_SASKAITAS (Lt)'!F53/'R_2014_PAGAL_SASKAITAS (Lt)'!$D53</f>
        <v>1570.0000000000002</v>
      </c>
      <c r="G53" s="199">
        <f>+'R_2014_PAGAL_SASKAITAS (Lt)'!G53/'R_2014_PAGAL_SASKAITAS (Lt)'!$D53</f>
        <v>961.00000000000011</v>
      </c>
      <c r="H53" s="199">
        <f>+'R_2014_PAGAL_SASKAITAS (Lt)'!H53/'R_2014_PAGAL_SASKAITAS (Lt)'!$D53</f>
        <v>1062</v>
      </c>
      <c r="I53" s="199">
        <f>+'R_2014_PAGAL_SASKAITAS (Lt)'!I53/'R_2014_PAGAL_SASKAITAS (Lt)'!$D53</f>
        <v>1369.0000000000002</v>
      </c>
      <c r="J53" s="199">
        <f>+'R_2014_PAGAL_SASKAITAS (Lt)'!J53/'R_2014_PAGAL_SASKAITAS (Lt)'!$D53</f>
        <v>1662</v>
      </c>
      <c r="K53" s="199">
        <f>+'R_2014_PAGAL_SASKAITAS (Lt)'!K53/'R_2014_PAGAL_SASKAITAS (Lt)'!$D53</f>
        <v>2628.0000000000009</v>
      </c>
      <c r="L53" s="199">
        <f>+'R_2014_PAGAL_SASKAITAS (Lt)'!L53/'R_2014_PAGAL_SASKAITAS (Lt)'!$D53</f>
        <v>1644.0000000000002</v>
      </c>
      <c r="M53" s="199">
        <f>+'R_2014_PAGAL_SASKAITAS (Lt)'!M53/'R_2014_PAGAL_SASKAITAS (Lt)'!$D53</f>
        <v>1321.0000000000002</v>
      </c>
      <c r="N53" s="199">
        <f>+'R_2014_PAGAL_SASKAITAS (Lt)'!N53/'R_2014_PAGAL_SASKAITAS (Lt)'!$D53</f>
        <v>1450.0000000000007</v>
      </c>
      <c r="O53" s="199">
        <f>+'R_2014_PAGAL_SASKAITAS (Lt)'!O53/'R_2014_PAGAL_SASKAITAS (Lt)'!$D53</f>
        <v>1054.0000000000002</v>
      </c>
      <c r="P53" s="199">
        <f>+'R_2014_PAGAL_SASKAITAS (Lt)'!P53/'R_2014_PAGAL_SASKAITAS (Lt)'!$D53</f>
        <v>847.00000000000011</v>
      </c>
      <c r="Q53" s="199">
        <f>+'R_2014_PAGAL_SASKAITAS (Lt)'!Q53/'R_2014_PAGAL_SASKAITAS (Lt)'!$D53</f>
        <v>2256.0000415121958</v>
      </c>
      <c r="R53" s="6">
        <f t="shared" si="6"/>
        <v>17824.000041512198</v>
      </c>
      <c r="S53" s="35"/>
    </row>
    <row r="54" spans="1:20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20" x14ac:dyDescent="0.25"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57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pageSetUpPr fitToPage="1"/>
  </sheetPr>
  <dimension ref="A1:V54"/>
  <sheetViews>
    <sheetView zoomScaleNormal="100" workbookViewId="0">
      <pane xSplit="4" ySplit="3" topLeftCell="Q10" activePane="bottomRight" state="frozen"/>
      <selection pane="topRight" activeCell="E1" sqref="E1"/>
      <selection pane="bottomLeft" activeCell="A2" sqref="A2"/>
      <selection pane="bottomRight" activeCell="U12" sqref="U12"/>
    </sheetView>
  </sheetViews>
  <sheetFormatPr defaultColWidth="8.88671875" defaultRowHeight="13.2" outlineLevelRow="1" outlineLevelCol="1" x14ac:dyDescent="0.25"/>
  <cols>
    <col min="1" max="1" width="11.88671875" style="1" customWidth="1"/>
    <col min="2" max="2" width="5" style="3" customWidth="1"/>
    <col min="3" max="3" width="41" style="1" customWidth="1"/>
    <col min="4" max="4" width="9.88671875" style="4" customWidth="1"/>
    <col min="5" max="5" width="7.88671875" style="4" customWidth="1"/>
    <col min="6" max="6" width="12.6640625" style="4" customWidth="1" outlineLevel="1"/>
    <col min="7" max="13" width="12.6640625" style="1" customWidth="1" outlineLevel="1"/>
    <col min="14" max="17" width="13" style="1" customWidth="1" outlineLevel="1"/>
    <col min="18" max="18" width="13.88671875" style="1" customWidth="1"/>
    <col min="19" max="19" width="12.44140625" style="1" customWidth="1"/>
    <col min="20" max="20" width="12.5546875" style="1" bestFit="1" customWidth="1"/>
    <col min="21" max="21" width="8.88671875" style="141"/>
    <col min="22" max="16384" width="8.88671875" style="1"/>
  </cols>
  <sheetData>
    <row r="1" spans="1:21" ht="21.6" customHeight="1" x14ac:dyDescent="0.3">
      <c r="A1" s="40" t="s">
        <v>249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1" ht="18" customHeight="1" x14ac:dyDescent="0.25">
      <c r="D2" s="3"/>
      <c r="E2" s="3"/>
      <c r="F2" s="3"/>
      <c r="G2" s="2"/>
      <c r="H2" s="2"/>
      <c r="I2" s="2"/>
      <c r="K2" s="3"/>
      <c r="L2" s="3"/>
      <c r="M2" s="3"/>
      <c r="Q2" s="2"/>
      <c r="R2" s="2"/>
    </row>
    <row r="3" spans="1:21" ht="37.5" customHeight="1" x14ac:dyDescent="0.25">
      <c r="A3" s="81" t="s">
        <v>39</v>
      </c>
      <c r="B3" s="57" t="s">
        <v>37</v>
      </c>
      <c r="C3" s="20" t="s">
        <v>40</v>
      </c>
      <c r="D3" s="88" t="s">
        <v>38</v>
      </c>
      <c r="E3" s="146" t="s">
        <v>188</v>
      </c>
      <c r="F3" s="20" t="s">
        <v>154</v>
      </c>
      <c r="G3" s="89" t="s">
        <v>155</v>
      </c>
      <c r="H3" s="89" t="s">
        <v>156</v>
      </c>
      <c r="I3" s="89" t="s">
        <v>157</v>
      </c>
      <c r="J3" s="89" t="s">
        <v>158</v>
      </c>
      <c r="K3" s="89" t="s">
        <v>159</v>
      </c>
      <c r="L3" s="89" t="s">
        <v>160</v>
      </c>
      <c r="M3" s="89" t="s">
        <v>161</v>
      </c>
      <c r="N3" s="89" t="s">
        <v>162</v>
      </c>
      <c r="O3" s="89" t="s">
        <v>163</v>
      </c>
      <c r="P3" s="89" t="s">
        <v>164</v>
      </c>
      <c r="Q3" s="89" t="s">
        <v>165</v>
      </c>
      <c r="R3" s="32" t="s">
        <v>166</v>
      </c>
      <c r="S3" s="32" t="s">
        <v>167</v>
      </c>
    </row>
    <row r="4" spans="1:21" ht="12" customHeight="1" x14ac:dyDescent="0.25">
      <c r="A4" s="70" t="s">
        <v>29</v>
      </c>
      <c r="B4" s="52" t="s">
        <v>36</v>
      </c>
      <c r="C4" s="9" t="s">
        <v>45</v>
      </c>
      <c r="D4" s="78"/>
      <c r="E4" s="108"/>
      <c r="F4" s="231">
        <f t="shared" ref="F4:Q4" si="0">+F5+F17+F43</f>
        <v>6953006.4700000007</v>
      </c>
      <c r="G4" s="82">
        <f t="shared" si="0"/>
        <v>6737117.79</v>
      </c>
      <c r="H4" s="82">
        <f t="shared" si="0"/>
        <v>7242884.25</v>
      </c>
      <c r="I4" s="82">
        <f t="shared" si="0"/>
        <v>7034673.4800000004</v>
      </c>
      <c r="J4" s="82">
        <f t="shared" si="0"/>
        <v>6630081.7999999998</v>
      </c>
      <c r="K4" s="82">
        <f t="shared" si="0"/>
        <v>5303037.1399999997</v>
      </c>
      <c r="L4" s="82">
        <f t="shared" si="0"/>
        <v>4609124.37</v>
      </c>
      <c r="M4" s="82">
        <f t="shared" si="0"/>
        <v>5434914.5800000001</v>
      </c>
      <c r="N4" s="437">
        <f t="shared" si="0"/>
        <v>7773077.8399999999</v>
      </c>
      <c r="O4" s="437">
        <f t="shared" si="0"/>
        <v>7273848.5099999998</v>
      </c>
      <c r="P4" s="437">
        <f t="shared" si="0"/>
        <v>6966212.6699999999</v>
      </c>
      <c r="Q4" s="100">
        <f t="shared" si="0"/>
        <v>6780585.4818189992</v>
      </c>
      <c r="R4" s="42">
        <f>+SUM(F4:Q4)</f>
        <v>78738564.381818995</v>
      </c>
      <c r="S4" s="232">
        <f>+R4/1.09</f>
        <v>72237215.029191732</v>
      </c>
      <c r="T4" s="2"/>
    </row>
    <row r="5" spans="1:21" ht="12" customHeight="1" x14ac:dyDescent="0.25">
      <c r="A5" s="70" t="s">
        <v>12</v>
      </c>
      <c r="B5" s="52" t="s">
        <v>30</v>
      </c>
      <c r="C5" s="9" t="s">
        <v>1</v>
      </c>
      <c r="D5" s="78"/>
      <c r="E5" s="108"/>
      <c r="F5" s="231">
        <f t="shared" ref="F5:Q5" si="1">+F6+F10</f>
        <v>942507.07</v>
      </c>
      <c r="G5" s="82">
        <f t="shared" si="1"/>
        <v>886108.59</v>
      </c>
      <c r="H5" s="82">
        <f t="shared" si="1"/>
        <v>1019073.75</v>
      </c>
      <c r="I5" s="82">
        <f t="shared" si="1"/>
        <v>1155725.58</v>
      </c>
      <c r="J5" s="82">
        <f t="shared" si="1"/>
        <v>1114825.6000000001</v>
      </c>
      <c r="K5" s="82">
        <f t="shared" si="1"/>
        <v>1038853.54</v>
      </c>
      <c r="L5" s="82">
        <f t="shared" si="1"/>
        <v>1018006.87</v>
      </c>
      <c r="M5" s="82">
        <f t="shared" si="1"/>
        <v>999807.78</v>
      </c>
      <c r="N5" s="437">
        <f t="shared" si="1"/>
        <v>1061970.3400000001</v>
      </c>
      <c r="O5" s="437">
        <f t="shared" si="1"/>
        <v>1109032.4099999999</v>
      </c>
      <c r="P5" s="437">
        <f t="shared" si="1"/>
        <v>1016481.4699999999</v>
      </c>
      <c r="Q5" s="100">
        <f t="shared" si="1"/>
        <v>1220443.1803519998</v>
      </c>
      <c r="R5" s="42">
        <f>+SUM(F5:Q5)</f>
        <v>12582836.180352002</v>
      </c>
      <c r="S5" s="232">
        <f t="shared" ref="S5:S52" si="2">+R5/1.09</f>
        <v>11543886.403992662</v>
      </c>
    </row>
    <row r="6" spans="1:21" ht="12" customHeight="1" x14ac:dyDescent="0.25">
      <c r="A6" s="70" t="s">
        <v>52</v>
      </c>
      <c r="B6" s="52" t="s">
        <v>31</v>
      </c>
      <c r="C6" s="8" t="s">
        <v>11</v>
      </c>
      <c r="D6" s="79"/>
      <c r="E6" s="79"/>
      <c r="F6" s="126">
        <f t="shared" ref="F6:R6" si="3">+SUM(F7:F9)</f>
        <v>440424.95</v>
      </c>
      <c r="G6" s="126">
        <f t="shared" si="3"/>
        <v>383620.65</v>
      </c>
      <c r="H6" s="126">
        <f t="shared" si="3"/>
        <v>431314.45</v>
      </c>
      <c r="I6" s="126">
        <f t="shared" si="3"/>
        <v>544379.5</v>
      </c>
      <c r="J6" s="126">
        <f t="shared" si="3"/>
        <v>518088.2</v>
      </c>
      <c r="K6" s="126">
        <f t="shared" si="3"/>
        <v>451358.6</v>
      </c>
      <c r="L6" s="126">
        <f t="shared" si="3"/>
        <v>454870.85</v>
      </c>
      <c r="M6" s="126">
        <f t="shared" si="3"/>
        <v>448928.9</v>
      </c>
      <c r="N6" s="519">
        <f t="shared" si="3"/>
        <v>437595.2</v>
      </c>
      <c r="O6" s="519">
        <f t="shared" si="3"/>
        <v>452561.55</v>
      </c>
      <c r="P6" s="519">
        <f t="shared" si="3"/>
        <v>394037.35</v>
      </c>
      <c r="Q6" s="129">
        <f t="shared" si="3"/>
        <v>509558.7</v>
      </c>
      <c r="R6" s="43">
        <f t="shared" si="3"/>
        <v>5466738.9000000004</v>
      </c>
      <c r="S6" s="233">
        <f t="shared" si="2"/>
        <v>5015356.7889908254</v>
      </c>
    </row>
    <row r="7" spans="1:21" ht="12" customHeight="1" outlineLevel="1" x14ac:dyDescent="0.25">
      <c r="A7" s="46" t="s">
        <v>13</v>
      </c>
      <c r="B7" s="53" t="s">
        <v>47</v>
      </c>
      <c r="C7" s="37" t="s">
        <v>50</v>
      </c>
      <c r="D7" s="10">
        <v>3.5</v>
      </c>
      <c r="E7" s="49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201"/>
      <c r="R7" s="5">
        <f t="shared" ref="R7:R52" si="4">+SUM(F7:Q7)</f>
        <v>0</v>
      </c>
      <c r="S7" s="235">
        <f t="shared" si="2"/>
        <v>0</v>
      </c>
    </row>
    <row r="8" spans="1:21" ht="12" customHeight="1" x14ac:dyDescent="0.25">
      <c r="A8" s="54" t="s">
        <v>49</v>
      </c>
      <c r="B8" s="55" t="s">
        <v>48</v>
      </c>
      <c r="C8" s="27" t="s">
        <v>51</v>
      </c>
      <c r="D8" s="38">
        <f t="shared" ref="D8" si="5">+D7*0.5</f>
        <v>1.75</v>
      </c>
      <c r="E8" s="49">
        <v>1.75</v>
      </c>
      <c r="F8" s="96">
        <v>424005.75</v>
      </c>
      <c r="G8" s="96">
        <v>373980.25</v>
      </c>
      <c r="H8" s="96">
        <v>413089.25</v>
      </c>
      <c r="I8" s="96">
        <v>480819.5</v>
      </c>
      <c r="J8" s="96">
        <v>473557</v>
      </c>
      <c r="K8" s="96">
        <v>424039</v>
      </c>
      <c r="L8" s="96">
        <v>435755.25</v>
      </c>
      <c r="M8" s="96">
        <v>431700.5</v>
      </c>
      <c r="N8" s="96">
        <v>420434</v>
      </c>
      <c r="O8" s="96">
        <v>434932.75</v>
      </c>
      <c r="P8" s="96">
        <v>376167.75</v>
      </c>
      <c r="Q8" s="96">
        <v>435655.5</v>
      </c>
      <c r="R8" s="5">
        <f t="shared" si="4"/>
        <v>5124136.5</v>
      </c>
      <c r="S8" s="235">
        <f t="shared" si="2"/>
        <v>4701042.6605504584</v>
      </c>
    </row>
    <row r="9" spans="1:21" ht="12" customHeight="1" x14ac:dyDescent="0.25">
      <c r="A9" s="47" t="s">
        <v>185</v>
      </c>
      <c r="B9" s="56" t="s">
        <v>186</v>
      </c>
      <c r="C9" s="222" t="s">
        <v>187</v>
      </c>
      <c r="D9" s="50">
        <v>0.7</v>
      </c>
      <c r="E9" s="97">
        <v>2.8</v>
      </c>
      <c r="F9" s="18">
        <v>16419.2</v>
      </c>
      <c r="G9" s="14">
        <v>9640.4</v>
      </c>
      <c r="H9" s="14">
        <v>18225.2</v>
      </c>
      <c r="I9" s="14">
        <v>63559.999999999993</v>
      </c>
      <c r="J9" s="14">
        <v>44531.199999999997</v>
      </c>
      <c r="K9" s="14">
        <v>27319.599999999999</v>
      </c>
      <c r="L9" s="14">
        <v>19115.599999999999</v>
      </c>
      <c r="M9" s="18">
        <v>17228.400000000001</v>
      </c>
      <c r="N9" s="18">
        <v>17161.2</v>
      </c>
      <c r="O9" s="18">
        <v>17628.8</v>
      </c>
      <c r="P9" s="14">
        <v>17869.599999999999</v>
      </c>
      <c r="Q9" s="14">
        <v>73903.199999999997</v>
      </c>
      <c r="R9" s="5">
        <f t="shared" si="4"/>
        <v>342602.4</v>
      </c>
      <c r="S9" s="236">
        <f t="shared" si="2"/>
        <v>314314.128440367</v>
      </c>
      <c r="T9" s="2"/>
      <c r="U9" s="1"/>
    </row>
    <row r="10" spans="1:21" ht="12" customHeight="1" x14ac:dyDescent="0.25">
      <c r="A10" s="70" t="s">
        <v>14</v>
      </c>
      <c r="B10" s="52" t="s">
        <v>32</v>
      </c>
      <c r="C10" s="8" t="s">
        <v>46</v>
      </c>
      <c r="D10" s="79"/>
      <c r="E10" s="109"/>
      <c r="F10" s="16">
        <f t="shared" ref="F10:R10" si="6">+SUM(F11:F16)</f>
        <v>502082.11999999994</v>
      </c>
      <c r="G10" s="84">
        <f t="shared" si="6"/>
        <v>502487.93999999994</v>
      </c>
      <c r="H10" s="84">
        <f t="shared" si="6"/>
        <v>587759.29999999993</v>
      </c>
      <c r="I10" s="84">
        <f t="shared" si="6"/>
        <v>611346.08000000007</v>
      </c>
      <c r="J10" s="84">
        <f t="shared" si="6"/>
        <v>596737.40000000014</v>
      </c>
      <c r="K10" s="84">
        <f t="shared" si="6"/>
        <v>587494.94000000006</v>
      </c>
      <c r="L10" s="84">
        <f t="shared" si="6"/>
        <v>563136.02</v>
      </c>
      <c r="M10" s="74">
        <f t="shared" si="6"/>
        <v>550878.88</v>
      </c>
      <c r="N10" s="101">
        <f t="shared" si="6"/>
        <v>624375.14</v>
      </c>
      <c r="O10" s="101">
        <f t="shared" si="6"/>
        <v>656470.86</v>
      </c>
      <c r="P10" s="101">
        <f t="shared" si="6"/>
        <v>622444.11999999988</v>
      </c>
      <c r="Q10" s="101">
        <f t="shared" ref="Q10" si="7">+SUM(Q11:Q16)</f>
        <v>710884.48035199975</v>
      </c>
      <c r="R10" s="43">
        <f t="shared" si="6"/>
        <v>7116097.2803520001</v>
      </c>
      <c r="S10" s="233">
        <f t="shared" si="2"/>
        <v>6528529.6150018349</v>
      </c>
    </row>
    <row r="11" spans="1:21" outlineLevel="1" x14ac:dyDescent="0.25">
      <c r="A11" s="58" t="s">
        <v>53</v>
      </c>
      <c r="B11" s="53" t="s">
        <v>145</v>
      </c>
      <c r="C11" s="59" t="s">
        <v>54</v>
      </c>
      <c r="D11" s="60">
        <v>2.2000000000000002</v>
      </c>
      <c r="E11" s="155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5">
        <f t="shared" si="4"/>
        <v>0</v>
      </c>
      <c r="S11" s="235">
        <f t="shared" si="2"/>
        <v>0</v>
      </c>
    </row>
    <row r="12" spans="1:21" x14ac:dyDescent="0.25">
      <c r="A12" s="58" t="s">
        <v>55</v>
      </c>
      <c r="B12" s="53" t="s">
        <v>139</v>
      </c>
      <c r="C12" s="59" t="s">
        <v>92</v>
      </c>
      <c r="D12" s="60">
        <v>1.1000000000000001</v>
      </c>
      <c r="E12" s="155">
        <v>1.1000000000000001</v>
      </c>
      <c r="F12" s="127">
        <v>459595.39999999991</v>
      </c>
      <c r="G12" s="127">
        <v>461968.1</v>
      </c>
      <c r="H12" s="127">
        <v>538140.89999999991</v>
      </c>
      <c r="I12" s="127">
        <v>558888</v>
      </c>
      <c r="J12" s="127">
        <v>543807.00000000012</v>
      </c>
      <c r="K12" s="127">
        <v>533144.70000000007</v>
      </c>
      <c r="L12" s="127">
        <v>513170.9</v>
      </c>
      <c r="M12" s="127">
        <v>499435.2</v>
      </c>
      <c r="N12" s="127">
        <v>565376.9</v>
      </c>
      <c r="O12" s="127">
        <v>598849.9</v>
      </c>
      <c r="P12" s="127">
        <v>569584.39999999991</v>
      </c>
      <c r="Q12" s="127">
        <v>654770.59999999974</v>
      </c>
      <c r="R12" s="5">
        <f t="shared" si="4"/>
        <v>6496732</v>
      </c>
      <c r="S12" s="235">
        <f t="shared" si="2"/>
        <v>5960304.5871559633</v>
      </c>
    </row>
    <row r="13" spans="1:21" x14ac:dyDescent="0.25">
      <c r="A13" s="58" t="s">
        <v>56</v>
      </c>
      <c r="B13" s="53" t="s">
        <v>140</v>
      </c>
      <c r="C13" s="59" t="s">
        <v>93</v>
      </c>
      <c r="D13" s="62">
        <v>0.44</v>
      </c>
      <c r="E13" s="156">
        <v>1.76</v>
      </c>
      <c r="F13" s="127">
        <v>22894.079999999998</v>
      </c>
      <c r="G13" s="127">
        <v>21941.920000000002</v>
      </c>
      <c r="H13" s="127">
        <v>27531.680000000004</v>
      </c>
      <c r="I13" s="127">
        <v>27637.280000000002</v>
      </c>
      <c r="J13" s="127">
        <v>27112.799999999999</v>
      </c>
      <c r="K13" s="127">
        <v>28362.400000000001</v>
      </c>
      <c r="L13" s="127">
        <v>25273.599999999999</v>
      </c>
      <c r="M13" s="127">
        <v>25718.880000000001</v>
      </c>
      <c r="N13" s="127">
        <v>31745.119999999999</v>
      </c>
      <c r="O13" s="127">
        <v>29707.040000000008</v>
      </c>
      <c r="P13" s="127">
        <v>27555.079999999994</v>
      </c>
      <c r="Q13" s="127">
        <v>31582.679999999997</v>
      </c>
      <c r="R13" s="5">
        <f t="shared" si="4"/>
        <v>327062.56000000006</v>
      </c>
      <c r="S13" s="235">
        <f t="shared" si="2"/>
        <v>300057.39449541288</v>
      </c>
    </row>
    <row r="14" spans="1:21" outlineLevel="1" x14ac:dyDescent="0.25">
      <c r="A14" s="58" t="s">
        <v>57</v>
      </c>
      <c r="B14" s="53" t="s">
        <v>192</v>
      </c>
      <c r="C14" s="59" t="s">
        <v>58</v>
      </c>
      <c r="D14" s="62">
        <v>3.2</v>
      </c>
      <c r="E14" s="156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5">
        <f t="shared" si="4"/>
        <v>0</v>
      </c>
      <c r="S14" s="235">
        <f t="shared" si="2"/>
        <v>0</v>
      </c>
    </row>
    <row r="15" spans="1:21" ht="12.75" x14ac:dyDescent="0.2">
      <c r="A15" s="58" t="s">
        <v>59</v>
      </c>
      <c r="B15" s="53" t="s">
        <v>193</v>
      </c>
      <c r="C15" s="59" t="s">
        <v>94</v>
      </c>
      <c r="D15" s="62">
        <v>1.6</v>
      </c>
      <c r="E15" s="156">
        <v>1.6</v>
      </c>
      <c r="F15" s="127">
        <v>18200.000000000004</v>
      </c>
      <c r="G15" s="127">
        <v>17075.2</v>
      </c>
      <c r="H15" s="127">
        <v>20302.400000000001</v>
      </c>
      <c r="I15" s="127">
        <v>22964.800000000003</v>
      </c>
      <c r="J15" s="127">
        <v>23974.399999999998</v>
      </c>
      <c r="K15" s="127">
        <v>24121.599999999995</v>
      </c>
      <c r="L15" s="127">
        <v>22804.800000000007</v>
      </c>
      <c r="M15" s="127">
        <v>23894.399999999998</v>
      </c>
      <c r="N15" s="127">
        <v>25020.799999999999</v>
      </c>
      <c r="O15" s="127">
        <v>25579.199999999993</v>
      </c>
      <c r="P15" s="127">
        <v>22977.600000000002</v>
      </c>
      <c r="Q15" s="127">
        <v>21817.599999999999</v>
      </c>
      <c r="R15" s="5">
        <f t="shared" si="4"/>
        <v>268732.79999999999</v>
      </c>
      <c r="S15" s="235">
        <f t="shared" si="2"/>
        <v>246543.85321100915</v>
      </c>
    </row>
    <row r="16" spans="1:21" x14ac:dyDescent="0.25">
      <c r="A16" s="58" t="s">
        <v>60</v>
      </c>
      <c r="B16" s="53" t="s">
        <v>194</v>
      </c>
      <c r="C16" s="63" t="s">
        <v>95</v>
      </c>
      <c r="D16" s="63">
        <v>0.64</v>
      </c>
      <c r="E16" s="157">
        <v>2.56</v>
      </c>
      <c r="F16" s="127">
        <v>1392.6399999999996</v>
      </c>
      <c r="G16" s="127">
        <v>1502.7199999999998</v>
      </c>
      <c r="H16" s="127">
        <v>1784.32</v>
      </c>
      <c r="I16" s="127">
        <v>1856.0000000000002</v>
      </c>
      <c r="J16" s="127">
        <v>1843.2000000000003</v>
      </c>
      <c r="K16" s="127">
        <v>1866.24</v>
      </c>
      <c r="L16" s="127">
        <v>1886.7199999999998</v>
      </c>
      <c r="M16" s="127">
        <v>1830.3999999999996</v>
      </c>
      <c r="N16" s="127">
        <v>2232.3200000000002</v>
      </c>
      <c r="O16" s="127">
        <v>2334.7200000000003</v>
      </c>
      <c r="P16" s="127">
        <v>2327.04</v>
      </c>
      <c r="Q16" s="127">
        <v>2713.6003519999999</v>
      </c>
      <c r="R16" s="5">
        <f t="shared" si="4"/>
        <v>23569.920352000001</v>
      </c>
      <c r="S16" s="236">
        <f t="shared" si="2"/>
        <v>21623.78013944954</v>
      </c>
    </row>
    <row r="17" spans="1:22" ht="12" customHeight="1" x14ac:dyDescent="0.25">
      <c r="A17" s="70" t="s">
        <v>15</v>
      </c>
      <c r="B17" s="52" t="s">
        <v>33</v>
      </c>
      <c r="C17" s="9" t="s">
        <v>141</v>
      </c>
      <c r="D17" s="78"/>
      <c r="E17" s="108"/>
      <c r="F17" s="231">
        <f t="shared" ref="F17:S17" si="8">+SUM(F18:F42)</f>
        <v>5762050</v>
      </c>
      <c r="G17" s="231">
        <f t="shared" si="8"/>
        <v>5640683</v>
      </c>
      <c r="H17" s="231">
        <f t="shared" si="8"/>
        <v>5972779</v>
      </c>
      <c r="I17" s="231">
        <f t="shared" si="8"/>
        <v>5587268</v>
      </c>
      <c r="J17" s="231">
        <f t="shared" si="8"/>
        <v>5205175</v>
      </c>
      <c r="K17" s="231">
        <f t="shared" si="8"/>
        <v>3844976</v>
      </c>
      <c r="L17" s="231">
        <f t="shared" si="8"/>
        <v>3229685</v>
      </c>
      <c r="M17" s="231">
        <f t="shared" si="8"/>
        <v>4068950</v>
      </c>
      <c r="N17" s="231">
        <f t="shared" si="8"/>
        <v>6409187</v>
      </c>
      <c r="O17" s="231">
        <f t="shared" si="8"/>
        <v>5881814</v>
      </c>
      <c r="P17" s="118">
        <f t="shared" si="8"/>
        <v>5702914</v>
      </c>
      <c r="Q17" s="118">
        <f t="shared" ref="Q17" si="9">+SUM(Q18:Q42)</f>
        <v>5225920</v>
      </c>
      <c r="R17" s="117">
        <f t="shared" si="8"/>
        <v>62531401</v>
      </c>
      <c r="S17" s="117">
        <f t="shared" si="8"/>
        <v>57368257.798165135</v>
      </c>
    </row>
    <row r="18" spans="1:22" ht="14.4" outlineLevel="1" x14ac:dyDescent="0.3">
      <c r="A18" s="68" t="s">
        <v>61</v>
      </c>
      <c r="B18" s="69" t="s">
        <v>117</v>
      </c>
      <c r="C18" s="90" t="s">
        <v>62</v>
      </c>
      <c r="D18" s="91">
        <v>100</v>
      </c>
      <c r="E18" s="155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5">
        <f t="shared" si="4"/>
        <v>0</v>
      </c>
      <c r="S18" s="234">
        <f t="shared" si="2"/>
        <v>0</v>
      </c>
      <c r="U18" s="142"/>
      <c r="V18"/>
    </row>
    <row r="19" spans="1:22" ht="14.4" x14ac:dyDescent="0.3">
      <c r="A19" s="46" t="s">
        <v>63</v>
      </c>
      <c r="B19" s="53" t="s">
        <v>116</v>
      </c>
      <c r="C19" s="59" t="s">
        <v>64</v>
      </c>
      <c r="D19" s="60">
        <v>50</v>
      </c>
      <c r="E19" s="155">
        <v>50</v>
      </c>
      <c r="F19" s="127">
        <v>886350</v>
      </c>
      <c r="G19" s="127">
        <v>827900</v>
      </c>
      <c r="H19" s="127">
        <v>924250</v>
      </c>
      <c r="I19" s="127">
        <v>921350</v>
      </c>
      <c r="J19" s="127">
        <v>913850</v>
      </c>
      <c r="K19" s="127">
        <v>858100</v>
      </c>
      <c r="L19" s="127">
        <v>845850</v>
      </c>
      <c r="M19" s="127">
        <v>859050</v>
      </c>
      <c r="N19" s="127">
        <v>914900</v>
      </c>
      <c r="O19" s="127">
        <v>944200</v>
      </c>
      <c r="P19" s="127">
        <v>877300</v>
      </c>
      <c r="Q19" s="127">
        <v>958350</v>
      </c>
      <c r="R19" s="5">
        <f t="shared" si="4"/>
        <v>10731450</v>
      </c>
      <c r="S19" s="235">
        <f t="shared" si="2"/>
        <v>9845366.9724770635</v>
      </c>
      <c r="T19" s="138"/>
      <c r="U19" s="142"/>
    </row>
    <row r="20" spans="1:22" ht="14.4" x14ac:dyDescent="0.3">
      <c r="A20" s="46" t="s">
        <v>65</v>
      </c>
      <c r="B20" s="53" t="s">
        <v>115</v>
      </c>
      <c r="C20" s="59" t="s">
        <v>66</v>
      </c>
      <c r="D20" s="60">
        <v>20</v>
      </c>
      <c r="E20" s="155">
        <v>80</v>
      </c>
      <c r="F20" s="127">
        <v>4558960</v>
      </c>
      <c r="G20" s="127">
        <v>4530000</v>
      </c>
      <c r="H20" s="127">
        <v>4751520</v>
      </c>
      <c r="I20" s="127">
        <v>4466640</v>
      </c>
      <c r="J20" s="127">
        <v>4140080</v>
      </c>
      <c r="K20" s="127">
        <v>2887600</v>
      </c>
      <c r="L20" s="127">
        <v>2302880</v>
      </c>
      <c r="M20" s="127">
        <v>2928080</v>
      </c>
      <c r="N20" s="127">
        <v>4972080</v>
      </c>
      <c r="O20" s="127">
        <v>4657360</v>
      </c>
      <c r="P20" s="127">
        <v>4515360</v>
      </c>
      <c r="Q20" s="127">
        <v>3976960</v>
      </c>
      <c r="R20" s="5">
        <f t="shared" si="4"/>
        <v>48687520</v>
      </c>
      <c r="S20" s="235">
        <f t="shared" si="2"/>
        <v>44667449.541284397</v>
      </c>
      <c r="T20" s="138"/>
      <c r="U20" s="142"/>
    </row>
    <row r="21" spans="1:22" ht="14.4" outlineLevel="1" x14ac:dyDescent="0.3">
      <c r="A21" s="46" t="s">
        <v>67</v>
      </c>
      <c r="B21" s="53" t="s">
        <v>118</v>
      </c>
      <c r="C21" s="59" t="s">
        <v>68</v>
      </c>
      <c r="D21" s="60">
        <v>90</v>
      </c>
      <c r="E21" s="155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5">
        <f t="shared" si="4"/>
        <v>0</v>
      </c>
      <c r="S21" s="235">
        <f t="shared" si="2"/>
        <v>0</v>
      </c>
      <c r="T21" s="138"/>
      <c r="U21" s="142"/>
    </row>
    <row r="22" spans="1:22" ht="14.4" x14ac:dyDescent="0.3">
      <c r="A22" s="46" t="s">
        <v>69</v>
      </c>
      <c r="B22" s="53" t="s">
        <v>119</v>
      </c>
      <c r="C22" s="59" t="s">
        <v>70</v>
      </c>
      <c r="D22" s="60">
        <v>45</v>
      </c>
      <c r="E22" s="155">
        <v>45</v>
      </c>
      <c r="F22" s="127">
        <v>31005</v>
      </c>
      <c r="G22" s="127">
        <v>30105</v>
      </c>
      <c r="H22" s="127">
        <v>30825</v>
      </c>
      <c r="I22" s="127">
        <v>29250</v>
      </c>
      <c r="J22" s="127">
        <v>28890</v>
      </c>
      <c r="K22" s="127">
        <v>25065</v>
      </c>
      <c r="L22" s="127">
        <v>23670</v>
      </c>
      <c r="M22" s="127">
        <v>25920</v>
      </c>
      <c r="N22" s="127">
        <v>34335</v>
      </c>
      <c r="O22" s="127">
        <v>33705</v>
      </c>
      <c r="P22" s="127">
        <v>30915</v>
      </c>
      <c r="Q22" s="127">
        <v>26640</v>
      </c>
      <c r="R22" s="5">
        <f t="shared" si="4"/>
        <v>350325</v>
      </c>
      <c r="S22" s="235">
        <f t="shared" si="2"/>
        <v>321399.08256880729</v>
      </c>
      <c r="T22" s="141"/>
      <c r="U22" s="142"/>
    </row>
    <row r="23" spans="1:22" ht="14.4" x14ac:dyDescent="0.3">
      <c r="A23" s="46" t="s">
        <v>71</v>
      </c>
      <c r="B23" s="53" t="s">
        <v>120</v>
      </c>
      <c r="C23" s="59" t="s">
        <v>72</v>
      </c>
      <c r="D23" s="60">
        <v>18</v>
      </c>
      <c r="E23" s="155">
        <v>72</v>
      </c>
      <c r="F23" s="127">
        <v>124704</v>
      </c>
      <c r="G23" s="127">
        <v>116784</v>
      </c>
      <c r="H23" s="127">
        <v>115776</v>
      </c>
      <c r="I23" s="127">
        <v>101664</v>
      </c>
      <c r="J23" s="127">
        <v>68616</v>
      </c>
      <c r="K23" s="127">
        <v>22104</v>
      </c>
      <c r="L23" s="127">
        <v>10224</v>
      </c>
      <c r="M23" s="127">
        <v>41328</v>
      </c>
      <c r="N23" s="127">
        <v>147312</v>
      </c>
      <c r="O23" s="127">
        <v>123336</v>
      </c>
      <c r="P23" s="127">
        <v>133056</v>
      </c>
      <c r="Q23" s="127">
        <v>73584</v>
      </c>
      <c r="R23" s="5">
        <f t="shared" si="4"/>
        <v>1078488</v>
      </c>
      <c r="S23" s="235">
        <f t="shared" si="2"/>
        <v>989438.53211009165</v>
      </c>
      <c r="U23" s="142"/>
    </row>
    <row r="24" spans="1:22" ht="14.4" outlineLevel="1" x14ac:dyDescent="0.3">
      <c r="A24" s="46" t="s">
        <v>73</v>
      </c>
      <c r="B24" s="53" t="s">
        <v>121</v>
      </c>
      <c r="C24" s="59" t="s">
        <v>96</v>
      </c>
      <c r="D24" s="60">
        <v>300</v>
      </c>
      <c r="E24" s="155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5">
        <f t="shared" si="4"/>
        <v>0</v>
      </c>
      <c r="S24" s="235">
        <f t="shared" si="2"/>
        <v>0</v>
      </c>
      <c r="U24" s="142"/>
    </row>
    <row r="25" spans="1:22" ht="14.4" x14ac:dyDescent="0.3">
      <c r="A25" s="46" t="s">
        <v>74</v>
      </c>
      <c r="B25" s="53" t="s">
        <v>122</v>
      </c>
      <c r="C25" s="59" t="s">
        <v>97</v>
      </c>
      <c r="D25" s="60">
        <v>150</v>
      </c>
      <c r="E25" s="155">
        <v>150</v>
      </c>
      <c r="F25" s="127">
        <v>4050</v>
      </c>
      <c r="G25" s="127">
        <v>6300</v>
      </c>
      <c r="H25" s="127">
        <v>9150</v>
      </c>
      <c r="I25" s="127">
        <v>4200</v>
      </c>
      <c r="J25" s="127">
        <v>4350</v>
      </c>
      <c r="K25" s="127">
        <v>7800</v>
      </c>
      <c r="L25" s="127">
        <v>3750</v>
      </c>
      <c r="M25" s="127">
        <v>5550</v>
      </c>
      <c r="N25" s="127">
        <v>9300</v>
      </c>
      <c r="O25" s="127">
        <v>4950</v>
      </c>
      <c r="P25" s="127">
        <v>8250</v>
      </c>
      <c r="Q25" s="127">
        <v>24900</v>
      </c>
      <c r="R25" s="5">
        <f t="shared" si="4"/>
        <v>92550</v>
      </c>
      <c r="S25" s="235">
        <f t="shared" si="2"/>
        <v>84908.256880733941</v>
      </c>
      <c r="U25" s="142"/>
    </row>
    <row r="26" spans="1:22" ht="14.4" x14ac:dyDescent="0.3">
      <c r="A26" s="46" t="s">
        <v>75</v>
      </c>
      <c r="B26" s="53" t="s">
        <v>123</v>
      </c>
      <c r="C26" s="59" t="s">
        <v>98</v>
      </c>
      <c r="D26" s="60">
        <v>60</v>
      </c>
      <c r="E26" s="155">
        <v>240</v>
      </c>
      <c r="F26" s="127">
        <v>121200</v>
      </c>
      <c r="G26" s="127">
        <v>110400</v>
      </c>
      <c r="H26" s="127">
        <v>129360</v>
      </c>
      <c r="I26" s="127">
        <v>55680</v>
      </c>
      <c r="J26" s="127">
        <v>41760</v>
      </c>
      <c r="K26" s="127">
        <v>32880</v>
      </c>
      <c r="L26" s="127">
        <v>30240</v>
      </c>
      <c r="M26" s="127">
        <v>107520</v>
      </c>
      <c r="N26" s="127">
        <v>173040</v>
      </c>
      <c r="O26" s="127">
        <v>85920</v>
      </c>
      <c r="P26" s="127">
        <v>94560</v>
      </c>
      <c r="Q26" s="127">
        <v>116160</v>
      </c>
      <c r="R26" s="5">
        <f t="shared" si="4"/>
        <v>1098720</v>
      </c>
      <c r="S26" s="235">
        <f t="shared" si="2"/>
        <v>1007999.9999999999</v>
      </c>
      <c r="U26" s="142"/>
    </row>
    <row r="27" spans="1:22" ht="14.4" outlineLevel="1" x14ac:dyDescent="0.3">
      <c r="A27" s="46" t="s">
        <v>76</v>
      </c>
      <c r="B27" s="53" t="s">
        <v>124</v>
      </c>
      <c r="C27" s="59" t="s">
        <v>99</v>
      </c>
      <c r="D27" s="60">
        <v>270</v>
      </c>
      <c r="E27" s="155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5">
        <f t="shared" si="4"/>
        <v>0</v>
      </c>
      <c r="S27" s="235">
        <f t="shared" si="2"/>
        <v>0</v>
      </c>
      <c r="U27" s="142"/>
    </row>
    <row r="28" spans="1:22" ht="14.4" x14ac:dyDescent="0.3">
      <c r="A28" s="46" t="s">
        <v>77</v>
      </c>
      <c r="B28" s="53" t="s">
        <v>125</v>
      </c>
      <c r="C28" s="59" t="s">
        <v>100</v>
      </c>
      <c r="D28" s="60">
        <v>135</v>
      </c>
      <c r="E28" s="155">
        <v>135</v>
      </c>
      <c r="F28" s="127">
        <v>135</v>
      </c>
      <c r="G28" s="127">
        <v>270</v>
      </c>
      <c r="H28" s="127">
        <v>810</v>
      </c>
      <c r="I28" s="127">
        <v>0</v>
      </c>
      <c r="J28" s="127">
        <v>135</v>
      </c>
      <c r="K28" s="127">
        <v>135</v>
      </c>
      <c r="L28" s="127">
        <v>135</v>
      </c>
      <c r="M28" s="127">
        <v>270</v>
      </c>
      <c r="N28" s="127">
        <v>405</v>
      </c>
      <c r="O28" s="127">
        <v>135</v>
      </c>
      <c r="P28" s="127">
        <v>135</v>
      </c>
      <c r="Q28" s="127">
        <v>270</v>
      </c>
      <c r="R28" s="5">
        <f t="shared" si="4"/>
        <v>2835</v>
      </c>
      <c r="S28" s="235">
        <f t="shared" si="2"/>
        <v>2600.9174311926604</v>
      </c>
      <c r="U28" s="142"/>
    </row>
    <row r="29" spans="1:22" ht="14.4" x14ac:dyDescent="0.3">
      <c r="A29" s="46" t="s">
        <v>78</v>
      </c>
      <c r="B29" s="53" t="s">
        <v>126</v>
      </c>
      <c r="C29" s="59" t="s">
        <v>101</v>
      </c>
      <c r="D29" s="60">
        <v>54</v>
      </c>
      <c r="E29" s="155">
        <v>216</v>
      </c>
      <c r="F29" s="127">
        <v>9288</v>
      </c>
      <c r="G29" s="127">
        <v>5616</v>
      </c>
      <c r="H29" s="127">
        <v>6048</v>
      </c>
      <c r="I29" s="127">
        <v>1944</v>
      </c>
      <c r="J29" s="127">
        <v>864</v>
      </c>
      <c r="K29" s="127">
        <v>432</v>
      </c>
      <c r="L29" s="127">
        <v>216</v>
      </c>
      <c r="M29" s="127">
        <v>7128</v>
      </c>
      <c r="N29" s="127">
        <v>15336</v>
      </c>
      <c r="O29" s="127">
        <v>6264</v>
      </c>
      <c r="P29" s="127">
        <v>7344</v>
      </c>
      <c r="Q29" s="127">
        <v>6912</v>
      </c>
      <c r="R29" s="5">
        <f t="shared" si="4"/>
        <v>67392</v>
      </c>
      <c r="S29" s="235">
        <f t="shared" si="2"/>
        <v>61827.522935779809</v>
      </c>
      <c r="U29" s="142"/>
    </row>
    <row r="30" spans="1:22" ht="14.4" outlineLevel="1" x14ac:dyDescent="0.3">
      <c r="A30" s="46" t="s">
        <v>79</v>
      </c>
      <c r="B30" s="53" t="s">
        <v>127</v>
      </c>
      <c r="C30" s="59" t="s">
        <v>102</v>
      </c>
      <c r="D30" s="60">
        <v>600</v>
      </c>
      <c r="E30" s="155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5">
        <f t="shared" si="4"/>
        <v>0</v>
      </c>
      <c r="S30" s="235">
        <f t="shared" si="2"/>
        <v>0</v>
      </c>
      <c r="U30" s="142"/>
    </row>
    <row r="31" spans="1:22" ht="14.4" x14ac:dyDescent="0.3">
      <c r="A31" s="46" t="s">
        <v>80</v>
      </c>
      <c r="B31" s="53" t="s">
        <v>128</v>
      </c>
      <c r="C31" s="59" t="s">
        <v>103</v>
      </c>
      <c r="D31" s="60">
        <v>300</v>
      </c>
      <c r="E31" s="155">
        <v>300</v>
      </c>
      <c r="F31" s="127">
        <v>900</v>
      </c>
      <c r="G31" s="127">
        <v>2100</v>
      </c>
      <c r="H31" s="127">
        <v>1200</v>
      </c>
      <c r="I31" s="127">
        <v>300</v>
      </c>
      <c r="J31" s="127">
        <v>900</v>
      </c>
      <c r="K31" s="127">
        <v>900</v>
      </c>
      <c r="L31" s="127">
        <v>1200</v>
      </c>
      <c r="M31" s="127">
        <v>1500</v>
      </c>
      <c r="N31" s="127">
        <v>1200</v>
      </c>
      <c r="O31" s="127">
        <v>0</v>
      </c>
      <c r="P31" s="127">
        <v>600</v>
      </c>
      <c r="Q31" s="127">
        <v>3000</v>
      </c>
      <c r="R31" s="5">
        <f t="shared" si="4"/>
        <v>13800</v>
      </c>
      <c r="S31" s="235">
        <f t="shared" si="2"/>
        <v>12660.550458715596</v>
      </c>
      <c r="U31" s="142"/>
    </row>
    <row r="32" spans="1:22" ht="14.4" x14ac:dyDescent="0.3">
      <c r="A32" s="46" t="s">
        <v>81</v>
      </c>
      <c r="B32" s="53" t="s">
        <v>129</v>
      </c>
      <c r="C32" s="59" t="s">
        <v>104</v>
      </c>
      <c r="D32" s="60">
        <v>120</v>
      </c>
      <c r="E32" s="155">
        <v>480</v>
      </c>
      <c r="F32" s="127">
        <v>21120</v>
      </c>
      <c r="G32" s="127">
        <v>9120</v>
      </c>
      <c r="H32" s="127">
        <v>3840</v>
      </c>
      <c r="I32" s="127">
        <v>1920</v>
      </c>
      <c r="J32" s="127">
        <v>3840</v>
      </c>
      <c r="K32" s="127">
        <v>6720</v>
      </c>
      <c r="L32" s="127">
        <v>5760</v>
      </c>
      <c r="M32" s="127">
        <v>24960</v>
      </c>
      <c r="N32" s="127">
        <v>24000</v>
      </c>
      <c r="O32" s="127">
        <v>12480</v>
      </c>
      <c r="P32" s="127">
        <v>26880</v>
      </c>
      <c r="Q32" s="127">
        <v>30720</v>
      </c>
      <c r="R32" s="5">
        <f t="shared" si="4"/>
        <v>171360</v>
      </c>
      <c r="S32" s="235">
        <f t="shared" si="2"/>
        <v>157211.00917431191</v>
      </c>
      <c r="U32" s="142"/>
    </row>
    <row r="33" spans="1:22" ht="14.4" outlineLevel="1" x14ac:dyDescent="0.3">
      <c r="A33" s="46" t="s">
        <v>82</v>
      </c>
      <c r="B33" s="53" t="s">
        <v>130</v>
      </c>
      <c r="C33" s="59" t="s">
        <v>105</v>
      </c>
      <c r="D33" s="60">
        <v>540</v>
      </c>
      <c r="E33" s="155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5">
        <f t="shared" si="4"/>
        <v>0</v>
      </c>
      <c r="S33" s="235">
        <f t="shared" si="2"/>
        <v>0</v>
      </c>
      <c r="U33" s="142"/>
    </row>
    <row r="34" spans="1:22" ht="14.4" x14ac:dyDescent="0.3">
      <c r="A34" s="46" t="s">
        <v>83</v>
      </c>
      <c r="B34" s="53" t="s">
        <v>131</v>
      </c>
      <c r="C34" s="59" t="s">
        <v>106</v>
      </c>
      <c r="D34" s="60">
        <v>270</v>
      </c>
      <c r="E34" s="155">
        <v>270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540</v>
      </c>
      <c r="R34" s="5">
        <f t="shared" si="4"/>
        <v>540</v>
      </c>
      <c r="S34" s="235">
        <f t="shared" si="2"/>
        <v>495.41284403669721</v>
      </c>
      <c r="U34" s="142"/>
    </row>
    <row r="35" spans="1:22" ht="14.4" x14ac:dyDescent="0.3">
      <c r="A35" s="46" t="s">
        <v>84</v>
      </c>
      <c r="B35" s="53" t="s">
        <v>132</v>
      </c>
      <c r="C35" s="59" t="s">
        <v>107</v>
      </c>
      <c r="D35" s="60">
        <v>108</v>
      </c>
      <c r="E35" s="155">
        <v>432</v>
      </c>
      <c r="F35" s="127">
        <v>1728</v>
      </c>
      <c r="G35" s="127">
        <v>0</v>
      </c>
      <c r="H35" s="127">
        <v>0</v>
      </c>
      <c r="I35" s="127">
        <v>0</v>
      </c>
      <c r="J35" s="127">
        <v>0</v>
      </c>
      <c r="K35" s="127">
        <v>432</v>
      </c>
      <c r="L35" s="127">
        <v>0</v>
      </c>
      <c r="M35" s="127">
        <v>432</v>
      </c>
      <c r="N35" s="127">
        <v>2160</v>
      </c>
      <c r="O35" s="127">
        <v>1296</v>
      </c>
      <c r="P35" s="127">
        <v>3024</v>
      </c>
      <c r="Q35" s="127">
        <v>1296</v>
      </c>
      <c r="R35" s="5">
        <f t="shared" si="4"/>
        <v>10368</v>
      </c>
      <c r="S35" s="235">
        <f t="shared" si="2"/>
        <v>9511.9266055045864</v>
      </c>
      <c r="U35" s="142"/>
    </row>
    <row r="36" spans="1:22" ht="14.4" outlineLevel="1" x14ac:dyDescent="0.3">
      <c r="A36" s="46" t="s">
        <v>85</v>
      </c>
      <c r="B36" s="53" t="s">
        <v>133</v>
      </c>
      <c r="C36" s="59" t="s">
        <v>108</v>
      </c>
      <c r="D36" s="60">
        <v>900</v>
      </c>
      <c r="E36" s="155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5">
        <f t="shared" si="4"/>
        <v>0</v>
      </c>
      <c r="S36" s="235">
        <f t="shared" si="2"/>
        <v>0</v>
      </c>
      <c r="U36" s="142"/>
    </row>
    <row r="37" spans="1:22" ht="14.4" x14ac:dyDescent="0.3">
      <c r="A37" s="46" t="s">
        <v>86</v>
      </c>
      <c r="B37" s="53" t="s">
        <v>134</v>
      </c>
      <c r="C37" s="59" t="s">
        <v>109</v>
      </c>
      <c r="D37" s="60">
        <v>450</v>
      </c>
      <c r="E37" s="155">
        <v>450</v>
      </c>
      <c r="F37" s="127">
        <v>450</v>
      </c>
      <c r="G37" s="127">
        <v>0</v>
      </c>
      <c r="H37" s="127">
        <v>0</v>
      </c>
      <c r="I37" s="127">
        <v>0</v>
      </c>
      <c r="J37" s="127">
        <v>450</v>
      </c>
      <c r="K37" s="127">
        <v>0</v>
      </c>
      <c r="L37" s="127">
        <v>0</v>
      </c>
      <c r="M37" s="127">
        <v>900</v>
      </c>
      <c r="N37" s="127">
        <v>450</v>
      </c>
      <c r="O37" s="127">
        <v>0</v>
      </c>
      <c r="P37" s="127">
        <v>450</v>
      </c>
      <c r="Q37" s="127">
        <v>900</v>
      </c>
      <c r="R37" s="5">
        <f t="shared" si="4"/>
        <v>3600</v>
      </c>
      <c r="S37" s="235">
        <f t="shared" si="2"/>
        <v>3302.7522935779816</v>
      </c>
      <c r="U37" s="142"/>
    </row>
    <row r="38" spans="1:22" ht="14.4" x14ac:dyDescent="0.3">
      <c r="A38" s="46" t="s">
        <v>87</v>
      </c>
      <c r="B38" s="53" t="s">
        <v>135</v>
      </c>
      <c r="C38" s="59" t="s">
        <v>110</v>
      </c>
      <c r="D38" s="60">
        <v>180</v>
      </c>
      <c r="E38" s="155">
        <v>720</v>
      </c>
      <c r="F38" s="127">
        <v>2160</v>
      </c>
      <c r="G38" s="127">
        <v>1440</v>
      </c>
      <c r="H38" s="127">
        <v>0</v>
      </c>
      <c r="I38" s="127">
        <v>4320</v>
      </c>
      <c r="J38" s="127">
        <v>1440</v>
      </c>
      <c r="K38" s="127">
        <v>2160</v>
      </c>
      <c r="L38" s="127">
        <v>5760</v>
      </c>
      <c r="M38" s="127">
        <v>60480</v>
      </c>
      <c r="N38" s="127">
        <v>99360</v>
      </c>
      <c r="O38" s="127">
        <v>11520</v>
      </c>
      <c r="P38" s="127">
        <v>5040</v>
      </c>
      <c r="Q38" s="127">
        <v>5040</v>
      </c>
      <c r="R38" s="5">
        <f t="shared" si="4"/>
        <v>198720</v>
      </c>
      <c r="S38" s="235">
        <f t="shared" si="2"/>
        <v>182311.92660550459</v>
      </c>
      <c r="U38" s="142"/>
    </row>
    <row r="39" spans="1:22" ht="14.4" outlineLevel="1" x14ac:dyDescent="0.3">
      <c r="A39" s="46" t="s">
        <v>88</v>
      </c>
      <c r="B39" s="53" t="s">
        <v>136</v>
      </c>
      <c r="C39" s="59" t="s">
        <v>111</v>
      </c>
      <c r="D39" s="60">
        <v>810</v>
      </c>
      <c r="E39" s="155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5">
        <f t="shared" si="4"/>
        <v>0</v>
      </c>
      <c r="S39" s="235">
        <f t="shared" si="2"/>
        <v>0</v>
      </c>
      <c r="U39" s="142"/>
    </row>
    <row r="40" spans="1:22" ht="14.4" x14ac:dyDescent="0.3">
      <c r="A40" s="46" t="s">
        <v>89</v>
      </c>
      <c r="B40" s="53" t="s">
        <v>137</v>
      </c>
      <c r="C40" s="59" t="s">
        <v>112</v>
      </c>
      <c r="D40" s="60">
        <v>405</v>
      </c>
      <c r="E40" s="155">
        <v>405</v>
      </c>
      <c r="F40" s="127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405</v>
      </c>
      <c r="O40" s="127">
        <v>0</v>
      </c>
      <c r="P40" s="127">
        <v>0</v>
      </c>
      <c r="Q40" s="127">
        <v>0</v>
      </c>
      <c r="R40" s="5">
        <f t="shared" si="4"/>
        <v>405</v>
      </c>
      <c r="S40" s="235">
        <f t="shared" si="2"/>
        <v>371.55963302752292</v>
      </c>
      <c r="U40" s="142"/>
    </row>
    <row r="41" spans="1:22" ht="14.4" x14ac:dyDescent="0.3">
      <c r="A41" s="54" t="s">
        <v>90</v>
      </c>
      <c r="B41" s="55" t="s">
        <v>138</v>
      </c>
      <c r="C41" s="245" t="s">
        <v>113</v>
      </c>
      <c r="D41" s="246">
        <v>162</v>
      </c>
      <c r="E41" s="158">
        <v>648</v>
      </c>
      <c r="F41" s="221">
        <v>0</v>
      </c>
      <c r="G41" s="221">
        <v>648</v>
      </c>
      <c r="H41" s="221">
        <v>0</v>
      </c>
      <c r="I41" s="221">
        <v>0</v>
      </c>
      <c r="J41" s="221">
        <v>0</v>
      </c>
      <c r="K41" s="221">
        <v>648</v>
      </c>
      <c r="L41" s="221">
        <v>0</v>
      </c>
      <c r="M41" s="221">
        <v>5832</v>
      </c>
      <c r="N41" s="221">
        <v>14904</v>
      </c>
      <c r="O41" s="221">
        <v>648</v>
      </c>
      <c r="P41" s="221">
        <v>0</v>
      </c>
      <c r="Q41" s="221">
        <v>648</v>
      </c>
      <c r="R41" s="26">
        <f t="shared" si="4"/>
        <v>23328</v>
      </c>
      <c r="S41" s="242">
        <f t="shared" si="2"/>
        <v>21401.83486238532</v>
      </c>
      <c r="U41" s="142"/>
    </row>
    <row r="42" spans="1:22" x14ac:dyDescent="0.25">
      <c r="A42" s="47" t="s">
        <v>201</v>
      </c>
      <c r="B42" s="56" t="s">
        <v>200</v>
      </c>
      <c r="C42" s="66" t="s">
        <v>202</v>
      </c>
      <c r="D42" s="67">
        <v>10</v>
      </c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26">
        <f t="shared" ref="R42" si="10">+SUM(F42:Q42)</f>
        <v>0</v>
      </c>
      <c r="S42" s="242">
        <f t="shared" si="2"/>
        <v>0</v>
      </c>
      <c r="U42" s="1"/>
    </row>
    <row r="43" spans="1:22" ht="12" customHeight="1" x14ac:dyDescent="0.25">
      <c r="A43" s="70" t="s">
        <v>16</v>
      </c>
      <c r="B43" s="52" t="s">
        <v>34</v>
      </c>
      <c r="C43" s="80" t="s">
        <v>91</v>
      </c>
      <c r="D43" s="78"/>
      <c r="E43" s="108"/>
      <c r="F43" s="187">
        <f t="shared" ref="F43:P43" si="11">+SUM(F44:F52)</f>
        <v>248449.4</v>
      </c>
      <c r="G43" s="187">
        <f t="shared" si="11"/>
        <v>210326.2</v>
      </c>
      <c r="H43" s="187">
        <f t="shared" si="11"/>
        <v>251031.5</v>
      </c>
      <c r="I43" s="187">
        <f>+SUM(I44:I52)</f>
        <v>291679.90000000002</v>
      </c>
      <c r="J43" s="82">
        <f t="shared" si="11"/>
        <v>310081.2</v>
      </c>
      <c r="K43" s="82">
        <f t="shared" si="11"/>
        <v>419207.60000000003</v>
      </c>
      <c r="L43" s="82">
        <f t="shared" si="11"/>
        <v>361432.49999999994</v>
      </c>
      <c r="M43" s="82">
        <f t="shared" si="11"/>
        <v>366156.79999999999</v>
      </c>
      <c r="N43" s="100">
        <f t="shared" si="11"/>
        <v>301920.5</v>
      </c>
      <c r="O43" s="100">
        <f t="shared" si="11"/>
        <v>283002.09999999998</v>
      </c>
      <c r="P43" s="100">
        <f t="shared" si="11"/>
        <v>246817.19999999998</v>
      </c>
      <c r="Q43" s="100">
        <f t="shared" ref="Q43" si="12">+SUM(Q44:Q52)</f>
        <v>334222.30146699998</v>
      </c>
      <c r="R43" s="42">
        <f>+SUM(R44:R52)</f>
        <v>3624327.2014669999</v>
      </c>
      <c r="S43" s="232">
        <f t="shared" si="2"/>
        <v>3325070.8270339449</v>
      </c>
    </row>
    <row r="44" spans="1:22" ht="12" customHeight="1" outlineLevel="1" x14ac:dyDescent="0.3">
      <c r="A44" s="65" t="s">
        <v>17</v>
      </c>
      <c r="B44" s="86" t="s">
        <v>35</v>
      </c>
      <c r="C44" s="30" t="s">
        <v>2</v>
      </c>
      <c r="D44" s="29">
        <v>12</v>
      </c>
      <c r="E44" s="29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5">
        <f t="shared" si="4"/>
        <v>0</v>
      </c>
      <c r="S44" s="234">
        <f t="shared" si="2"/>
        <v>0</v>
      </c>
      <c r="U44" s="142"/>
      <c r="V44"/>
    </row>
    <row r="45" spans="1:22" ht="12" customHeight="1" x14ac:dyDescent="0.3">
      <c r="A45" s="46" t="s">
        <v>18</v>
      </c>
      <c r="B45" s="53" t="s">
        <v>35</v>
      </c>
      <c r="C45" s="11" t="s">
        <v>3</v>
      </c>
      <c r="D45" s="10">
        <v>6</v>
      </c>
      <c r="E45" s="29">
        <v>6</v>
      </c>
      <c r="F45" s="127">
        <v>2196</v>
      </c>
      <c r="G45" s="127">
        <v>1932</v>
      </c>
      <c r="H45" s="127">
        <v>2550</v>
      </c>
      <c r="I45" s="127">
        <v>2652</v>
      </c>
      <c r="J45" s="127">
        <v>2634</v>
      </c>
      <c r="K45" s="127">
        <v>2712</v>
      </c>
      <c r="L45" s="127">
        <v>3006</v>
      </c>
      <c r="M45" s="127">
        <v>2922</v>
      </c>
      <c r="N45" s="127">
        <v>2982</v>
      </c>
      <c r="O45" s="127">
        <v>3102</v>
      </c>
      <c r="P45" s="127">
        <v>2586</v>
      </c>
      <c r="Q45" s="127">
        <v>2472.0001053999999</v>
      </c>
      <c r="R45" s="5">
        <f t="shared" si="4"/>
        <v>31746.000105399999</v>
      </c>
      <c r="S45" s="235">
        <f t="shared" si="2"/>
        <v>29124.770738899078</v>
      </c>
      <c r="U45" s="142"/>
    </row>
    <row r="46" spans="1:22" ht="12" customHeight="1" x14ac:dyDescent="0.3">
      <c r="A46" s="46" t="s">
        <v>19</v>
      </c>
      <c r="B46" s="53" t="s">
        <v>35</v>
      </c>
      <c r="C46" s="11" t="s">
        <v>4</v>
      </c>
      <c r="D46" s="10">
        <v>2.4</v>
      </c>
      <c r="E46" s="29">
        <v>9.6</v>
      </c>
      <c r="F46" s="127">
        <v>149731.19999999998</v>
      </c>
      <c r="G46" s="127">
        <v>137923.20000000001</v>
      </c>
      <c r="H46" s="127">
        <v>167366.39999999999</v>
      </c>
      <c r="I46" s="127">
        <v>183907.20000000004</v>
      </c>
      <c r="J46" s="127">
        <v>199286.40000000002</v>
      </c>
      <c r="K46" s="127">
        <v>253219.20000000001</v>
      </c>
      <c r="L46" s="127">
        <v>236102.39999999997</v>
      </c>
      <c r="M46" s="127">
        <v>255580.79999999999</v>
      </c>
      <c r="N46" s="127">
        <v>195849.60000000001</v>
      </c>
      <c r="O46" s="127">
        <v>193315.19999999998</v>
      </c>
      <c r="P46" s="127">
        <v>171254.39999999997</v>
      </c>
      <c r="Q46" s="127">
        <v>198364.79999999999</v>
      </c>
      <c r="R46" s="5">
        <f t="shared" si="4"/>
        <v>2341900.7999999998</v>
      </c>
      <c r="S46" s="235">
        <f t="shared" si="2"/>
        <v>2148532.8440366969</v>
      </c>
      <c r="U46" s="142"/>
    </row>
    <row r="47" spans="1:22" ht="12" customHeight="1" outlineLevel="1" x14ac:dyDescent="0.3">
      <c r="A47" s="46" t="s">
        <v>20</v>
      </c>
      <c r="B47" s="53" t="s">
        <v>35</v>
      </c>
      <c r="C47" s="11" t="s">
        <v>5</v>
      </c>
      <c r="D47" s="10">
        <v>21</v>
      </c>
      <c r="E47" s="29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5">
        <f t="shared" si="4"/>
        <v>0</v>
      </c>
      <c r="S47" s="235">
        <f t="shared" si="2"/>
        <v>0</v>
      </c>
      <c r="U47" s="142"/>
    </row>
    <row r="48" spans="1:22" ht="12" customHeight="1" x14ac:dyDescent="0.3">
      <c r="A48" s="46" t="s">
        <v>21</v>
      </c>
      <c r="B48" s="53" t="s">
        <v>35</v>
      </c>
      <c r="C48" s="11" t="s">
        <v>6</v>
      </c>
      <c r="D48" s="10">
        <v>10.5</v>
      </c>
      <c r="E48" s="29">
        <v>10.5</v>
      </c>
      <c r="F48" s="127">
        <v>1501.5</v>
      </c>
      <c r="G48" s="127">
        <v>1543.5</v>
      </c>
      <c r="H48" s="127">
        <v>2016</v>
      </c>
      <c r="I48" s="127">
        <v>1932</v>
      </c>
      <c r="J48" s="127">
        <v>2184</v>
      </c>
      <c r="K48" s="127">
        <v>2583</v>
      </c>
      <c r="L48" s="127">
        <v>2992.5</v>
      </c>
      <c r="M48" s="127">
        <v>2583</v>
      </c>
      <c r="N48" s="127">
        <v>2583</v>
      </c>
      <c r="O48" s="127">
        <v>2415</v>
      </c>
      <c r="P48" s="127">
        <v>2089.5</v>
      </c>
      <c r="Q48" s="127">
        <v>1984.5</v>
      </c>
      <c r="R48" s="5">
        <f t="shared" si="4"/>
        <v>26407.5</v>
      </c>
      <c r="S48" s="235">
        <f t="shared" si="2"/>
        <v>24227.064220183485</v>
      </c>
      <c r="U48" s="142"/>
    </row>
    <row r="49" spans="1:21" ht="12" customHeight="1" x14ac:dyDescent="0.3">
      <c r="A49" s="46" t="s">
        <v>22</v>
      </c>
      <c r="B49" s="53" t="s">
        <v>35</v>
      </c>
      <c r="C49" s="11" t="s">
        <v>7</v>
      </c>
      <c r="D49" s="10">
        <v>4.2</v>
      </c>
      <c r="E49" s="29">
        <v>16.8</v>
      </c>
      <c r="F49" s="127">
        <v>38707.200000000004</v>
      </c>
      <c r="G49" s="127">
        <v>33163.200000000004</v>
      </c>
      <c r="H49" s="127">
        <v>38136</v>
      </c>
      <c r="I49" s="127">
        <v>51828</v>
      </c>
      <c r="J49" s="127">
        <v>44083.199999999997</v>
      </c>
      <c r="K49" s="127">
        <v>65352</v>
      </c>
      <c r="L49" s="127">
        <v>55322.399999999994</v>
      </c>
      <c r="M49" s="127">
        <v>53911.19999999999</v>
      </c>
      <c r="N49" s="127">
        <v>45914.400000000001</v>
      </c>
      <c r="O49" s="127">
        <v>42403.200000000012</v>
      </c>
      <c r="P49" s="127">
        <v>36607.199999999997</v>
      </c>
      <c r="Q49" s="127">
        <v>50803.199999999997</v>
      </c>
      <c r="R49" s="5">
        <f t="shared" si="4"/>
        <v>556231.20000000007</v>
      </c>
      <c r="S49" s="235">
        <f t="shared" si="2"/>
        <v>510303.85321100918</v>
      </c>
      <c r="U49" s="142"/>
    </row>
    <row r="50" spans="1:21" ht="12" customHeight="1" outlineLevel="1" x14ac:dyDescent="0.3">
      <c r="A50" s="46" t="s">
        <v>23</v>
      </c>
      <c r="B50" s="53" t="s">
        <v>35</v>
      </c>
      <c r="C50" s="11" t="s">
        <v>8</v>
      </c>
      <c r="D50" s="10">
        <v>41</v>
      </c>
      <c r="E50" s="29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5">
        <f t="shared" si="4"/>
        <v>0</v>
      </c>
      <c r="S50" s="235">
        <f t="shared" si="2"/>
        <v>0</v>
      </c>
      <c r="U50" s="142"/>
    </row>
    <row r="51" spans="1:21" ht="12" customHeight="1" x14ac:dyDescent="0.3">
      <c r="A51" s="46" t="s">
        <v>24</v>
      </c>
      <c r="B51" s="53" t="s">
        <v>35</v>
      </c>
      <c r="C51" s="11" t="s">
        <v>9</v>
      </c>
      <c r="D51" s="10">
        <v>20.5</v>
      </c>
      <c r="E51" s="29">
        <v>20.5</v>
      </c>
      <c r="F51" s="127">
        <v>4817.5</v>
      </c>
      <c r="G51" s="127">
        <v>4243.5</v>
      </c>
      <c r="H51" s="127">
        <v>6129.5</v>
      </c>
      <c r="I51" s="127">
        <v>6457.5</v>
      </c>
      <c r="J51" s="127">
        <v>7380</v>
      </c>
      <c r="K51" s="127">
        <v>9143</v>
      </c>
      <c r="L51" s="127">
        <v>10086</v>
      </c>
      <c r="M51" s="127">
        <v>7831</v>
      </c>
      <c r="N51" s="127">
        <v>7031.5</v>
      </c>
      <c r="O51" s="127">
        <v>7195.5</v>
      </c>
      <c r="P51" s="127">
        <v>6498.5</v>
      </c>
      <c r="Q51" s="127">
        <v>6601</v>
      </c>
      <c r="R51" s="5">
        <f t="shared" si="4"/>
        <v>83414.5</v>
      </c>
      <c r="S51" s="235">
        <f t="shared" si="2"/>
        <v>76527.064220183485</v>
      </c>
      <c r="U51" s="142"/>
    </row>
    <row r="52" spans="1:21" ht="12" customHeight="1" x14ac:dyDescent="0.3">
      <c r="A52" s="47" t="s">
        <v>25</v>
      </c>
      <c r="B52" s="56" t="s">
        <v>35</v>
      </c>
      <c r="C52" s="12" t="s">
        <v>10</v>
      </c>
      <c r="D52" s="7">
        <v>8.1999999999999993</v>
      </c>
      <c r="E52" s="7">
        <v>32.799999999999997</v>
      </c>
      <c r="F52" s="148">
        <v>51496</v>
      </c>
      <c r="G52" s="148">
        <v>31520.799999999999</v>
      </c>
      <c r="H52" s="148">
        <v>34833.599999999999</v>
      </c>
      <c r="I52" s="148">
        <v>44903.200000000004</v>
      </c>
      <c r="J52" s="148">
        <v>54513.599999999999</v>
      </c>
      <c r="K52" s="148">
        <v>86198.400000000023</v>
      </c>
      <c r="L52" s="148">
        <v>53923.200000000004</v>
      </c>
      <c r="M52" s="148">
        <v>43328.800000000003</v>
      </c>
      <c r="N52" s="148">
        <v>47560.000000000022</v>
      </c>
      <c r="O52" s="148">
        <v>34571.200000000004</v>
      </c>
      <c r="P52" s="148">
        <v>27781.600000000002</v>
      </c>
      <c r="Q52" s="148">
        <v>73996.80136160001</v>
      </c>
      <c r="R52" s="6">
        <f t="shared" si="4"/>
        <v>584627.20136160008</v>
      </c>
      <c r="S52" s="236">
        <f t="shared" si="2"/>
        <v>536355.23060697247</v>
      </c>
      <c r="U52" s="142"/>
    </row>
    <row r="53" spans="1:21" x14ac:dyDescent="0.25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21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73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>
    <pageSetUpPr fitToPage="1"/>
  </sheetPr>
  <dimension ref="B3:D43"/>
  <sheetViews>
    <sheetView workbookViewId="0">
      <selection activeCell="G13" sqref="G13"/>
    </sheetView>
  </sheetViews>
  <sheetFormatPr defaultRowHeight="14.4" x14ac:dyDescent="0.3"/>
  <cols>
    <col min="1" max="1" width="1.5546875" customWidth="1"/>
    <col min="2" max="2" width="55.6640625" bestFit="1" customWidth="1"/>
  </cols>
  <sheetData>
    <row r="3" spans="2:4" x14ac:dyDescent="0.3">
      <c r="B3" s="393" t="s">
        <v>424</v>
      </c>
      <c r="C3" s="393" t="s">
        <v>422</v>
      </c>
      <c r="D3" s="393" t="s">
        <v>423</v>
      </c>
    </row>
    <row r="4" spans="2:4" x14ac:dyDescent="0.3">
      <c r="B4" s="261" t="s">
        <v>54</v>
      </c>
      <c r="C4" s="324">
        <v>2.2000000000000002</v>
      </c>
      <c r="D4" s="324">
        <v>0.63716404077849864</v>
      </c>
    </row>
    <row r="5" spans="2:4" x14ac:dyDescent="0.3">
      <c r="B5" s="261" t="s">
        <v>92</v>
      </c>
      <c r="C5" s="324">
        <v>1.1000000000000001</v>
      </c>
      <c r="D5" s="324">
        <v>0.31858202038924932</v>
      </c>
    </row>
    <row r="6" spans="2:4" x14ac:dyDescent="0.3">
      <c r="B6" s="261" t="s">
        <v>93</v>
      </c>
      <c r="C6" s="324">
        <v>0.44</v>
      </c>
      <c r="D6" s="324">
        <v>0.12743280815569974</v>
      </c>
    </row>
    <row r="7" spans="2:4" x14ac:dyDescent="0.3">
      <c r="B7" s="261" t="s">
        <v>58</v>
      </c>
      <c r="C7" s="324">
        <v>3.2</v>
      </c>
      <c r="D7" s="324">
        <v>0.92678405931417984</v>
      </c>
    </row>
    <row r="8" spans="2:4" x14ac:dyDescent="0.3">
      <c r="B8" s="261" t="s">
        <v>94</v>
      </c>
      <c r="C8" s="324">
        <v>1.6</v>
      </c>
      <c r="D8" s="324">
        <v>0.46339202965708992</v>
      </c>
    </row>
    <row r="9" spans="2:4" x14ac:dyDescent="0.3">
      <c r="B9" s="261" t="s">
        <v>95</v>
      </c>
      <c r="C9" s="324">
        <v>0.64</v>
      </c>
      <c r="D9" s="324">
        <v>0.18535681186283598</v>
      </c>
    </row>
    <row r="10" spans="2:4" x14ac:dyDescent="0.3">
      <c r="B10" s="261" t="s">
        <v>62</v>
      </c>
      <c r="C10" s="324">
        <v>100</v>
      </c>
      <c r="D10" s="324">
        <v>28.962001853568118</v>
      </c>
    </row>
    <row r="11" spans="2:4" x14ac:dyDescent="0.3">
      <c r="B11" s="261" t="s">
        <v>64</v>
      </c>
      <c r="C11" s="324">
        <v>50</v>
      </c>
      <c r="D11" s="324">
        <v>14.481000926784059</v>
      </c>
    </row>
    <row r="12" spans="2:4" x14ac:dyDescent="0.3">
      <c r="B12" s="261" t="s">
        <v>66</v>
      </c>
      <c r="C12" s="324">
        <v>20</v>
      </c>
      <c r="D12" s="324">
        <v>5.792400370713624</v>
      </c>
    </row>
    <row r="13" spans="2:4" x14ac:dyDescent="0.3">
      <c r="B13" s="261" t="s">
        <v>68</v>
      </c>
      <c r="C13" s="324">
        <v>90</v>
      </c>
      <c r="D13" s="324">
        <v>26.065801668211307</v>
      </c>
    </row>
    <row r="14" spans="2:4" x14ac:dyDescent="0.3">
      <c r="B14" s="261" t="s">
        <v>70</v>
      </c>
      <c r="C14" s="324">
        <v>45</v>
      </c>
      <c r="D14" s="324">
        <v>13.032900834105654</v>
      </c>
    </row>
    <row r="15" spans="2:4" x14ac:dyDescent="0.3">
      <c r="B15" s="261" t="s">
        <v>72</v>
      </c>
      <c r="C15" s="324">
        <v>18</v>
      </c>
      <c r="D15" s="324">
        <v>5.2131603336422616</v>
      </c>
    </row>
    <row r="16" spans="2:4" x14ac:dyDescent="0.3">
      <c r="B16" s="261" t="s">
        <v>96</v>
      </c>
      <c r="C16" s="324">
        <v>300</v>
      </c>
      <c r="D16" s="324">
        <v>86.886005560704362</v>
      </c>
    </row>
    <row r="17" spans="2:4" x14ac:dyDescent="0.3">
      <c r="B17" s="261" t="s">
        <v>97</v>
      </c>
      <c r="C17" s="324">
        <v>150</v>
      </c>
      <c r="D17" s="324">
        <v>43.443002780352181</v>
      </c>
    </row>
    <row r="18" spans="2:4" x14ac:dyDescent="0.3">
      <c r="B18" s="261" t="s">
        <v>98</v>
      </c>
      <c r="C18" s="324">
        <v>60</v>
      </c>
      <c r="D18" s="324">
        <v>17.37720111214087</v>
      </c>
    </row>
    <row r="19" spans="2:4" x14ac:dyDescent="0.3">
      <c r="B19" s="261" t="s">
        <v>99</v>
      </c>
      <c r="C19" s="324">
        <v>270</v>
      </c>
      <c r="D19" s="324">
        <v>78.197405004633922</v>
      </c>
    </row>
    <row r="20" spans="2:4" x14ac:dyDescent="0.3">
      <c r="B20" s="261" t="s">
        <v>100</v>
      </c>
      <c r="C20" s="324">
        <v>135</v>
      </c>
      <c r="D20" s="324">
        <v>39.098702502316961</v>
      </c>
    </row>
    <row r="21" spans="2:4" x14ac:dyDescent="0.3">
      <c r="B21" s="261" t="s">
        <v>101</v>
      </c>
      <c r="C21" s="324">
        <v>54</v>
      </c>
      <c r="D21" s="324">
        <v>15.639481000926784</v>
      </c>
    </row>
    <row r="22" spans="2:4" x14ac:dyDescent="0.3">
      <c r="B22" s="261" t="s">
        <v>102</v>
      </c>
      <c r="C22" s="324">
        <v>600</v>
      </c>
      <c r="D22" s="324">
        <v>173.77201112140872</v>
      </c>
    </row>
    <row r="23" spans="2:4" x14ac:dyDescent="0.3">
      <c r="B23" s="261" t="s">
        <v>103</v>
      </c>
      <c r="C23" s="324">
        <v>300</v>
      </c>
      <c r="D23" s="324">
        <v>86.886005560704362</v>
      </c>
    </row>
    <row r="24" spans="2:4" x14ac:dyDescent="0.3">
      <c r="B24" s="261" t="s">
        <v>104</v>
      </c>
      <c r="C24" s="324">
        <v>120</v>
      </c>
      <c r="D24" s="324">
        <v>34.754402224281741</v>
      </c>
    </row>
    <row r="25" spans="2:4" x14ac:dyDescent="0.3">
      <c r="B25" s="261" t="s">
        <v>105</v>
      </c>
      <c r="C25" s="324">
        <v>540</v>
      </c>
      <c r="D25" s="324">
        <v>156.39481000926784</v>
      </c>
    </row>
    <row r="26" spans="2:4" x14ac:dyDescent="0.3">
      <c r="B26" s="261" t="s">
        <v>106</v>
      </c>
      <c r="C26" s="324">
        <v>270</v>
      </c>
      <c r="D26" s="324">
        <v>78.197405004633922</v>
      </c>
    </row>
    <row r="27" spans="2:4" x14ac:dyDescent="0.3">
      <c r="B27" s="261" t="s">
        <v>107</v>
      </c>
      <c r="C27" s="324">
        <v>108</v>
      </c>
      <c r="D27" s="324">
        <v>31.278962001853568</v>
      </c>
    </row>
    <row r="28" spans="2:4" x14ac:dyDescent="0.3">
      <c r="B28" s="261" t="s">
        <v>108</v>
      </c>
      <c r="C28" s="324">
        <v>900</v>
      </c>
      <c r="D28" s="324">
        <v>260.6580166821131</v>
      </c>
    </row>
    <row r="29" spans="2:4" x14ac:dyDescent="0.3">
      <c r="B29" s="261" t="s">
        <v>109</v>
      </c>
      <c r="C29" s="324">
        <v>450</v>
      </c>
      <c r="D29" s="324">
        <v>130.32900834105655</v>
      </c>
    </row>
    <row r="30" spans="2:4" x14ac:dyDescent="0.3">
      <c r="B30" s="261" t="s">
        <v>110</v>
      </c>
      <c r="C30" s="324">
        <v>180</v>
      </c>
      <c r="D30" s="324">
        <v>52.131603336422614</v>
      </c>
    </row>
    <row r="31" spans="2:4" x14ac:dyDescent="0.3">
      <c r="B31" s="261" t="s">
        <v>111</v>
      </c>
      <c r="C31" s="324">
        <v>810</v>
      </c>
      <c r="D31" s="324">
        <v>234.59221501390178</v>
      </c>
    </row>
    <row r="32" spans="2:4" x14ac:dyDescent="0.3">
      <c r="B32" s="261" t="s">
        <v>112</v>
      </c>
      <c r="C32" s="324">
        <v>405</v>
      </c>
      <c r="D32" s="324">
        <v>117.29610750695089</v>
      </c>
    </row>
    <row r="33" spans="2:4" x14ac:dyDescent="0.3">
      <c r="B33" s="261" t="s">
        <v>113</v>
      </c>
      <c r="C33" s="324">
        <v>162</v>
      </c>
      <c r="D33" s="324">
        <v>46.918443002780357</v>
      </c>
    </row>
    <row r="34" spans="2:4" x14ac:dyDescent="0.3">
      <c r="B34" s="261" t="s">
        <v>202</v>
      </c>
      <c r="C34" s="324">
        <v>10</v>
      </c>
      <c r="D34" s="324">
        <v>2.896200185356812</v>
      </c>
    </row>
    <row r="35" spans="2:4" x14ac:dyDescent="0.3">
      <c r="B35" s="261" t="s">
        <v>2</v>
      </c>
      <c r="C35" s="324">
        <v>12</v>
      </c>
      <c r="D35" s="324">
        <v>3.4754402224281744</v>
      </c>
    </row>
    <row r="36" spans="2:4" x14ac:dyDescent="0.3">
      <c r="B36" s="261" t="s">
        <v>3</v>
      </c>
      <c r="C36" s="324">
        <v>6</v>
      </c>
      <c r="D36" s="324">
        <v>1.7377201112140872</v>
      </c>
    </row>
    <row r="37" spans="2:4" x14ac:dyDescent="0.3">
      <c r="B37" s="261" t="s">
        <v>4</v>
      </c>
      <c r="C37" s="324">
        <v>2.4</v>
      </c>
      <c r="D37" s="324">
        <v>0.69508804448563488</v>
      </c>
    </row>
    <row r="38" spans="2:4" x14ac:dyDescent="0.3">
      <c r="B38" s="261" t="s">
        <v>5</v>
      </c>
      <c r="C38" s="324">
        <v>21</v>
      </c>
      <c r="D38" s="324">
        <v>6.0820203892493048</v>
      </c>
    </row>
    <row r="39" spans="2:4" x14ac:dyDescent="0.3">
      <c r="B39" s="261" t="s">
        <v>6</v>
      </c>
      <c r="C39" s="324">
        <v>10.5</v>
      </c>
      <c r="D39" s="324">
        <v>3.0410101946246524</v>
      </c>
    </row>
    <row r="40" spans="2:4" x14ac:dyDescent="0.3">
      <c r="B40" s="261" t="s">
        <v>7</v>
      </c>
      <c r="C40" s="324">
        <v>4.2</v>
      </c>
      <c r="D40" s="324">
        <v>1.216404077849861</v>
      </c>
    </row>
    <row r="41" spans="2:4" x14ac:dyDescent="0.3">
      <c r="B41" s="261" t="s">
        <v>8</v>
      </c>
      <c r="C41" s="324">
        <v>41</v>
      </c>
      <c r="D41" s="324">
        <v>11.874420759962929</v>
      </c>
    </row>
    <row r="42" spans="2:4" x14ac:dyDescent="0.3">
      <c r="B42" s="261" t="s">
        <v>9</v>
      </c>
      <c r="C42" s="324">
        <v>20.5</v>
      </c>
      <c r="D42" s="324">
        <v>5.9372103799814644</v>
      </c>
    </row>
    <row r="43" spans="2:4" x14ac:dyDescent="0.3">
      <c r="B43" s="261" t="s">
        <v>10</v>
      </c>
      <c r="C43" s="324">
        <v>8.1999999999999993</v>
      </c>
      <c r="D43" s="324">
        <v>2.3748841519925854</v>
      </c>
    </row>
  </sheetData>
  <printOptions horizontalCentered="1" verticalCentered="1"/>
  <pageMargins left="0.39370078740157483" right="0.39370078740157483" top="0.39370078740157483" bottom="0.39370078740157483" header="0.31496062992125984" footer="0.31496062992125984"/>
  <pageSetup paperSize="11" scale="85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I73"/>
  <sheetViews>
    <sheetView topLeftCell="A10" workbookViewId="0">
      <selection activeCell="G22" sqref="G22"/>
    </sheetView>
  </sheetViews>
  <sheetFormatPr defaultRowHeight="14.4" x14ac:dyDescent="0.3"/>
  <cols>
    <col min="1" max="1" width="11.33203125" style="1" customWidth="1"/>
    <col min="2" max="2" width="5.88671875" style="3" customWidth="1"/>
    <col min="3" max="3" width="52" style="1" customWidth="1"/>
    <col min="4" max="4" width="10" bestFit="1" customWidth="1"/>
    <col min="5" max="5" width="2.88671875" customWidth="1"/>
    <col min="6" max="6" width="11.6640625" customWidth="1"/>
    <col min="7" max="7" width="9.109375" bestFit="1" customWidth="1"/>
    <col min="8" max="8" width="9.6640625" bestFit="1" customWidth="1"/>
  </cols>
  <sheetData>
    <row r="1" spans="1:8" ht="15.6" x14ac:dyDescent="0.3">
      <c r="A1" s="40" t="s">
        <v>427</v>
      </c>
      <c r="D1" t="s">
        <v>178</v>
      </c>
    </row>
    <row r="2" spans="1:8" x14ac:dyDescent="0.3">
      <c r="A2" s="1" t="s">
        <v>176</v>
      </c>
      <c r="D2" s="422" t="s">
        <v>474</v>
      </c>
      <c r="E2" s="421"/>
      <c r="F2" s="421" t="s">
        <v>475</v>
      </c>
      <c r="G2" s="421" t="s">
        <v>206</v>
      </c>
    </row>
    <row r="3" spans="1:8" x14ac:dyDescent="0.3">
      <c r="A3" s="576" t="s">
        <v>39</v>
      </c>
      <c r="B3" s="578" t="s">
        <v>37</v>
      </c>
      <c r="C3" s="574" t="s">
        <v>40</v>
      </c>
    </row>
    <row r="4" spans="1:8" x14ac:dyDescent="0.3">
      <c r="A4" s="577"/>
      <c r="B4" s="579"/>
      <c r="C4" s="575"/>
    </row>
    <row r="5" spans="1:8" x14ac:dyDescent="0.3">
      <c r="A5" s="70" t="s">
        <v>29</v>
      </c>
      <c r="B5" s="52" t="s">
        <v>36</v>
      </c>
      <c r="C5" s="9" t="s">
        <v>45</v>
      </c>
      <c r="D5" s="420"/>
      <c r="E5" s="420"/>
      <c r="F5" s="420"/>
    </row>
    <row r="6" spans="1:8" x14ac:dyDescent="0.3">
      <c r="A6" s="70" t="s">
        <v>12</v>
      </c>
      <c r="B6" s="52" t="s">
        <v>30</v>
      </c>
      <c r="C6" s="9" t="s">
        <v>1</v>
      </c>
      <c r="D6" s="420"/>
      <c r="E6" s="420"/>
      <c r="F6" s="420"/>
    </row>
    <row r="7" spans="1:8" x14ac:dyDescent="0.3">
      <c r="A7" s="70" t="s">
        <v>52</v>
      </c>
      <c r="B7" s="52" t="s">
        <v>31</v>
      </c>
      <c r="C7" s="8" t="s">
        <v>11</v>
      </c>
      <c r="D7" s="102"/>
      <c r="E7" s="102"/>
      <c r="F7" s="102"/>
    </row>
    <row r="8" spans="1:8" x14ac:dyDescent="0.3">
      <c r="A8" s="46" t="s">
        <v>13</v>
      </c>
      <c r="B8" s="53" t="s">
        <v>47</v>
      </c>
      <c r="C8" s="37" t="s">
        <v>50</v>
      </c>
      <c r="D8" s="102"/>
      <c r="E8" s="102"/>
      <c r="F8" s="102"/>
    </row>
    <row r="9" spans="1:8" x14ac:dyDescent="0.3">
      <c r="A9" s="54" t="s">
        <v>49</v>
      </c>
      <c r="B9" s="55" t="s">
        <v>48</v>
      </c>
      <c r="C9" s="27" t="s">
        <v>51</v>
      </c>
      <c r="D9" s="102"/>
      <c r="E9" s="102"/>
      <c r="F9" s="102"/>
    </row>
    <row r="10" spans="1:8" x14ac:dyDescent="0.3">
      <c r="A10" s="54" t="s">
        <v>185</v>
      </c>
      <c r="B10" s="111" t="s">
        <v>186</v>
      </c>
      <c r="C10" s="27" t="s">
        <v>187</v>
      </c>
      <c r="D10" s="102"/>
      <c r="E10" s="102"/>
      <c r="F10" s="102"/>
    </row>
    <row r="11" spans="1:8" x14ac:dyDescent="0.3">
      <c r="A11" s="70" t="s">
        <v>14</v>
      </c>
      <c r="B11" s="52" t="s">
        <v>32</v>
      </c>
      <c r="C11" s="8" t="s">
        <v>46</v>
      </c>
      <c r="D11" s="420"/>
      <c r="E11" s="420"/>
      <c r="F11" s="420"/>
      <c r="G11" s="420">
        <f>+SUM(G12:G53)</f>
        <v>11769</v>
      </c>
      <c r="H11" s="102"/>
    </row>
    <row r="12" spans="1:8" x14ac:dyDescent="0.3">
      <c r="A12" s="58" t="s">
        <v>53</v>
      </c>
      <c r="B12" s="53" t="s">
        <v>145</v>
      </c>
      <c r="C12" s="59" t="s">
        <v>54</v>
      </c>
      <c r="D12" s="102">
        <v>108482</v>
      </c>
      <c r="E12" s="102"/>
      <c r="F12" s="102">
        <v>108515</v>
      </c>
      <c r="G12" s="102">
        <f>+F12-D12</f>
        <v>33</v>
      </c>
    </row>
    <row r="13" spans="1:8" x14ac:dyDescent="0.3">
      <c r="A13" s="58" t="s">
        <v>55</v>
      </c>
      <c r="B13" s="53" t="s">
        <v>139</v>
      </c>
      <c r="C13" s="59" t="s">
        <v>92</v>
      </c>
      <c r="D13" s="102">
        <v>7046.6</v>
      </c>
      <c r="E13" s="102"/>
      <c r="F13" s="102">
        <v>7046.6</v>
      </c>
      <c r="G13" s="102">
        <f t="shared" ref="G13:G17" si="0">+F13-D13</f>
        <v>0</v>
      </c>
    </row>
    <row r="14" spans="1:8" x14ac:dyDescent="0.3">
      <c r="A14" s="58" t="s">
        <v>56</v>
      </c>
      <c r="B14" s="53" t="s">
        <v>140</v>
      </c>
      <c r="C14" s="59" t="s">
        <v>93</v>
      </c>
      <c r="D14" s="102">
        <v>59.84</v>
      </c>
      <c r="E14" s="102"/>
      <c r="F14" s="102">
        <v>59.84</v>
      </c>
      <c r="G14" s="102">
        <f t="shared" si="0"/>
        <v>0</v>
      </c>
    </row>
    <row r="15" spans="1:8" x14ac:dyDescent="0.3">
      <c r="A15" s="58" t="s">
        <v>57</v>
      </c>
      <c r="B15" s="53" t="s">
        <v>192</v>
      </c>
      <c r="C15" s="59" t="s">
        <v>58</v>
      </c>
      <c r="D15" s="102">
        <v>6694.4</v>
      </c>
      <c r="E15" s="102"/>
      <c r="F15" s="102">
        <v>6710.4</v>
      </c>
      <c r="G15" s="102">
        <f t="shared" si="0"/>
        <v>16</v>
      </c>
    </row>
    <row r="16" spans="1:8" x14ac:dyDescent="0.3">
      <c r="A16" s="58" t="s">
        <v>59</v>
      </c>
      <c r="B16" s="53" t="s">
        <v>193</v>
      </c>
      <c r="C16" s="59" t="s">
        <v>94</v>
      </c>
      <c r="D16" s="102">
        <v>516.79999999999995</v>
      </c>
      <c r="E16" s="102"/>
      <c r="F16" s="102">
        <v>516.79999999999995</v>
      </c>
      <c r="G16" s="102">
        <f t="shared" si="0"/>
        <v>0</v>
      </c>
    </row>
    <row r="17" spans="1:9" x14ac:dyDescent="0.3">
      <c r="A17" s="58" t="s">
        <v>60</v>
      </c>
      <c r="B17" s="53" t="s">
        <v>194</v>
      </c>
      <c r="C17" s="63" t="s">
        <v>95</v>
      </c>
      <c r="D17" s="102">
        <v>1.28</v>
      </c>
      <c r="E17" s="102"/>
      <c r="F17" s="102">
        <v>1.28</v>
      </c>
      <c r="G17" s="102">
        <f t="shared" si="0"/>
        <v>0</v>
      </c>
      <c r="H17" t="s">
        <v>478</v>
      </c>
      <c r="I17" t="s">
        <v>479</v>
      </c>
    </row>
    <row r="18" spans="1:9" x14ac:dyDescent="0.3">
      <c r="A18" s="70" t="s">
        <v>15</v>
      </c>
      <c r="B18" s="52" t="s">
        <v>33</v>
      </c>
      <c r="C18" s="9" t="s">
        <v>141</v>
      </c>
      <c r="D18" s="420"/>
      <c r="E18" s="420"/>
      <c r="F18" s="420"/>
      <c r="G18" s="102"/>
      <c r="H18" t="s">
        <v>476</v>
      </c>
      <c r="I18" t="s">
        <v>477</v>
      </c>
    </row>
    <row r="19" spans="1:9" x14ac:dyDescent="0.3">
      <c r="A19" s="68" t="s">
        <v>61</v>
      </c>
      <c r="B19" s="69" t="s">
        <v>117</v>
      </c>
      <c r="C19" s="90" t="s">
        <v>62</v>
      </c>
      <c r="D19" s="102">
        <v>203400</v>
      </c>
      <c r="E19" s="102"/>
      <c r="F19" s="102">
        <v>214400</v>
      </c>
      <c r="G19" s="102">
        <f>+F19-D19</f>
        <v>11000</v>
      </c>
      <c r="H19">
        <f>+G19/30*7</f>
        <v>2566.666666666667</v>
      </c>
      <c r="I19">
        <f>+G19/30*23</f>
        <v>8433.3333333333339</v>
      </c>
    </row>
    <row r="20" spans="1:9" x14ac:dyDescent="0.3">
      <c r="A20" s="46" t="s">
        <v>63</v>
      </c>
      <c r="B20" s="53" t="s">
        <v>116</v>
      </c>
      <c r="C20" s="59" t="s">
        <v>64</v>
      </c>
      <c r="D20" s="102">
        <v>11700</v>
      </c>
      <c r="E20" s="102"/>
      <c r="F20" s="102">
        <v>11700</v>
      </c>
      <c r="G20" s="102">
        <f t="shared" ref="G20:G53" si="1">+F20-D20</f>
        <v>0</v>
      </c>
    </row>
    <row r="21" spans="1:9" x14ac:dyDescent="0.3">
      <c r="A21" s="46" t="s">
        <v>65</v>
      </c>
      <c r="B21" s="53" t="s">
        <v>115</v>
      </c>
      <c r="C21" s="59" t="s">
        <v>66</v>
      </c>
      <c r="D21" s="102">
        <v>67160</v>
      </c>
      <c r="E21" s="102"/>
      <c r="F21" s="102">
        <v>67160</v>
      </c>
      <c r="G21" s="102">
        <f t="shared" si="1"/>
        <v>0</v>
      </c>
    </row>
    <row r="22" spans="1:9" x14ac:dyDescent="0.3">
      <c r="A22" s="46" t="s">
        <v>67</v>
      </c>
      <c r="B22" s="53" t="s">
        <v>118</v>
      </c>
      <c r="C22" s="59" t="s">
        <v>68</v>
      </c>
      <c r="D22" s="102">
        <v>77400</v>
      </c>
      <c r="E22" s="102"/>
      <c r="F22" s="102">
        <v>78120</v>
      </c>
      <c r="G22" s="102">
        <f t="shared" si="1"/>
        <v>720</v>
      </c>
      <c r="H22">
        <f>+(G22-90)/30*7</f>
        <v>147</v>
      </c>
      <c r="I22">
        <f>+(G22-90)/30*23</f>
        <v>483</v>
      </c>
    </row>
    <row r="23" spans="1:9" x14ac:dyDescent="0.3">
      <c r="A23" s="46" t="s">
        <v>69</v>
      </c>
      <c r="B23" s="53" t="s">
        <v>119</v>
      </c>
      <c r="C23" s="59" t="s">
        <v>70</v>
      </c>
      <c r="D23" s="102">
        <v>2610</v>
      </c>
      <c r="E23" s="102"/>
      <c r="F23" s="102">
        <v>2610</v>
      </c>
      <c r="G23" s="102">
        <f t="shared" si="1"/>
        <v>0</v>
      </c>
      <c r="H23">
        <f>90/30*1</f>
        <v>3</v>
      </c>
      <c r="I23">
        <f>90/30*29</f>
        <v>87</v>
      </c>
    </row>
    <row r="24" spans="1:9" x14ac:dyDescent="0.3">
      <c r="A24" s="46" t="s">
        <v>71</v>
      </c>
      <c r="B24" s="53" t="s">
        <v>120</v>
      </c>
      <c r="C24" s="59" t="s">
        <v>72</v>
      </c>
      <c r="D24" s="102">
        <v>2610</v>
      </c>
      <c r="E24" s="102"/>
      <c r="F24" s="102">
        <v>2610</v>
      </c>
      <c r="G24" s="102">
        <f t="shared" si="1"/>
        <v>0</v>
      </c>
    </row>
    <row r="25" spans="1:9" x14ac:dyDescent="0.3">
      <c r="A25" s="46" t="s">
        <v>73</v>
      </c>
      <c r="B25" s="53" t="s">
        <v>121</v>
      </c>
      <c r="C25" s="59" t="s">
        <v>96</v>
      </c>
      <c r="D25" s="102">
        <v>5700</v>
      </c>
      <c r="E25" s="102"/>
      <c r="F25" s="102">
        <v>5700</v>
      </c>
      <c r="G25" s="102">
        <f t="shared" si="1"/>
        <v>0</v>
      </c>
    </row>
    <row r="26" spans="1:9" x14ac:dyDescent="0.3">
      <c r="A26" s="46" t="s">
        <v>74</v>
      </c>
      <c r="B26" s="53" t="s">
        <v>122</v>
      </c>
      <c r="C26" s="59" t="s">
        <v>97</v>
      </c>
      <c r="D26" s="102">
        <v>900</v>
      </c>
      <c r="E26" s="102"/>
      <c r="F26" s="102">
        <v>900</v>
      </c>
      <c r="G26" s="102">
        <f t="shared" si="1"/>
        <v>0</v>
      </c>
    </row>
    <row r="27" spans="1:9" x14ac:dyDescent="0.3">
      <c r="A27" s="46" t="s">
        <v>75</v>
      </c>
      <c r="B27" s="53" t="s">
        <v>123</v>
      </c>
      <c r="C27" s="59" t="s">
        <v>98</v>
      </c>
      <c r="D27" s="102">
        <v>13020</v>
      </c>
      <c r="E27" s="102"/>
      <c r="F27" s="102">
        <v>13020</v>
      </c>
      <c r="G27" s="102">
        <f t="shared" si="1"/>
        <v>0</v>
      </c>
    </row>
    <row r="28" spans="1:9" x14ac:dyDescent="0.3">
      <c r="A28" s="46" t="s">
        <v>76</v>
      </c>
      <c r="B28" s="53" t="s">
        <v>124</v>
      </c>
      <c r="C28" s="59" t="s">
        <v>180</v>
      </c>
      <c r="D28" s="102">
        <v>9180</v>
      </c>
      <c r="E28" s="102"/>
      <c r="F28" s="102">
        <v>9180</v>
      </c>
      <c r="G28" s="102">
        <f t="shared" si="1"/>
        <v>0</v>
      </c>
    </row>
    <row r="29" spans="1:9" x14ac:dyDescent="0.3">
      <c r="A29" s="46" t="s">
        <v>77</v>
      </c>
      <c r="B29" s="53" t="s">
        <v>125</v>
      </c>
      <c r="C29" s="59" t="s">
        <v>181</v>
      </c>
      <c r="D29" s="102"/>
      <c r="E29" s="102"/>
      <c r="F29" s="102"/>
      <c r="G29" s="102"/>
    </row>
    <row r="30" spans="1:9" x14ac:dyDescent="0.3">
      <c r="A30" s="46" t="s">
        <v>78</v>
      </c>
      <c r="B30" s="53" t="s">
        <v>126</v>
      </c>
      <c r="C30" s="59" t="s">
        <v>182</v>
      </c>
      <c r="D30" s="102">
        <v>1188</v>
      </c>
      <c r="E30" s="102"/>
      <c r="F30" s="102">
        <v>1188</v>
      </c>
      <c r="G30" s="102">
        <f t="shared" si="1"/>
        <v>0</v>
      </c>
    </row>
    <row r="31" spans="1:9" x14ac:dyDescent="0.3">
      <c r="A31" s="46" t="s">
        <v>79</v>
      </c>
      <c r="B31" s="53" t="s">
        <v>127</v>
      </c>
      <c r="C31" s="59" t="s">
        <v>102</v>
      </c>
      <c r="D31" s="102">
        <v>600</v>
      </c>
      <c r="E31" s="102"/>
      <c r="F31" s="102">
        <v>600</v>
      </c>
      <c r="G31" s="102">
        <f t="shared" si="1"/>
        <v>0</v>
      </c>
    </row>
    <row r="32" spans="1:9" x14ac:dyDescent="0.3">
      <c r="A32" s="46" t="s">
        <v>80</v>
      </c>
      <c r="B32" s="53" t="s">
        <v>128</v>
      </c>
      <c r="C32" s="59" t="s">
        <v>103</v>
      </c>
      <c r="D32" s="102">
        <v>300</v>
      </c>
      <c r="E32" s="102"/>
      <c r="F32" s="102">
        <v>300</v>
      </c>
      <c r="G32" s="102">
        <f t="shared" si="1"/>
        <v>0</v>
      </c>
    </row>
    <row r="33" spans="1:7" x14ac:dyDescent="0.3">
      <c r="A33" s="46" t="s">
        <v>81</v>
      </c>
      <c r="B33" s="53" t="s">
        <v>129</v>
      </c>
      <c r="C33" s="59" t="s">
        <v>104</v>
      </c>
      <c r="D33" s="102">
        <v>3600</v>
      </c>
      <c r="E33" s="102"/>
      <c r="F33" s="102">
        <v>3600</v>
      </c>
      <c r="G33" s="102">
        <f t="shared" si="1"/>
        <v>0</v>
      </c>
    </row>
    <row r="34" spans="1:7" x14ac:dyDescent="0.3">
      <c r="A34" s="46" t="s">
        <v>82</v>
      </c>
      <c r="B34" s="53" t="s">
        <v>130</v>
      </c>
      <c r="C34" s="59" t="s">
        <v>105</v>
      </c>
      <c r="D34" s="102"/>
      <c r="E34" s="102"/>
      <c r="F34" s="102"/>
      <c r="G34" s="102"/>
    </row>
    <row r="35" spans="1:7" x14ac:dyDescent="0.3">
      <c r="A35" s="46" t="s">
        <v>83</v>
      </c>
      <c r="B35" s="53" t="s">
        <v>131</v>
      </c>
      <c r="C35" s="59" t="s">
        <v>106</v>
      </c>
      <c r="D35" s="102"/>
      <c r="E35" s="102"/>
      <c r="F35" s="102"/>
      <c r="G35" s="102"/>
    </row>
    <row r="36" spans="1:7" x14ac:dyDescent="0.3">
      <c r="A36" s="46" t="s">
        <v>84</v>
      </c>
      <c r="B36" s="53" t="s">
        <v>132</v>
      </c>
      <c r="C36" s="59" t="s">
        <v>107</v>
      </c>
      <c r="D36" s="102">
        <v>108</v>
      </c>
      <c r="E36" s="102"/>
      <c r="F36" s="102">
        <v>108</v>
      </c>
      <c r="G36" s="102">
        <f t="shared" si="1"/>
        <v>0</v>
      </c>
    </row>
    <row r="37" spans="1:7" x14ac:dyDescent="0.3">
      <c r="A37" s="46" t="s">
        <v>85</v>
      </c>
      <c r="B37" s="53" t="s">
        <v>133</v>
      </c>
      <c r="C37" s="59" t="s">
        <v>108</v>
      </c>
      <c r="D37" s="102"/>
      <c r="E37" s="102"/>
      <c r="F37" s="102"/>
      <c r="G37" s="102"/>
    </row>
    <row r="38" spans="1:7" x14ac:dyDescent="0.3">
      <c r="A38" s="46" t="s">
        <v>86</v>
      </c>
      <c r="B38" s="53" t="s">
        <v>134</v>
      </c>
      <c r="C38" s="59" t="s">
        <v>109</v>
      </c>
      <c r="D38" s="102"/>
      <c r="E38" s="102"/>
      <c r="F38" s="102"/>
      <c r="G38" s="102"/>
    </row>
    <row r="39" spans="1:7" x14ac:dyDescent="0.3">
      <c r="A39" s="46" t="s">
        <v>87</v>
      </c>
      <c r="B39" s="53" t="s">
        <v>135</v>
      </c>
      <c r="C39" s="59" t="s">
        <v>110</v>
      </c>
      <c r="D39" s="102">
        <v>8820</v>
      </c>
      <c r="E39" s="102"/>
      <c r="F39" s="102">
        <v>8820</v>
      </c>
      <c r="G39" s="102">
        <f t="shared" si="1"/>
        <v>0</v>
      </c>
    </row>
    <row r="40" spans="1:7" x14ac:dyDescent="0.3">
      <c r="A40" s="46" t="s">
        <v>88</v>
      </c>
      <c r="B40" s="53" t="s">
        <v>136</v>
      </c>
      <c r="C40" s="59" t="s">
        <v>111</v>
      </c>
      <c r="D40" s="102"/>
      <c r="E40" s="102"/>
      <c r="F40" s="102"/>
      <c r="G40" s="102"/>
    </row>
    <row r="41" spans="1:7" x14ac:dyDescent="0.3">
      <c r="A41" s="46" t="s">
        <v>89</v>
      </c>
      <c r="B41" s="53" t="s">
        <v>137</v>
      </c>
      <c r="C41" s="59" t="s">
        <v>112</v>
      </c>
      <c r="D41" s="102"/>
      <c r="E41" s="102"/>
      <c r="F41" s="102"/>
      <c r="G41" s="102"/>
    </row>
    <row r="42" spans="1:7" x14ac:dyDescent="0.3">
      <c r="A42" s="54" t="s">
        <v>90</v>
      </c>
      <c r="B42" s="55" t="s">
        <v>138</v>
      </c>
      <c r="C42" s="245" t="s">
        <v>113</v>
      </c>
      <c r="D42" s="102">
        <v>972</v>
      </c>
      <c r="E42" s="102"/>
      <c r="F42" s="102">
        <v>972</v>
      </c>
      <c r="G42" s="102">
        <f t="shared" si="1"/>
        <v>0</v>
      </c>
    </row>
    <row r="43" spans="1:7" x14ac:dyDescent="0.3">
      <c r="A43" s="47" t="s">
        <v>201</v>
      </c>
      <c r="B43" s="56" t="s">
        <v>200</v>
      </c>
      <c r="C43" s="66" t="s">
        <v>202</v>
      </c>
      <c r="D43" s="102"/>
      <c r="E43" s="102"/>
      <c r="F43" s="102"/>
      <c r="G43" s="102"/>
    </row>
    <row r="44" spans="1:7" x14ac:dyDescent="0.3">
      <c r="A44" s="70" t="s">
        <v>16</v>
      </c>
      <c r="B44" s="52" t="s">
        <v>34</v>
      </c>
      <c r="C44" s="80" t="s">
        <v>91</v>
      </c>
      <c r="D44" s="420"/>
      <c r="E44" s="420"/>
      <c r="F44" s="420"/>
      <c r="G44" s="102"/>
    </row>
    <row r="45" spans="1:7" x14ac:dyDescent="0.3">
      <c r="A45" s="65" t="s">
        <v>17</v>
      </c>
      <c r="B45" s="86" t="s">
        <v>35</v>
      </c>
      <c r="C45" s="30" t="s">
        <v>2</v>
      </c>
      <c r="D45" s="102">
        <v>1536</v>
      </c>
      <c r="E45" s="102"/>
      <c r="F45" s="102">
        <v>1536</v>
      </c>
      <c r="G45" s="102">
        <f t="shared" si="1"/>
        <v>0</v>
      </c>
    </row>
    <row r="46" spans="1:7" x14ac:dyDescent="0.3">
      <c r="A46" s="46" t="s">
        <v>18</v>
      </c>
      <c r="B46" s="53" t="s">
        <v>35</v>
      </c>
      <c r="C46" s="11" t="s">
        <v>3</v>
      </c>
      <c r="D46" s="102">
        <v>180</v>
      </c>
      <c r="E46" s="102"/>
      <c r="F46" s="102">
        <v>180</v>
      </c>
      <c r="G46" s="102">
        <f t="shared" si="1"/>
        <v>0</v>
      </c>
    </row>
    <row r="47" spans="1:7" x14ac:dyDescent="0.3">
      <c r="A47" s="46" t="s">
        <v>19</v>
      </c>
      <c r="B47" s="53" t="s">
        <v>35</v>
      </c>
      <c r="C47" s="11" t="s">
        <v>4</v>
      </c>
      <c r="D47" s="102">
        <v>2652</v>
      </c>
      <c r="E47" s="102"/>
      <c r="F47" s="102">
        <v>2652</v>
      </c>
      <c r="G47" s="102">
        <f t="shared" si="1"/>
        <v>0</v>
      </c>
    </row>
    <row r="48" spans="1:7" x14ac:dyDescent="0.3">
      <c r="A48" s="46" t="s">
        <v>20</v>
      </c>
      <c r="B48" s="53" t="s">
        <v>35</v>
      </c>
      <c r="C48" s="11" t="s">
        <v>5</v>
      </c>
      <c r="D48" s="102">
        <v>1449</v>
      </c>
      <c r="E48" s="102"/>
      <c r="F48" s="102">
        <v>1449</v>
      </c>
      <c r="G48" s="102">
        <f t="shared" si="1"/>
        <v>0</v>
      </c>
    </row>
    <row r="49" spans="1:7" x14ac:dyDescent="0.3">
      <c r="A49" s="46" t="s">
        <v>21</v>
      </c>
      <c r="B49" s="53" t="s">
        <v>35</v>
      </c>
      <c r="C49" s="11" t="s">
        <v>6</v>
      </c>
      <c r="D49" s="102">
        <v>189</v>
      </c>
      <c r="E49" s="102"/>
      <c r="F49" s="102">
        <v>189</v>
      </c>
      <c r="G49" s="102">
        <f t="shared" si="1"/>
        <v>0</v>
      </c>
    </row>
    <row r="50" spans="1:7" x14ac:dyDescent="0.3">
      <c r="A50" s="46" t="s">
        <v>22</v>
      </c>
      <c r="B50" s="53" t="s">
        <v>35</v>
      </c>
      <c r="C50" s="11" t="s">
        <v>7</v>
      </c>
      <c r="D50" s="102">
        <v>1583.4</v>
      </c>
      <c r="E50" s="102"/>
      <c r="F50" s="102">
        <v>1583.4</v>
      </c>
      <c r="G50" s="102">
        <f t="shared" si="1"/>
        <v>0</v>
      </c>
    </row>
    <row r="51" spans="1:7" x14ac:dyDescent="0.3">
      <c r="A51" s="46" t="s">
        <v>23</v>
      </c>
      <c r="B51" s="53" t="s">
        <v>35</v>
      </c>
      <c r="C51" s="11" t="s">
        <v>8</v>
      </c>
      <c r="D51" s="102">
        <v>6314</v>
      </c>
      <c r="E51" s="102"/>
      <c r="F51" s="102">
        <v>6314</v>
      </c>
      <c r="G51" s="102">
        <f t="shared" si="1"/>
        <v>0</v>
      </c>
    </row>
    <row r="52" spans="1:7" x14ac:dyDescent="0.3">
      <c r="A52" s="46" t="s">
        <v>24</v>
      </c>
      <c r="B52" s="53" t="s">
        <v>35</v>
      </c>
      <c r="C52" s="11" t="s">
        <v>9</v>
      </c>
      <c r="D52" s="102">
        <v>266.5</v>
      </c>
      <c r="E52" s="102"/>
      <c r="F52" s="102">
        <v>266.5</v>
      </c>
      <c r="G52" s="102">
        <f t="shared" si="1"/>
        <v>0</v>
      </c>
    </row>
    <row r="53" spans="1:7" x14ac:dyDescent="0.3">
      <c r="A53" s="47" t="s">
        <v>25</v>
      </c>
      <c r="B53" s="56" t="s">
        <v>35</v>
      </c>
      <c r="C53" s="12" t="s">
        <v>10</v>
      </c>
      <c r="D53" s="102">
        <v>1361.2</v>
      </c>
      <c r="E53" s="102"/>
      <c r="F53" s="102">
        <v>1361.2</v>
      </c>
      <c r="G53" s="102">
        <f t="shared" si="1"/>
        <v>0</v>
      </c>
    </row>
    <row r="54" spans="1:7" x14ac:dyDescent="0.3">
      <c r="C54" s="1" t="s">
        <v>150</v>
      </c>
      <c r="D54" s="102"/>
      <c r="E54" s="102"/>
      <c r="F54" s="102"/>
    </row>
    <row r="55" spans="1:7" x14ac:dyDescent="0.3">
      <c r="C55" s="1" t="s">
        <v>143</v>
      </c>
      <c r="D55" s="102"/>
      <c r="E55" s="102"/>
      <c r="F55" s="102"/>
    </row>
    <row r="56" spans="1:7" x14ac:dyDescent="0.3">
      <c r="D56" s="102"/>
      <c r="E56" s="102"/>
      <c r="F56" s="102"/>
    </row>
    <row r="57" spans="1:7" x14ac:dyDescent="0.3">
      <c r="D57" s="102"/>
      <c r="E57" s="102"/>
      <c r="F57" s="102"/>
    </row>
    <row r="73" spans="2:2" x14ac:dyDescent="0.3">
      <c r="B73" s="1"/>
    </row>
  </sheetData>
  <mergeCells count="3">
    <mergeCell ref="A3:A4"/>
    <mergeCell ref="B3:B4"/>
    <mergeCell ref="C3:C4"/>
  </mergeCells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8"/>
  <sheetViews>
    <sheetView workbookViewId="0">
      <selection activeCell="C9" sqref="C9"/>
    </sheetView>
  </sheetViews>
  <sheetFormatPr defaultRowHeight="14.4" x14ac:dyDescent="0.3"/>
  <cols>
    <col min="2" max="2" width="53" style="1" bestFit="1" customWidth="1"/>
    <col min="3" max="3" width="9.109375" bestFit="1" customWidth="1"/>
  </cols>
  <sheetData>
    <row r="4" spans="2:3" x14ac:dyDescent="0.3">
      <c r="B4" s="537" t="s">
        <v>40</v>
      </c>
      <c r="C4" s="318" t="s">
        <v>189</v>
      </c>
    </row>
    <row r="5" spans="2:3" x14ac:dyDescent="0.3">
      <c r="B5" s="538" t="s">
        <v>45</v>
      </c>
      <c r="C5" s="318"/>
    </row>
    <row r="6" spans="2:3" x14ac:dyDescent="0.3">
      <c r="B6" s="538" t="s">
        <v>11</v>
      </c>
      <c r="C6" s="542">
        <v>3050436</v>
      </c>
    </row>
    <row r="7" spans="2:3" x14ac:dyDescent="0.3">
      <c r="B7" s="538" t="s">
        <v>51</v>
      </c>
      <c r="C7" s="542">
        <v>2928078</v>
      </c>
    </row>
    <row r="8" spans="2:3" x14ac:dyDescent="0.3">
      <c r="B8" s="538" t="s">
        <v>187</v>
      </c>
      <c r="C8" s="542">
        <v>122358</v>
      </c>
    </row>
    <row r="9" spans="2:3" x14ac:dyDescent="0.3">
      <c r="B9" s="538" t="s">
        <v>46</v>
      </c>
      <c r="C9" s="542">
        <v>6269116.0001375005</v>
      </c>
    </row>
    <row r="10" spans="2:3" x14ac:dyDescent="0.3">
      <c r="B10" s="539" t="s">
        <v>92</v>
      </c>
      <c r="C10" s="542">
        <v>5906120</v>
      </c>
    </row>
    <row r="11" spans="2:3" x14ac:dyDescent="0.3">
      <c r="B11" s="539" t="s">
        <v>93</v>
      </c>
      <c r="C11" s="542">
        <v>185831</v>
      </c>
    </row>
    <row r="12" spans="2:3" x14ac:dyDescent="0.3">
      <c r="B12" s="539" t="s">
        <v>94</v>
      </c>
      <c r="C12" s="542">
        <v>167958</v>
      </c>
    </row>
    <row r="13" spans="2:3" x14ac:dyDescent="0.3">
      <c r="B13" s="540" t="s">
        <v>95</v>
      </c>
      <c r="C13" s="542">
        <v>9207.0001374999993</v>
      </c>
    </row>
    <row r="14" spans="2:3" x14ac:dyDescent="0.3">
      <c r="B14" s="538" t="s">
        <v>591</v>
      </c>
      <c r="C14" s="542">
        <v>845987</v>
      </c>
    </row>
    <row r="15" spans="2:3" x14ac:dyDescent="0.3">
      <c r="B15" s="539" t="s">
        <v>64</v>
      </c>
      <c r="C15" s="542">
        <v>214629</v>
      </c>
    </row>
    <row r="16" spans="2:3" x14ac:dyDescent="0.3">
      <c r="B16" s="539" t="s">
        <v>66</v>
      </c>
      <c r="C16" s="542">
        <v>608594</v>
      </c>
    </row>
    <row r="17" spans="2:3" x14ac:dyDescent="0.3">
      <c r="B17" s="539" t="s">
        <v>70</v>
      </c>
      <c r="C17" s="542">
        <v>7785</v>
      </c>
    </row>
    <row r="18" spans="2:3" x14ac:dyDescent="0.3">
      <c r="B18" s="539" t="s">
        <v>72</v>
      </c>
      <c r="C18" s="542">
        <v>14979</v>
      </c>
    </row>
    <row r="19" spans="2:3" x14ac:dyDescent="0.3">
      <c r="B19" s="539" t="s">
        <v>592</v>
      </c>
      <c r="C19" s="542">
        <v>6278</v>
      </c>
    </row>
    <row r="20" spans="2:3" x14ac:dyDescent="0.3">
      <c r="B20" s="539" t="s">
        <v>97</v>
      </c>
      <c r="C20" s="542">
        <v>617</v>
      </c>
    </row>
    <row r="21" spans="2:3" x14ac:dyDescent="0.3">
      <c r="B21" s="539" t="s">
        <v>98</v>
      </c>
      <c r="C21" s="542">
        <v>4578</v>
      </c>
    </row>
    <row r="22" spans="2:3" x14ac:dyDescent="0.3">
      <c r="B22" s="539" t="s">
        <v>100</v>
      </c>
      <c r="C22" s="542">
        <v>21</v>
      </c>
    </row>
    <row r="23" spans="2:3" x14ac:dyDescent="0.3">
      <c r="B23" s="539" t="s">
        <v>101</v>
      </c>
      <c r="C23" s="542">
        <v>312</v>
      </c>
    </row>
    <row r="24" spans="2:3" x14ac:dyDescent="0.3">
      <c r="B24" s="539" t="s">
        <v>103</v>
      </c>
      <c r="C24" s="542">
        <v>46</v>
      </c>
    </row>
    <row r="25" spans="2:3" x14ac:dyDescent="0.3">
      <c r="B25" s="539" t="s">
        <v>104</v>
      </c>
      <c r="C25" s="542">
        <v>357</v>
      </c>
    </row>
    <row r="26" spans="2:3" x14ac:dyDescent="0.3">
      <c r="B26" s="539" t="s">
        <v>106</v>
      </c>
      <c r="C26" s="542">
        <v>2</v>
      </c>
    </row>
    <row r="27" spans="2:3" x14ac:dyDescent="0.3">
      <c r="B27" s="539" t="s">
        <v>107</v>
      </c>
      <c r="C27" s="542">
        <v>24</v>
      </c>
    </row>
    <row r="28" spans="2:3" x14ac:dyDescent="0.3">
      <c r="B28" s="539" t="s">
        <v>109</v>
      </c>
      <c r="C28" s="542">
        <v>8</v>
      </c>
    </row>
    <row r="29" spans="2:3" x14ac:dyDescent="0.3">
      <c r="B29" s="539" t="s">
        <v>110</v>
      </c>
      <c r="C29" s="542">
        <v>276</v>
      </c>
    </row>
    <row r="30" spans="2:3" x14ac:dyDescent="0.3">
      <c r="B30" s="539" t="s">
        <v>112</v>
      </c>
      <c r="C30" s="542">
        <v>1</v>
      </c>
    </row>
    <row r="31" spans="2:3" x14ac:dyDescent="0.3">
      <c r="B31" s="539" t="s">
        <v>113</v>
      </c>
      <c r="C31" s="542">
        <v>36</v>
      </c>
    </row>
    <row r="32" spans="2:3" x14ac:dyDescent="0.3">
      <c r="B32" s="541" t="s">
        <v>91</v>
      </c>
      <c r="C32" s="542">
        <v>306756.00005907885</v>
      </c>
    </row>
    <row r="33" spans="2:3" x14ac:dyDescent="0.3">
      <c r="B33" s="541" t="s">
        <v>3</v>
      </c>
      <c r="C33" s="542">
        <v>5291.0000175666664</v>
      </c>
    </row>
    <row r="34" spans="2:3" x14ac:dyDescent="0.3">
      <c r="B34" s="541" t="s">
        <v>4</v>
      </c>
      <c r="C34" s="542">
        <v>243948</v>
      </c>
    </row>
    <row r="35" spans="2:3" x14ac:dyDescent="0.3">
      <c r="B35" s="541" t="s">
        <v>6</v>
      </c>
      <c r="C35" s="542">
        <v>2515</v>
      </c>
    </row>
    <row r="36" spans="2:3" x14ac:dyDescent="0.3">
      <c r="B36" s="541" t="s">
        <v>7</v>
      </c>
      <c r="C36" s="542">
        <v>33109</v>
      </c>
    </row>
    <row r="37" spans="2:3" x14ac:dyDescent="0.3">
      <c r="B37" s="541" t="s">
        <v>9</v>
      </c>
      <c r="C37" s="542">
        <v>4069</v>
      </c>
    </row>
    <row r="38" spans="2:3" x14ac:dyDescent="0.3">
      <c r="B38" s="541" t="s">
        <v>10</v>
      </c>
      <c r="C38" s="542">
        <v>17824.000041512198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P41"/>
  <sheetViews>
    <sheetView workbookViewId="0">
      <selection activeCell="I13" sqref="I13"/>
    </sheetView>
  </sheetViews>
  <sheetFormatPr defaultRowHeight="14.4" x14ac:dyDescent="0.3"/>
  <cols>
    <col min="1" max="1" width="16" customWidth="1"/>
    <col min="2" max="5" width="10.5546875" bestFit="1" customWidth="1"/>
    <col min="6" max="6" width="11" customWidth="1"/>
    <col min="7" max="8" width="10" bestFit="1" customWidth="1"/>
    <col min="9" max="9" width="10" customWidth="1"/>
    <col min="10" max="10" width="11.33203125" customWidth="1"/>
    <col min="11" max="13" width="10" bestFit="1" customWidth="1"/>
    <col min="14" max="14" width="12.44140625" customWidth="1"/>
    <col min="15" max="15" width="9.5546875" customWidth="1"/>
  </cols>
  <sheetData>
    <row r="1" spans="1:14" x14ac:dyDescent="0.3">
      <c r="A1" t="s">
        <v>355</v>
      </c>
      <c r="J1" s="102"/>
      <c r="K1" s="102"/>
      <c r="L1" s="102"/>
      <c r="N1" s="102"/>
    </row>
    <row r="2" spans="1:14" x14ac:dyDescent="0.3">
      <c r="A2" t="s">
        <v>356</v>
      </c>
      <c r="J2" s="102"/>
      <c r="K2" s="102"/>
      <c r="L2" s="102"/>
      <c r="N2" s="102"/>
    </row>
    <row r="3" spans="1:14" x14ac:dyDescent="0.3">
      <c r="A3" t="s">
        <v>357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N3" s="102"/>
    </row>
    <row r="4" spans="1:14" x14ac:dyDescent="0.3">
      <c r="A4" s="440"/>
      <c r="B4" s="441" t="s">
        <v>211</v>
      </c>
      <c r="C4" s="441" t="s">
        <v>212</v>
      </c>
      <c r="D4" s="441" t="s">
        <v>250</v>
      </c>
      <c r="E4" s="441" t="s">
        <v>265</v>
      </c>
      <c r="F4" s="441" t="s">
        <v>310</v>
      </c>
      <c r="G4" s="441" t="s">
        <v>358</v>
      </c>
      <c r="H4" s="441" t="s">
        <v>359</v>
      </c>
      <c r="I4" s="441" t="s">
        <v>360</v>
      </c>
      <c r="J4" s="441" t="s">
        <v>361</v>
      </c>
      <c r="K4" s="441" t="s">
        <v>362</v>
      </c>
      <c r="L4" s="441" t="s">
        <v>363</v>
      </c>
      <c r="M4" s="441" t="s">
        <v>364</v>
      </c>
      <c r="N4" s="441" t="s">
        <v>151</v>
      </c>
    </row>
    <row r="5" spans="1:14" x14ac:dyDescent="0.3">
      <c r="A5" s="442" t="s">
        <v>365</v>
      </c>
      <c r="B5" s="443">
        <f t="shared" ref="B5:I5" si="0">+B6+B7+B20+B22</f>
        <v>652799.64</v>
      </c>
      <c r="C5" s="443">
        <f t="shared" si="0"/>
        <v>634945.38</v>
      </c>
      <c r="D5" s="443">
        <f t="shared" si="0"/>
        <v>645089.24</v>
      </c>
      <c r="E5" s="443">
        <f t="shared" si="0"/>
        <v>617211</v>
      </c>
      <c r="F5" s="443">
        <f t="shared" si="0"/>
        <v>590455.4800000001</v>
      </c>
      <c r="G5" s="443">
        <f t="shared" si="0"/>
        <v>594334.4</v>
      </c>
      <c r="H5" s="443">
        <f t="shared" si="0"/>
        <v>534609.96000000008</v>
      </c>
      <c r="I5" s="443">
        <f t="shared" si="0"/>
        <v>547584.02</v>
      </c>
      <c r="J5" s="443">
        <f>+J6+J7+J20+J22+J23</f>
        <v>672599.86</v>
      </c>
      <c r="K5" s="443">
        <f t="shared" ref="K5:M5" si="1">+K6+K7+K20+K22+K23</f>
        <v>630928.78</v>
      </c>
      <c r="L5" s="443">
        <f t="shared" si="1"/>
        <v>646498.0199999999</v>
      </c>
      <c r="M5" s="443">
        <f t="shared" si="1"/>
        <v>597200.93999999994</v>
      </c>
      <c r="N5" s="443">
        <f>+SUM(B5:M5)</f>
        <v>7364256.7199999988</v>
      </c>
    </row>
    <row r="6" spans="1:14" x14ac:dyDescent="0.3">
      <c r="A6" s="444" t="s">
        <v>366</v>
      </c>
      <c r="B6" s="445">
        <v>652959.64</v>
      </c>
      <c r="C6" s="445">
        <v>634945.38</v>
      </c>
      <c r="D6" s="445">
        <v>645363.04</v>
      </c>
      <c r="E6" s="445">
        <v>617311</v>
      </c>
      <c r="F6" s="445">
        <v>589864.68000000005</v>
      </c>
      <c r="G6" s="445">
        <v>594334.4</v>
      </c>
      <c r="H6" s="445">
        <v>534627.56000000006</v>
      </c>
      <c r="I6" s="445">
        <v>547600.02</v>
      </c>
      <c r="J6" s="445">
        <v>661036.66</v>
      </c>
      <c r="K6" s="445">
        <v>630881.57999999996</v>
      </c>
      <c r="L6" s="445">
        <v>645549.31999999995</v>
      </c>
      <c r="M6" s="445">
        <v>597333.93999999994</v>
      </c>
      <c r="N6" s="446">
        <f>+SUM(B6:M6)</f>
        <v>7351807.2200000007</v>
      </c>
    </row>
    <row r="7" spans="1:14" x14ac:dyDescent="0.3">
      <c r="A7" s="447" t="s">
        <v>367</v>
      </c>
      <c r="B7" s="445">
        <f>+SUM(B8:B19)</f>
        <v>0</v>
      </c>
      <c r="C7" s="445">
        <f t="shared" ref="C7:M7" si="2">+SUM(C8:C19)</f>
        <v>0</v>
      </c>
      <c r="D7" s="445">
        <f t="shared" si="2"/>
        <v>0</v>
      </c>
      <c r="E7" s="445">
        <f t="shared" si="2"/>
        <v>0</v>
      </c>
      <c r="F7" s="445">
        <v>834.8</v>
      </c>
      <c r="G7" s="445">
        <f t="shared" si="2"/>
        <v>0</v>
      </c>
      <c r="H7" s="445">
        <f t="shared" si="2"/>
        <v>0</v>
      </c>
      <c r="I7" s="445">
        <f t="shared" si="2"/>
        <v>0</v>
      </c>
      <c r="J7" s="445">
        <f t="shared" si="2"/>
        <v>11769</v>
      </c>
      <c r="K7" s="445">
        <f t="shared" si="2"/>
        <v>94.4</v>
      </c>
      <c r="L7" s="445">
        <f t="shared" si="2"/>
        <v>4.4000000000000004</v>
      </c>
      <c r="M7" s="445">
        <f t="shared" si="2"/>
        <v>0</v>
      </c>
      <c r="N7" s="446">
        <f>+SUM(B7:M7)</f>
        <v>12702.599999999999</v>
      </c>
    </row>
    <row r="8" spans="1:14" x14ac:dyDescent="0.3">
      <c r="A8" s="448" t="s">
        <v>211</v>
      </c>
      <c r="B8" s="449"/>
      <c r="C8" s="449"/>
      <c r="D8" s="449"/>
      <c r="E8" s="449"/>
      <c r="F8" s="449"/>
      <c r="G8" s="449"/>
      <c r="H8" s="449"/>
      <c r="I8" s="449"/>
      <c r="J8" s="449"/>
      <c r="K8" s="449"/>
      <c r="L8" s="449"/>
      <c r="M8" s="449"/>
      <c r="N8" s="446">
        <f>+SUM(B8:M8)</f>
        <v>0</v>
      </c>
    </row>
    <row r="9" spans="1:14" x14ac:dyDescent="0.3">
      <c r="A9" s="448" t="s">
        <v>212</v>
      </c>
      <c r="B9" s="449"/>
      <c r="C9" s="449"/>
      <c r="D9" s="449"/>
      <c r="E9" s="449"/>
      <c r="F9" s="449"/>
      <c r="G9" s="449"/>
      <c r="H9" s="449"/>
      <c r="I9" s="449"/>
      <c r="J9" s="449"/>
      <c r="K9" s="449"/>
      <c r="L9" s="449"/>
      <c r="M9" s="449"/>
      <c r="N9" s="446">
        <f t="shared" ref="N9:N20" si="3">+SUM(B9:M9)</f>
        <v>0</v>
      </c>
    </row>
    <row r="10" spans="1:14" x14ac:dyDescent="0.3">
      <c r="A10" s="448" t="s">
        <v>250</v>
      </c>
      <c r="B10" s="449"/>
      <c r="C10" s="449"/>
      <c r="D10" s="449"/>
      <c r="E10" s="449"/>
      <c r="F10" s="449">
        <f>646155.84-D6</f>
        <v>792.79999999993015</v>
      </c>
      <c r="G10" s="449"/>
      <c r="H10" s="449"/>
      <c r="I10" s="449"/>
      <c r="J10" s="449"/>
      <c r="K10" s="449"/>
      <c r="L10" s="449"/>
      <c r="M10" s="449"/>
      <c r="N10" s="446">
        <f t="shared" si="3"/>
        <v>792.79999999993015</v>
      </c>
    </row>
    <row r="11" spans="1:14" x14ac:dyDescent="0.3">
      <c r="A11" s="448" t="s">
        <v>265</v>
      </c>
      <c r="B11" s="449"/>
      <c r="C11" s="449"/>
      <c r="D11" s="449"/>
      <c r="E11" s="449"/>
      <c r="F11" s="449">
        <f>617353-E6</f>
        <v>42</v>
      </c>
      <c r="G11" s="449"/>
      <c r="H11" s="449"/>
      <c r="I11" s="449"/>
      <c r="J11" s="449"/>
      <c r="K11" s="449"/>
      <c r="L11" s="449"/>
      <c r="M11" s="449"/>
      <c r="N11" s="446">
        <f t="shared" si="3"/>
        <v>42</v>
      </c>
    </row>
    <row r="12" spans="1:14" x14ac:dyDescent="0.3">
      <c r="A12" s="448" t="s">
        <v>310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6">
        <f t="shared" si="3"/>
        <v>0</v>
      </c>
    </row>
    <row r="13" spans="1:14" x14ac:dyDescent="0.3">
      <c r="A13" s="448" t="s">
        <v>358</v>
      </c>
      <c r="B13" s="449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6">
        <f t="shared" si="3"/>
        <v>0</v>
      </c>
    </row>
    <row r="14" spans="1:14" x14ac:dyDescent="0.3">
      <c r="A14" s="448" t="s">
        <v>359</v>
      </c>
      <c r="B14" s="449"/>
      <c r="C14" s="449"/>
      <c r="D14" s="449"/>
      <c r="E14" s="449"/>
      <c r="F14" s="449"/>
      <c r="G14" s="449"/>
      <c r="H14" s="449"/>
      <c r="I14" s="449"/>
      <c r="J14" s="449"/>
      <c r="K14" s="449"/>
      <c r="L14" s="449"/>
      <c r="M14" s="449"/>
      <c r="N14" s="446">
        <f t="shared" si="3"/>
        <v>0</v>
      </c>
    </row>
    <row r="15" spans="1:14" x14ac:dyDescent="0.3">
      <c r="A15" s="448" t="s">
        <v>360</v>
      </c>
      <c r="B15" s="449"/>
      <c r="C15" s="449"/>
      <c r="D15" s="449"/>
      <c r="E15" s="449"/>
      <c r="F15" s="449"/>
      <c r="G15" s="449"/>
      <c r="H15" s="449"/>
      <c r="I15" s="449"/>
      <c r="J15" s="449">
        <v>11769</v>
      </c>
      <c r="K15" s="449"/>
      <c r="L15" s="449"/>
      <c r="M15" s="449"/>
      <c r="N15" s="446">
        <f t="shared" si="3"/>
        <v>11769</v>
      </c>
    </row>
    <row r="16" spans="1:14" x14ac:dyDescent="0.3">
      <c r="A16" s="448" t="s">
        <v>361</v>
      </c>
      <c r="B16" s="449"/>
      <c r="C16" s="449"/>
      <c r="D16" s="449"/>
      <c r="E16" s="449"/>
      <c r="F16" s="449"/>
      <c r="G16" s="449"/>
      <c r="H16" s="449"/>
      <c r="I16" s="449"/>
      <c r="J16" s="449"/>
      <c r="K16" s="449">
        <v>94.4</v>
      </c>
      <c r="L16" s="449"/>
      <c r="M16" s="449"/>
      <c r="N16" s="446">
        <f t="shared" si="3"/>
        <v>94.4</v>
      </c>
    </row>
    <row r="17" spans="1:16" x14ac:dyDescent="0.3">
      <c r="A17" s="448" t="s">
        <v>362</v>
      </c>
      <c r="B17" s="449"/>
      <c r="C17" s="449"/>
      <c r="D17" s="449"/>
      <c r="E17" s="449"/>
      <c r="F17" s="449"/>
      <c r="G17" s="449"/>
      <c r="H17" s="449"/>
      <c r="I17" s="449"/>
      <c r="J17" s="449"/>
      <c r="K17" s="449"/>
      <c r="L17" s="449">
        <v>4.4000000000000004</v>
      </c>
      <c r="M17" s="449"/>
      <c r="N17" s="446">
        <f t="shared" si="3"/>
        <v>4.4000000000000004</v>
      </c>
    </row>
    <row r="18" spans="1:16" x14ac:dyDescent="0.3">
      <c r="A18" s="448" t="s">
        <v>363</v>
      </c>
      <c r="B18" s="449"/>
      <c r="C18" s="449"/>
      <c r="D18" s="449"/>
      <c r="E18" s="449"/>
      <c r="F18" s="449"/>
      <c r="G18" s="449"/>
      <c r="H18" s="449"/>
      <c r="I18" s="449"/>
      <c r="J18" s="449"/>
      <c r="K18" s="449"/>
      <c r="L18" s="449"/>
      <c r="M18" s="449"/>
      <c r="N18" s="446">
        <f t="shared" si="3"/>
        <v>0</v>
      </c>
    </row>
    <row r="19" spans="1:16" x14ac:dyDescent="0.3">
      <c r="A19" s="448" t="s">
        <v>364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6">
        <f t="shared" si="3"/>
        <v>0</v>
      </c>
    </row>
    <row r="20" spans="1:16" x14ac:dyDescent="0.3">
      <c r="A20" s="447" t="s">
        <v>368</v>
      </c>
      <c r="B20" s="445">
        <v>-160</v>
      </c>
      <c r="C20" s="445">
        <v>0</v>
      </c>
      <c r="D20" s="445">
        <v>-273.8</v>
      </c>
      <c r="E20" s="445">
        <v>-100</v>
      </c>
      <c r="F20" s="445">
        <v>-244</v>
      </c>
      <c r="G20" s="445">
        <v>0</v>
      </c>
      <c r="H20" s="445">
        <v>-17.600000000000001</v>
      </c>
      <c r="I20" s="445">
        <v>-16</v>
      </c>
      <c r="J20" s="445">
        <v>-254</v>
      </c>
      <c r="K20" s="445">
        <v>-47.2</v>
      </c>
      <c r="L20" s="445">
        <v>0</v>
      </c>
      <c r="M20" s="445">
        <v>-133</v>
      </c>
      <c r="N20" s="446">
        <f t="shared" si="3"/>
        <v>-1245.6000000000001</v>
      </c>
    </row>
    <row r="21" spans="1:16" x14ac:dyDescent="0.3">
      <c r="A21" s="440"/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</row>
    <row r="22" spans="1:16" s="142" customFormat="1" x14ac:dyDescent="0.3">
      <c r="A22" s="450" t="s">
        <v>509</v>
      </c>
      <c r="B22" s="451"/>
      <c r="C22" s="451"/>
      <c r="D22" s="451"/>
      <c r="E22" s="451"/>
      <c r="F22" s="451"/>
      <c r="G22" s="451"/>
      <c r="H22" s="451"/>
      <c r="I22" s="451"/>
      <c r="J22" s="451">
        <v>48.2</v>
      </c>
      <c r="K22" s="451">
        <v>0</v>
      </c>
      <c r="L22" s="451">
        <v>920.2</v>
      </c>
      <c r="M22" s="451"/>
      <c r="N22" s="451"/>
    </row>
    <row r="23" spans="1:16" s="142" customFormat="1" x14ac:dyDescent="0.3">
      <c r="A23" s="450" t="s">
        <v>510</v>
      </c>
      <c r="B23" s="451"/>
      <c r="C23" s="451"/>
      <c r="D23" s="451"/>
      <c r="E23" s="451"/>
      <c r="F23" s="451"/>
      <c r="G23" s="451"/>
      <c r="H23" s="451"/>
      <c r="I23" s="451"/>
      <c r="J23" s="451"/>
      <c r="K23" s="451"/>
      <c r="L23" s="451">
        <v>24.1</v>
      </c>
      <c r="M23" s="451"/>
      <c r="N23" s="451"/>
    </row>
    <row r="24" spans="1:16" s="142" customFormat="1" x14ac:dyDescent="0.3">
      <c r="A24" s="370"/>
      <c r="B24" s="371"/>
      <c r="C24" s="371"/>
      <c r="D24" s="371"/>
      <c r="E24" s="371"/>
      <c r="F24" s="371"/>
      <c r="G24" s="371"/>
      <c r="H24" s="371"/>
      <c r="I24" s="371"/>
      <c r="J24" s="371">
        <v>26.6</v>
      </c>
      <c r="K24" s="371">
        <v>82.15</v>
      </c>
      <c r="L24" s="371">
        <v>116.6</v>
      </c>
      <c r="M24" s="371">
        <v>164</v>
      </c>
      <c r="N24" s="371"/>
    </row>
    <row r="25" spans="1:16" x14ac:dyDescent="0.3">
      <c r="A25" t="s">
        <v>369</v>
      </c>
      <c r="J25" s="102"/>
    </row>
    <row r="26" spans="1:16" x14ac:dyDescent="0.3">
      <c r="A26" s="447" t="s">
        <v>370</v>
      </c>
      <c r="B26" s="452" t="s">
        <v>211</v>
      </c>
      <c r="C26" s="452" t="s">
        <v>212</v>
      </c>
      <c r="D26" s="452" t="s">
        <v>250</v>
      </c>
      <c r="E26" s="452" t="s">
        <v>265</v>
      </c>
      <c r="F26" s="452" t="s">
        <v>310</v>
      </c>
      <c r="G26" s="452" t="s">
        <v>358</v>
      </c>
      <c r="H26" s="452" t="s">
        <v>359</v>
      </c>
      <c r="I26" s="452" t="s">
        <v>360</v>
      </c>
      <c r="J26" s="452" t="s">
        <v>361</v>
      </c>
      <c r="K26" s="452" t="s">
        <v>362</v>
      </c>
      <c r="L26" s="452" t="s">
        <v>363</v>
      </c>
      <c r="M26" s="452" t="s">
        <v>364</v>
      </c>
      <c r="N26" s="452" t="s">
        <v>151</v>
      </c>
    </row>
    <row r="27" spans="1:16" x14ac:dyDescent="0.3">
      <c r="A27" s="453" t="s">
        <v>371</v>
      </c>
      <c r="B27" s="449">
        <v>583169.64</v>
      </c>
      <c r="C27" s="449">
        <v>531753.98</v>
      </c>
      <c r="D27" s="449">
        <v>540756.84</v>
      </c>
      <c r="E27" s="449">
        <v>520960</v>
      </c>
      <c r="F27" s="449">
        <v>524820.07999999996</v>
      </c>
      <c r="G27" s="449">
        <v>472143.8</v>
      </c>
      <c r="H27" s="455"/>
      <c r="I27" s="455"/>
      <c r="J27" s="455"/>
      <c r="K27" s="455"/>
      <c r="L27" s="455"/>
      <c r="M27" s="455"/>
      <c r="N27" s="455">
        <f>SUM(E27:M27)</f>
        <v>1517923.88</v>
      </c>
    </row>
    <row r="28" spans="1:16" x14ac:dyDescent="0.3">
      <c r="A28" s="448" t="s">
        <v>372</v>
      </c>
      <c r="B28" s="449">
        <v>69790</v>
      </c>
      <c r="C28" s="449">
        <v>103191.4</v>
      </c>
      <c r="D28" s="449">
        <v>105399</v>
      </c>
      <c r="E28" s="449">
        <v>96393</v>
      </c>
      <c r="F28" s="449">
        <v>65044.6</v>
      </c>
      <c r="G28" s="449">
        <v>122190.59999999998</v>
      </c>
      <c r="H28" s="448"/>
      <c r="I28" s="455"/>
      <c r="J28" s="455"/>
      <c r="K28" s="455"/>
      <c r="L28" s="455"/>
      <c r="M28" s="455"/>
      <c r="N28" s="455">
        <f t="shared" ref="N28:N30" si="4">SUM(E28:M28)</f>
        <v>283628.19999999995</v>
      </c>
    </row>
    <row r="29" spans="1:16" x14ac:dyDescent="0.3">
      <c r="A29" s="456" t="s">
        <v>373</v>
      </c>
      <c r="B29" s="517">
        <v>0</v>
      </c>
      <c r="C29" s="517">
        <v>0</v>
      </c>
      <c r="D29" s="517">
        <v>0</v>
      </c>
      <c r="E29" s="517">
        <v>0</v>
      </c>
      <c r="F29" s="517">
        <v>0</v>
      </c>
      <c r="G29" s="517">
        <v>0</v>
      </c>
      <c r="H29" s="457"/>
      <c r="I29" s="457"/>
      <c r="J29" s="457"/>
      <c r="K29" s="457"/>
      <c r="L29" s="457"/>
      <c r="M29" s="457"/>
      <c r="N29" s="455">
        <f t="shared" si="4"/>
        <v>0</v>
      </c>
    </row>
    <row r="30" spans="1:16" x14ac:dyDescent="0.3">
      <c r="A30" s="458" t="s">
        <v>374</v>
      </c>
      <c r="B30" s="518">
        <f t="shared" ref="B30:G30" si="5">B27+B28+B29</f>
        <v>652959.64</v>
      </c>
      <c r="C30" s="518">
        <f t="shared" si="5"/>
        <v>634945.38</v>
      </c>
      <c r="D30" s="518">
        <f t="shared" si="5"/>
        <v>646155.84</v>
      </c>
      <c r="E30" s="518">
        <f t="shared" si="5"/>
        <v>617353</v>
      </c>
      <c r="F30" s="518">
        <f t="shared" si="5"/>
        <v>589864.67999999993</v>
      </c>
      <c r="G30" s="518">
        <f t="shared" si="5"/>
        <v>594334.39999999991</v>
      </c>
      <c r="H30" s="459">
        <f>H27+H28+H29</f>
        <v>0</v>
      </c>
      <c r="I30" s="459">
        <f t="shared" ref="I30:L30" si="6">I27+I28+I29</f>
        <v>0</v>
      </c>
      <c r="J30" s="459">
        <f t="shared" si="6"/>
        <v>0</v>
      </c>
      <c r="K30" s="459">
        <f t="shared" si="6"/>
        <v>0</v>
      </c>
      <c r="L30" s="459">
        <f t="shared" si="6"/>
        <v>0</v>
      </c>
      <c r="M30" s="459">
        <f>M27+M28+M29</f>
        <v>0</v>
      </c>
      <c r="N30" s="459">
        <f t="shared" si="4"/>
        <v>1801552.0799999998</v>
      </c>
      <c r="P30" s="205"/>
    </row>
    <row r="31" spans="1:16" x14ac:dyDescent="0.3">
      <c r="A31" s="460" t="s">
        <v>375</v>
      </c>
      <c r="B31" s="445">
        <f t="shared" ref="B31:G31" si="7">B6-B30</f>
        <v>0</v>
      </c>
      <c r="C31" s="445">
        <f t="shared" si="7"/>
        <v>0</v>
      </c>
      <c r="D31" s="445">
        <f t="shared" si="7"/>
        <v>-792.79999999993015</v>
      </c>
      <c r="E31" s="445">
        <f t="shared" si="7"/>
        <v>-42</v>
      </c>
      <c r="F31" s="445">
        <f t="shared" si="7"/>
        <v>0</v>
      </c>
      <c r="G31" s="445">
        <f t="shared" si="7"/>
        <v>0</v>
      </c>
      <c r="H31" s="461"/>
      <c r="I31" s="462"/>
      <c r="J31" s="463"/>
      <c r="K31" s="461"/>
      <c r="L31" s="462"/>
      <c r="M31" s="462"/>
      <c r="N31" s="461">
        <f>SUM(B31:M31)</f>
        <v>-834.79999999993015</v>
      </c>
    </row>
    <row r="32" spans="1:16" x14ac:dyDescent="0.3">
      <c r="A32" s="372"/>
    </row>
    <row r="33" spans="2:16" x14ac:dyDescent="0.3">
      <c r="B33" s="373"/>
      <c r="C33" s="373"/>
      <c r="D33" s="373"/>
      <c r="E33" s="373"/>
      <c r="P33" s="374"/>
    </row>
    <row r="34" spans="2:16" x14ac:dyDescent="0.3">
      <c r="E34" s="374"/>
      <c r="F34" s="374"/>
      <c r="G34" s="374"/>
      <c r="H34" s="374"/>
      <c r="I34" s="374"/>
      <c r="J34" s="374"/>
      <c r="K34" s="374"/>
      <c r="L34" s="374"/>
      <c r="M34" s="374"/>
      <c r="N34" s="374"/>
    </row>
    <row r="35" spans="2:16" x14ac:dyDescent="0.3">
      <c r="E35" s="374"/>
      <c r="H35" s="374"/>
    </row>
    <row r="36" spans="2:16" x14ac:dyDescent="0.3">
      <c r="D36" s="374"/>
      <c r="H36" s="374"/>
    </row>
    <row r="37" spans="2:16" x14ac:dyDescent="0.3">
      <c r="D37" s="102"/>
      <c r="G37" s="374"/>
    </row>
    <row r="39" spans="2:16" x14ac:dyDescent="0.3">
      <c r="D39" s="102"/>
    </row>
    <row r="41" spans="2:16" x14ac:dyDescent="0.3">
      <c r="D41" s="374"/>
    </row>
  </sheetData>
  <pageMargins left="0.70866141732283472" right="0.70866141732283472" top="0.74803149606299213" bottom="0.74803149606299213" header="0.31496062992125984" footer="0.31496062992125984"/>
  <pageSetup paperSize="9" scale="99" fitToHeight="2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3" sqref="B3"/>
    </sheetView>
  </sheetViews>
  <sheetFormatPr defaultRowHeight="14.4" x14ac:dyDescent="0.3"/>
  <cols>
    <col min="2" max="2" width="61.5546875" style="1" bestFit="1" customWidth="1"/>
    <col min="3" max="3" width="14" customWidth="1"/>
  </cols>
  <sheetData>
    <row r="2" spans="2:3" ht="15.6" x14ac:dyDescent="0.3">
      <c r="B2" s="613" t="s">
        <v>595</v>
      </c>
      <c r="C2" s="613"/>
    </row>
    <row r="4" spans="2:3" ht="15.6" x14ac:dyDescent="0.3">
      <c r="B4" s="543" t="s">
        <v>40</v>
      </c>
      <c r="C4" s="550" t="s">
        <v>189</v>
      </c>
    </row>
    <row r="5" spans="2:3" ht="15.6" x14ac:dyDescent="0.3">
      <c r="B5" s="544" t="s">
        <v>45</v>
      </c>
      <c r="C5" s="545">
        <f>+SUM(C6:C10)</f>
        <v>10478573.00019658</v>
      </c>
    </row>
    <row r="6" spans="2:3" ht="15.6" x14ac:dyDescent="0.3">
      <c r="B6" s="546" t="s">
        <v>11</v>
      </c>
      <c r="C6" s="547">
        <v>3050436</v>
      </c>
    </row>
    <row r="7" spans="2:3" ht="15.6" x14ac:dyDescent="0.3">
      <c r="B7" s="546" t="s">
        <v>594</v>
      </c>
      <c r="C7" s="547">
        <v>6269116.0001375005</v>
      </c>
    </row>
    <row r="8" spans="2:3" ht="15.6" x14ac:dyDescent="0.3">
      <c r="B8" s="546" t="s">
        <v>591</v>
      </c>
      <c r="C8" s="547">
        <v>845987</v>
      </c>
    </row>
    <row r="9" spans="2:3" ht="15.6" x14ac:dyDescent="0.3">
      <c r="B9" s="548" t="s">
        <v>592</v>
      </c>
      <c r="C9" s="547">
        <v>6278</v>
      </c>
    </row>
    <row r="10" spans="2:3" ht="15.6" x14ac:dyDescent="0.3">
      <c r="B10" s="549" t="s">
        <v>593</v>
      </c>
      <c r="C10" s="547">
        <v>306756.00005907885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L20" sqref="L20"/>
    </sheetView>
  </sheetViews>
  <sheetFormatPr defaultRowHeight="14.4" outlineLevelCol="1" x14ac:dyDescent="0.3"/>
  <cols>
    <col min="2" max="2" width="32.6640625" customWidth="1"/>
    <col min="3" max="3" width="9.109375" hidden="1" customWidth="1" outlineLevel="1"/>
    <col min="4" max="4" width="12.109375" customWidth="1" collapsed="1"/>
  </cols>
  <sheetData>
    <row r="2" spans="2:4" x14ac:dyDescent="0.3">
      <c r="B2" s="275" t="s">
        <v>601</v>
      </c>
      <c r="C2" s="278" t="s">
        <v>149</v>
      </c>
      <c r="D2" s="278" t="s">
        <v>600</v>
      </c>
    </row>
    <row r="3" spans="2:4" ht="15.6" customHeight="1" x14ac:dyDescent="0.3">
      <c r="B3" s="551" t="s">
        <v>599</v>
      </c>
      <c r="C3" s="552"/>
      <c r="D3" s="553">
        <f>+D4+D5</f>
        <v>214084.75660333643</v>
      </c>
    </row>
    <row r="4" spans="2:4" x14ac:dyDescent="0.3">
      <c r="B4" s="271" t="s">
        <v>596</v>
      </c>
      <c r="C4" s="554">
        <v>7205766</v>
      </c>
      <c r="D4" s="555">
        <f>+(C4*0.0186)/3.4528</f>
        <v>38816.973934198337</v>
      </c>
    </row>
    <row r="5" spans="2:4" x14ac:dyDescent="0.3">
      <c r="B5" s="271" t="s">
        <v>597</v>
      </c>
      <c r="C5" s="555">
        <v>163558</v>
      </c>
      <c r="D5" s="555">
        <f>+(C5*3.7)/3.4528</f>
        <v>175267.78266913811</v>
      </c>
    </row>
    <row r="6" spans="2:4" x14ac:dyDescent="0.3">
      <c r="B6" s="556" t="s">
        <v>598</v>
      </c>
      <c r="C6" s="556"/>
      <c r="D6" s="557">
        <v>1754824</v>
      </c>
    </row>
    <row r="7" spans="2:4" x14ac:dyDescent="0.3">
      <c r="B7" s="556"/>
      <c r="C7" s="556"/>
      <c r="D7" s="557"/>
    </row>
    <row r="8" spans="2:4" x14ac:dyDescent="0.3">
      <c r="B8" s="556" t="s">
        <v>602</v>
      </c>
      <c r="C8" s="556"/>
      <c r="D8" s="557">
        <v>4484295</v>
      </c>
    </row>
    <row r="9" spans="2:4" x14ac:dyDescent="0.3">
      <c r="B9" s="271"/>
      <c r="C9" s="271"/>
      <c r="D9" s="271"/>
    </row>
    <row r="10" spans="2:4" x14ac:dyDescent="0.3">
      <c r="B10" s="271" t="s">
        <v>603</v>
      </c>
      <c r="C10" s="271"/>
      <c r="D10" s="555">
        <f>+D8-D3-D6</f>
        <v>2515386.243396664</v>
      </c>
    </row>
  </sheetData>
  <pageMargins left="0.7" right="0.7" top="0.75" bottom="0.75" header="0.3" footer="0.3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30"/>
  <sheetViews>
    <sheetView topLeftCell="A10" workbookViewId="0">
      <selection activeCell="C25" sqref="C25:E30"/>
    </sheetView>
  </sheetViews>
  <sheetFormatPr defaultRowHeight="14.4" x14ac:dyDescent="0.3"/>
  <cols>
    <col min="3" max="3" width="53.33203125" bestFit="1" customWidth="1"/>
    <col min="4" max="4" width="13.6640625" bestFit="1" customWidth="1"/>
  </cols>
  <sheetData>
    <row r="8" spans="3:5" x14ac:dyDescent="0.3">
      <c r="D8" s="102">
        <f>+SUM(D9:D14)</f>
        <v>34714707.082649544</v>
      </c>
    </row>
    <row r="9" spans="3:5" x14ac:dyDescent="0.3">
      <c r="C9" t="s">
        <v>54</v>
      </c>
      <c r="D9" s="102">
        <v>26663578.165137615</v>
      </c>
      <c r="E9" s="559">
        <f>+D9/$D$8</f>
        <v>0.76807729074758946</v>
      </c>
    </row>
    <row r="10" spans="3:5" x14ac:dyDescent="0.3">
      <c r="C10" t="s">
        <v>92</v>
      </c>
      <c r="D10" s="102">
        <v>5960304.5871559633</v>
      </c>
      <c r="E10" s="559">
        <f t="shared" ref="E10:E14" si="0">+D10/$D$8</f>
        <v>0.17169393286152576</v>
      </c>
    </row>
    <row r="11" spans="3:5" x14ac:dyDescent="0.3">
      <c r="C11" t="s">
        <v>93</v>
      </c>
      <c r="D11" s="102">
        <v>75014.348623853206</v>
      </c>
      <c r="E11" s="559">
        <f t="shared" si="0"/>
        <v>2.160880932835106E-3</v>
      </c>
    </row>
    <row r="12" spans="3:5" x14ac:dyDescent="0.3">
      <c r="C12" t="s">
        <v>58</v>
      </c>
      <c r="D12" s="102">
        <v>1763860.1834862384</v>
      </c>
      <c r="E12" s="559">
        <f t="shared" si="0"/>
        <v>5.0810170435452641E-2</v>
      </c>
    </row>
    <row r="13" spans="3:5" x14ac:dyDescent="0.3">
      <c r="C13" t="s">
        <v>94</v>
      </c>
      <c r="D13" s="102">
        <v>246543.85321100915</v>
      </c>
      <c r="E13" s="559">
        <f t="shared" si="0"/>
        <v>7.1020001011108079E-3</v>
      </c>
    </row>
    <row r="14" spans="3:5" x14ac:dyDescent="0.3">
      <c r="C14" t="s">
        <v>95</v>
      </c>
      <c r="D14" s="102">
        <v>5405.945034862385</v>
      </c>
      <c r="E14" s="559">
        <f t="shared" si="0"/>
        <v>1.5572492148621019E-4</v>
      </c>
    </row>
    <row r="25" spans="3:5" x14ac:dyDescent="0.3">
      <c r="D25" s="102">
        <f>+SUM(D26:D30)</f>
        <v>121654488.64269155</v>
      </c>
    </row>
    <row r="26" spans="3:5" x14ac:dyDescent="0.3">
      <c r="C26" t="s">
        <v>604</v>
      </c>
      <c r="D26" s="102">
        <v>18122423.944954127</v>
      </c>
      <c r="E26" s="558">
        <f>+D26/$D$25</f>
        <v>0.14896634022424818</v>
      </c>
    </row>
    <row r="27" spans="3:5" x14ac:dyDescent="0.3">
      <c r="C27" t="s">
        <v>605</v>
      </c>
      <c r="D27" s="102">
        <v>34714707.082649544</v>
      </c>
      <c r="E27" s="558">
        <f t="shared" ref="E27:E28" si="1">+D27/$D$25</f>
        <v>0.28535492171282945</v>
      </c>
    </row>
    <row r="28" spans="3:5" x14ac:dyDescent="0.3">
      <c r="C28" t="s">
        <v>606</v>
      </c>
      <c r="D28" s="102">
        <v>65540107.33944954</v>
      </c>
      <c r="E28" s="558">
        <f t="shared" si="1"/>
        <v>0.53873973801283892</v>
      </c>
    </row>
    <row r="29" spans="3:5" x14ac:dyDescent="0.3">
      <c r="C29" t="s">
        <v>607</v>
      </c>
      <c r="D29" s="102">
        <f>66516274.3119266-D28</f>
        <v>976166.97247706354</v>
      </c>
      <c r="E29" s="558">
        <f>+D29/$D$25</f>
        <v>8.0240933431082826E-3</v>
      </c>
    </row>
    <row r="30" spans="3:5" x14ac:dyDescent="0.3">
      <c r="C30" t="s">
        <v>608</v>
      </c>
      <c r="D30" s="102">
        <v>2301083.3031612844</v>
      </c>
      <c r="E30" s="558">
        <f>+D30/$D$25</f>
        <v>1.8914906706975196E-2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nuskait_koreg_08_men</vt:lpstr>
      <vt:lpstr>SVD_patikrinimui</vt:lpstr>
      <vt:lpstr>SVD_0709</vt:lpstr>
      <vt:lpstr>SVD_0811</vt:lpstr>
      <vt:lpstr>SVD_0910</vt:lpstr>
      <vt:lpstr>SVD_1211</vt:lpstr>
      <vt:lpstr>SVD_0112</vt:lpstr>
      <vt:lpstr>grąžinimai</vt:lpstr>
      <vt:lpstr>e.shop_koregavimai</vt:lpstr>
      <vt:lpstr>epinig_koreg_12_men</vt:lpstr>
      <vt:lpstr>R_2014_01_atkelta(viso)</vt:lpstr>
      <vt:lpstr>R_2014_01_priskirta</vt:lpstr>
      <vt:lpstr>R_2014_1_iškelta</vt:lpstr>
      <vt:lpstr>R_2014_01_BENDRA</vt:lpstr>
      <vt:lpstr>R_2014_01_saskaitos</vt:lpstr>
      <vt:lpstr>epinig_koreg_02_men</vt:lpstr>
      <vt:lpstr>R_2014_02_atkelta(viso)</vt:lpstr>
      <vt:lpstr>R_2014_02_priskirta</vt:lpstr>
      <vt:lpstr>R_2014_2_iškelta</vt:lpstr>
      <vt:lpstr>R_2014_02_BENDRA</vt:lpstr>
      <vt:lpstr>R_2014_02_saskaitos</vt:lpstr>
      <vt:lpstr>epinig_koreg_03_men</vt:lpstr>
      <vt:lpstr>R_2014_03_atkelta(viso)</vt:lpstr>
      <vt:lpstr>R_2014_03_priskirta</vt:lpstr>
      <vt:lpstr>R_2014_3_iškelta</vt:lpstr>
      <vt:lpstr>R_2014_03_BENDRA </vt:lpstr>
      <vt:lpstr>R_2014_03_saskaitos</vt:lpstr>
      <vt:lpstr>nuskait_koreg_04_men</vt:lpstr>
      <vt:lpstr>R_2014_04_atkelta(viso)</vt:lpstr>
      <vt:lpstr>R_2014_04_priskirta</vt:lpstr>
      <vt:lpstr>R_2014_4_iškelta</vt:lpstr>
      <vt:lpstr>R_2014_04_BENDRA </vt:lpstr>
      <vt:lpstr>R_2014_04_saskaitos</vt:lpstr>
      <vt:lpstr>nuskait_koreg_05_men</vt:lpstr>
      <vt:lpstr>R_2014_05_atkelta(viso)</vt:lpstr>
      <vt:lpstr>R_2014_05_priskirta</vt:lpstr>
      <vt:lpstr>R_2014_5_iškelta</vt:lpstr>
      <vt:lpstr>R_2014_05_BENDRA</vt:lpstr>
      <vt:lpstr>R_2014_05_saskaitos</vt:lpstr>
      <vt:lpstr>nuskait_koreg_06_men</vt:lpstr>
      <vt:lpstr>R_2014_06_atkelta(viso)</vt:lpstr>
      <vt:lpstr>R_2014_06_priskirta</vt:lpstr>
      <vt:lpstr>R_2014_6_iškelta</vt:lpstr>
      <vt:lpstr>R_2014_06_BENDRA</vt:lpstr>
      <vt:lpstr>R_2014_06_saskaitos</vt:lpstr>
      <vt:lpstr>nuskait_koreg_07_men</vt:lpstr>
      <vt:lpstr>R_2014_07_priskirta</vt:lpstr>
      <vt:lpstr>R_2014_07_atkelta(viso)</vt:lpstr>
      <vt:lpstr>R_2014_7_iškelta</vt:lpstr>
      <vt:lpstr>R_2014_07_BENDRA</vt:lpstr>
      <vt:lpstr>R_2014_07_saskaitos</vt:lpstr>
      <vt:lpstr>nuskait_koreg_08_men_</vt:lpstr>
      <vt:lpstr>R_2014_08_priskirta</vt:lpstr>
      <vt:lpstr>R_2014_08_atkelta(viso)</vt:lpstr>
      <vt:lpstr>R_2014_8_iškelta</vt:lpstr>
      <vt:lpstr>R_2014_08_BENDRA</vt:lpstr>
      <vt:lpstr>R_2014_08_saskaitos</vt:lpstr>
      <vt:lpstr>nuskait_koreg_09_men</vt:lpstr>
      <vt:lpstr>R_2014_09_priskirta</vt:lpstr>
      <vt:lpstr>R_2014_09_atkelta(viso)</vt:lpstr>
      <vt:lpstr>R_2014_9_iškelta</vt:lpstr>
      <vt:lpstr>R_2014_09_BENDRA</vt:lpstr>
      <vt:lpstr>R_2014_09_saskaitos</vt:lpstr>
      <vt:lpstr>nuskait_koreg_10_men</vt:lpstr>
      <vt:lpstr>R_2014_10_priskirta</vt:lpstr>
      <vt:lpstr>R_2014_10_atkelta(viso)</vt:lpstr>
      <vt:lpstr>R_2014_10_iškelta</vt:lpstr>
      <vt:lpstr>R_2014_10_BENDRA</vt:lpstr>
      <vt:lpstr>R_2014_10_saskaitos</vt:lpstr>
      <vt:lpstr>nuskait_koreg_11_men</vt:lpstr>
      <vt:lpstr>R_2014_11_priskirta</vt:lpstr>
      <vt:lpstr>R_2014_11_atkelta(viso)</vt:lpstr>
      <vt:lpstr>R_2014_11_iškelta</vt:lpstr>
      <vt:lpstr>R_2014_11_BENDRA</vt:lpstr>
      <vt:lpstr>R_2014_11_saskaitos</vt:lpstr>
      <vt:lpstr>nuskait_koreg_12_men</vt:lpstr>
      <vt:lpstr>R_2014_12_priskirta</vt:lpstr>
      <vt:lpstr>R_2014_12_atkelta(viso)</vt:lpstr>
      <vt:lpstr>R_2014_12_iškelta</vt:lpstr>
      <vt:lpstr>R_2014_12_BENDRA</vt:lpstr>
      <vt:lpstr>R_2014_12_saskaitos</vt:lpstr>
      <vt:lpstr>R_2014_BENDRA </vt:lpstr>
      <vt:lpstr>R_2014_BENDRA_KOMPENSACIJOS</vt:lpstr>
      <vt:lpstr>R_2014_PAGAL_SASKAITAS (Lt)</vt:lpstr>
      <vt:lpstr>R_2014_PAGAL_SASKAITAS (vnt)</vt:lpstr>
      <vt:lpstr>R_2014_SASKAIT_KOMPENSACIJOS</vt:lpstr>
      <vt:lpstr>Sheet1</vt:lpstr>
      <vt:lpstr>09menkor</vt:lpstr>
      <vt:lpstr>Sheet2</vt:lpstr>
      <vt:lpstr>Sheet2 (2)</vt:lpstr>
      <vt:lpstr>bil.gamyba_platinimas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vilma</dc:creator>
  <cp:lastModifiedBy>vilma</cp:lastModifiedBy>
  <cp:lastPrinted>2015-01-07T09:19:39Z</cp:lastPrinted>
  <dcterms:created xsi:type="dcterms:W3CDTF">2012-01-20T13:39:19Z</dcterms:created>
  <dcterms:modified xsi:type="dcterms:W3CDTF">2015-06-10T13:58:55Z</dcterms:modified>
</cp:coreProperties>
</file>