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Default Extension="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5360" yWindow="680" windowWidth="14560" windowHeight="13780" firstSheet="2" activeTab="5"/>
  </bookViews>
  <sheets>
    <sheet name="Dataset 1" sheetId="5" r:id="rId1"/>
    <sheet name="Dataset 2" sheetId="1" r:id="rId2"/>
    <sheet name="Dataset 3" sheetId="6" r:id="rId3"/>
    <sheet name="Dataset 4" sheetId="9" r:id="rId4"/>
    <sheet name="Dataset 5" sheetId="10" r:id="rId5"/>
    <sheet name="Dataset 7" sheetId="11" r:id="rId6"/>
    <sheet name="Reference" sheetId="3" state="hidden" r:id="rId7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" i="5"/>
  <c r="B23"/>
  <c r="B24"/>
  <c r="B25"/>
  <c r="B26"/>
  <c r="B27"/>
  <c r="B28"/>
  <c r="B29"/>
  <c r="B30"/>
  <c r="B31"/>
  <c r="C23"/>
  <c r="C24"/>
  <c r="C25"/>
  <c r="C26"/>
  <c r="C27"/>
  <c r="C28"/>
  <c r="C29"/>
  <c r="C30"/>
  <c r="C31"/>
  <c r="D23"/>
  <c r="D24"/>
  <c r="D25"/>
  <c r="D26"/>
  <c r="D27"/>
  <c r="D28"/>
  <c r="D29"/>
  <c r="D30"/>
  <c r="D31"/>
  <c r="E23"/>
  <c r="E24"/>
  <c r="E25"/>
  <c r="E26"/>
  <c r="E27"/>
  <c r="E28"/>
  <c r="E29"/>
  <c r="E30"/>
  <c r="E31"/>
  <c r="F23"/>
  <c r="F24"/>
  <c r="F25"/>
  <c r="F26"/>
  <c r="F27"/>
  <c r="F28"/>
  <c r="F29"/>
  <c r="F30"/>
  <c r="F31"/>
  <c r="G23"/>
  <c r="G24"/>
  <c r="G25"/>
  <c r="G26"/>
  <c r="G27"/>
  <c r="G28"/>
  <c r="G29"/>
  <c r="G30"/>
  <c r="G31"/>
  <c r="A4"/>
  <c r="A5"/>
  <c r="G21"/>
  <c r="F21"/>
  <c r="E21"/>
  <c r="D21"/>
  <c r="C21"/>
  <c r="B21"/>
  <c r="G20"/>
  <c r="F20"/>
  <c r="E20"/>
  <c r="D20"/>
  <c r="C20"/>
  <c r="B20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A3"/>
  <c r="A7" i="1"/>
  <c r="A8"/>
  <c r="A9"/>
  <c r="A12"/>
  <c r="A13"/>
  <c r="A14"/>
  <c r="A15"/>
  <c r="A16"/>
  <c r="A17"/>
  <c r="A18"/>
  <c r="A19"/>
  <c r="A20"/>
  <c r="A21"/>
  <c r="A22"/>
  <c r="A23"/>
  <c r="A24"/>
  <c r="A25"/>
  <c r="E10"/>
  <c r="E11"/>
  <c r="E12"/>
  <c r="E13"/>
  <c r="E14"/>
  <c r="E15"/>
  <c r="E16"/>
  <c r="E17"/>
  <c r="E18"/>
  <c r="E19"/>
  <c r="E20"/>
  <c r="E21"/>
  <c r="E22"/>
  <c r="E23"/>
  <c r="A1"/>
  <c r="A3"/>
  <c r="B23"/>
  <c r="C23"/>
  <c r="F23"/>
  <c r="D23"/>
  <c r="B22"/>
  <c r="C22"/>
  <c r="F22"/>
  <c r="D22"/>
  <c r="B21"/>
  <c r="C21"/>
  <c r="F21"/>
  <c r="D21"/>
  <c r="B20"/>
  <c r="C20"/>
  <c r="F20"/>
  <c r="D20"/>
  <c r="B19"/>
  <c r="C19"/>
  <c r="F19"/>
  <c r="D19"/>
  <c r="B18"/>
  <c r="C18"/>
  <c r="F18"/>
  <c r="D18"/>
  <c r="B17"/>
  <c r="C17"/>
  <c r="F17"/>
  <c r="D17"/>
  <c r="B16"/>
  <c r="C16"/>
  <c r="F16"/>
  <c r="D16"/>
  <c r="B15"/>
  <c r="C15"/>
  <c r="F15"/>
  <c r="D15"/>
  <c r="B14"/>
  <c r="C14"/>
  <c r="F14"/>
  <c r="D14"/>
  <c r="B13"/>
  <c r="C13"/>
  <c r="F13"/>
  <c r="D13"/>
  <c r="B12"/>
  <c r="C12"/>
  <c r="F12"/>
  <c r="D12"/>
  <c r="B11"/>
  <c r="C11"/>
  <c r="F11"/>
  <c r="D11"/>
  <c r="B10"/>
  <c r="C10"/>
  <c r="F10"/>
  <c r="D10"/>
  <c r="C15" i="6"/>
  <c r="C16"/>
  <c r="C17"/>
  <c r="C18"/>
  <c r="C19"/>
  <c r="D15"/>
  <c r="D16"/>
  <c r="D17"/>
  <c r="D18"/>
  <c r="D19"/>
  <c r="E15"/>
  <c r="E16"/>
  <c r="E17"/>
  <c r="E18"/>
  <c r="E19"/>
  <c r="C30"/>
  <c r="C31"/>
  <c r="D20"/>
  <c r="B14"/>
  <c r="B15"/>
  <c r="B16"/>
  <c r="E12"/>
  <c r="D12"/>
  <c r="C12"/>
  <c r="E11"/>
  <c r="D11"/>
  <c r="C11"/>
  <c r="E10"/>
  <c r="D10"/>
  <c r="C10"/>
  <c r="E9"/>
  <c r="D9"/>
  <c r="C9"/>
  <c r="E8"/>
  <c r="D8"/>
  <c r="C8"/>
  <c r="A7" i="9"/>
  <c r="C6"/>
  <c r="C10"/>
  <c r="C11"/>
  <c r="C12"/>
  <c r="C13"/>
  <c r="C14"/>
  <c r="C15"/>
  <c r="C16"/>
  <c r="C17"/>
  <c r="A9"/>
  <c r="A12"/>
  <c r="A13"/>
  <c r="A14"/>
  <c r="A15"/>
  <c r="A16"/>
  <c r="A17"/>
  <c r="A18"/>
  <c r="A19"/>
  <c r="A2"/>
  <c r="A3"/>
  <c r="B16"/>
  <c r="E9"/>
  <c r="E10"/>
  <c r="E11"/>
  <c r="E12"/>
  <c r="E13"/>
  <c r="E14"/>
  <c r="E15"/>
  <c r="E16"/>
  <c r="D5"/>
  <c r="G16"/>
  <c r="F16"/>
  <c r="B15"/>
  <c r="G15"/>
  <c r="F15"/>
  <c r="B14"/>
  <c r="G14"/>
  <c r="F14"/>
  <c r="B13"/>
  <c r="G13"/>
  <c r="F13"/>
  <c r="B12"/>
  <c r="G12"/>
  <c r="F12"/>
  <c r="B11"/>
  <c r="G11"/>
  <c r="F11"/>
  <c r="B10"/>
  <c r="G10"/>
  <c r="F10"/>
  <c r="B9"/>
  <c r="G9"/>
  <c r="F9"/>
  <c r="A8"/>
  <c r="A8" i="10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A2"/>
  <c r="A3"/>
  <c r="D17"/>
  <c r="F16"/>
  <c r="D16"/>
  <c r="C16"/>
  <c r="B16"/>
  <c r="F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A1"/>
  <c r="A8" i="1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B31"/>
  <c r="B32"/>
  <c r="B33"/>
  <c r="B34"/>
  <c r="B35"/>
  <c r="B36"/>
  <c r="B37"/>
  <c r="B38"/>
  <c r="B39"/>
  <c r="B40"/>
  <c r="B41"/>
  <c r="B42"/>
  <c r="B43"/>
  <c r="B44"/>
  <c r="B45"/>
  <c r="C31"/>
  <c r="C32"/>
  <c r="C33"/>
  <c r="C34"/>
  <c r="C35"/>
  <c r="C36"/>
  <c r="C37"/>
  <c r="C38"/>
  <c r="C39"/>
  <c r="C40"/>
  <c r="C41"/>
  <c r="C42"/>
  <c r="C43"/>
  <c r="C44"/>
  <c r="C45"/>
  <c r="D31"/>
  <c r="D32"/>
  <c r="D33"/>
  <c r="D34"/>
  <c r="D35"/>
  <c r="D36"/>
  <c r="D37"/>
  <c r="D38"/>
  <c r="D39"/>
  <c r="D40"/>
  <c r="D41"/>
  <c r="D42"/>
  <c r="D43"/>
  <c r="D44"/>
  <c r="D45"/>
  <c r="E31"/>
  <c r="E32"/>
  <c r="E33"/>
  <c r="E34"/>
  <c r="E35"/>
  <c r="E36"/>
  <c r="E37"/>
  <c r="E38"/>
  <c r="E39"/>
  <c r="E40"/>
  <c r="E41"/>
  <c r="E42"/>
  <c r="E43"/>
  <c r="E44"/>
  <c r="E45"/>
  <c r="F31"/>
  <c r="F32"/>
  <c r="F33"/>
  <c r="F34"/>
  <c r="F35"/>
  <c r="F36"/>
  <c r="F37"/>
  <c r="F38"/>
  <c r="F39"/>
  <c r="F40"/>
  <c r="F41"/>
  <c r="F42"/>
  <c r="F43"/>
  <c r="F44"/>
  <c r="F45"/>
  <c r="G31"/>
  <c r="G32"/>
  <c r="G33"/>
  <c r="G34"/>
  <c r="G35"/>
  <c r="G36"/>
  <c r="G37"/>
  <c r="G38"/>
  <c r="G39"/>
  <c r="G40"/>
  <c r="G41"/>
  <c r="G42"/>
  <c r="G43"/>
  <c r="G44"/>
  <c r="G45"/>
  <c r="A2"/>
  <c r="A3"/>
  <c r="G30"/>
  <c r="F30"/>
  <c r="E30"/>
  <c r="D30"/>
  <c r="C30"/>
  <c r="G29"/>
  <c r="F29"/>
  <c r="E29"/>
  <c r="D29"/>
  <c r="C29"/>
  <c r="G28"/>
  <c r="F28"/>
  <c r="E28"/>
  <c r="D28"/>
  <c r="C28"/>
  <c r="G27"/>
  <c r="F27"/>
  <c r="E27"/>
  <c r="D27"/>
  <c r="C27"/>
  <c r="G26"/>
  <c r="F26"/>
  <c r="E26"/>
  <c r="D26"/>
  <c r="C26"/>
  <c r="G25"/>
  <c r="F25"/>
  <c r="E25"/>
  <c r="D25"/>
  <c r="C25"/>
  <c r="G24"/>
  <c r="F24"/>
  <c r="E24"/>
  <c r="D24"/>
  <c r="C24"/>
  <c r="G23"/>
  <c r="F23"/>
  <c r="E23"/>
  <c r="D23"/>
  <c r="C23"/>
  <c r="G22"/>
  <c r="F22"/>
  <c r="E22"/>
  <c r="D22"/>
  <c r="C22"/>
  <c r="G21"/>
  <c r="F21"/>
  <c r="E21"/>
  <c r="D21"/>
  <c r="C21"/>
  <c r="G20"/>
  <c r="F20"/>
  <c r="E20"/>
  <c r="D20"/>
  <c r="C20"/>
  <c r="G19"/>
  <c r="F19"/>
  <c r="E19"/>
  <c r="D19"/>
  <c r="C19"/>
  <c r="G18"/>
  <c r="F18"/>
  <c r="E18"/>
  <c r="D18"/>
  <c r="C18"/>
  <c r="G17"/>
  <c r="F17"/>
  <c r="E17"/>
  <c r="D17"/>
  <c r="C17"/>
  <c r="G16"/>
  <c r="F16"/>
  <c r="E16"/>
  <c r="D16"/>
  <c r="C16"/>
  <c r="G15"/>
  <c r="F15"/>
  <c r="E15"/>
  <c r="D15"/>
  <c r="C15"/>
  <c r="G14"/>
  <c r="F14"/>
  <c r="E14"/>
  <c r="D14"/>
  <c r="C14"/>
  <c r="G13"/>
  <c r="F13"/>
  <c r="E13"/>
  <c r="D13"/>
  <c r="C13"/>
  <c r="G12"/>
  <c r="F12"/>
  <c r="E12"/>
  <c r="D12"/>
  <c r="C12"/>
  <c r="G11"/>
  <c r="F11"/>
  <c r="E11"/>
  <c r="D11"/>
  <c r="C11"/>
  <c r="G10"/>
  <c r="F10"/>
  <c r="E10"/>
  <c r="D10"/>
  <c r="C10"/>
  <c r="G9"/>
  <c r="F9"/>
  <c r="E9"/>
  <c r="D9"/>
  <c r="C9"/>
  <c r="G8"/>
  <c r="F8"/>
  <c r="E8"/>
  <c r="D8"/>
  <c r="C8"/>
  <c r="G7"/>
  <c r="F7"/>
  <c r="E7"/>
  <c r="D7"/>
  <c r="C7"/>
  <c r="A1"/>
  <c r="C13" i="3"/>
  <c r="D13"/>
  <c r="C14"/>
  <c r="D14"/>
  <c r="C15"/>
  <c r="D15"/>
  <c r="C16"/>
  <c r="D16"/>
  <c r="C12"/>
  <c r="D12"/>
  <c r="C11"/>
  <c r="D11"/>
  <c r="C10"/>
  <c r="D10"/>
  <c r="C9"/>
  <c r="D9"/>
  <c r="C8"/>
  <c r="D8"/>
  <c r="C7"/>
  <c r="D7"/>
  <c r="C6"/>
  <c r="D6"/>
  <c r="C5"/>
  <c r="D5"/>
  <c r="E5"/>
  <c r="C3"/>
</calcChain>
</file>

<file path=xl/sharedStrings.xml><?xml version="1.0" encoding="utf-8"?>
<sst xmlns="http://schemas.openxmlformats.org/spreadsheetml/2006/main" count="72" uniqueCount="55">
  <si>
    <t>Statistical Analysis for Engineers</t>
  </si>
  <si>
    <t>Statistical Analysis for Engineers</t>
    <phoneticPr fontId="4" type="noConversion"/>
  </si>
  <si>
    <t>Statistical Analysis for Engineers</t>
    <phoneticPr fontId="4" type="noConversion"/>
  </si>
  <si>
    <t>Assignment : Basic Hypothesis Testing</t>
  </si>
  <si>
    <t>Method 1</t>
    <phoneticPr fontId="13" type="noConversion"/>
  </si>
  <si>
    <t>Method 2</t>
    <phoneticPr fontId="13" type="noConversion"/>
  </si>
  <si>
    <t>Method 3</t>
  </si>
  <si>
    <t>Method 4</t>
  </si>
  <si>
    <t>Method 5</t>
  </si>
  <si>
    <t>Method 1</t>
  </si>
  <si>
    <t>Method 2</t>
  </si>
  <si>
    <t>Pot A</t>
    <phoneticPr fontId="13" type="noConversion"/>
  </si>
  <si>
    <t>Pot B</t>
    <phoneticPr fontId="13" type="noConversion"/>
  </si>
  <si>
    <t>Pot C</t>
    <phoneticPr fontId="13" type="noConversion"/>
  </si>
  <si>
    <t>Assignment : Basic Hypothesis Testing</t>
    <phoneticPr fontId="4" type="noConversion"/>
  </si>
  <si>
    <t>m</t>
    <phoneticPr fontId="13" type="noConversion"/>
  </si>
  <si>
    <t>Last3</t>
    <phoneticPr fontId="4" type="noConversion"/>
  </si>
  <si>
    <t>Dataset 2</t>
    <phoneticPr fontId="4" type="noConversion"/>
  </si>
  <si>
    <t>Resistance:</t>
  </si>
  <si>
    <t>Motor running</t>
  </si>
  <si>
    <t>Motor not running</t>
  </si>
  <si>
    <t>Student numbers</t>
  </si>
  <si>
    <t>Seed value</t>
  </si>
  <si>
    <t>A</t>
  </si>
  <si>
    <t>B</t>
  </si>
  <si>
    <t>C</t>
  </si>
  <si>
    <t>G1</t>
  </si>
  <si>
    <t>G2</t>
  </si>
  <si>
    <t>G3</t>
  </si>
  <si>
    <t>D</t>
    <phoneticPr fontId="4" type="noConversion"/>
  </si>
  <si>
    <t>E</t>
    <phoneticPr fontId="4" type="noConversion"/>
  </si>
  <si>
    <t>Dataset 1</t>
    <phoneticPr fontId="4" type="noConversion"/>
  </si>
  <si>
    <t>to</t>
    <phoneticPr fontId="13" type="noConversion"/>
  </si>
  <si>
    <t>Groups</t>
    <phoneticPr fontId="13" type="noConversion"/>
  </si>
  <si>
    <t>Frequencies</t>
    <phoneticPr fontId="13" type="noConversion"/>
  </si>
  <si>
    <t>Part (a)</t>
  </si>
  <si>
    <t>Part (b)</t>
  </si>
  <si>
    <t>School</t>
  </si>
  <si>
    <t>Type the last two digits of your ITB student number in the green cell:</t>
    <phoneticPr fontId="4" type="noConversion"/>
  </si>
  <si>
    <t>Dataset 3</t>
    <phoneticPr fontId="4" type="noConversion"/>
  </si>
  <si>
    <t>Dataset 4</t>
    <phoneticPr fontId="4" type="noConversion"/>
  </si>
  <si>
    <t>Dataset 5</t>
    <phoneticPr fontId="4" type="noConversion"/>
  </si>
  <si>
    <t>Dataset 6</t>
    <phoneticPr fontId="4" type="noConversion"/>
  </si>
  <si>
    <t>B00082542</t>
    <phoneticPr fontId="4" type="noConversion"/>
  </si>
  <si>
    <t>B00108061</t>
    <phoneticPr fontId="4" type="noConversion"/>
  </si>
  <si>
    <t>B00122870</t>
    <phoneticPr fontId="4" type="noConversion"/>
  </si>
  <si>
    <t>B00122872</t>
    <phoneticPr fontId="4" type="noConversion"/>
  </si>
  <si>
    <t>B00122873</t>
    <phoneticPr fontId="4" type="noConversion"/>
  </si>
  <si>
    <t>B00122874</t>
    <phoneticPr fontId="4" type="noConversion"/>
  </si>
  <si>
    <t>B00122875</t>
    <phoneticPr fontId="4" type="noConversion"/>
  </si>
  <si>
    <t>B00122883</t>
    <phoneticPr fontId="4" type="noConversion"/>
  </si>
  <si>
    <t>B00122934</t>
    <phoneticPr fontId="4" type="noConversion"/>
  </si>
  <si>
    <t>B00123083</t>
    <phoneticPr fontId="4" type="noConversion"/>
  </si>
  <si>
    <t>B00123102</t>
    <phoneticPr fontId="4" type="noConversion"/>
  </si>
  <si>
    <t>B00123134</t>
    <phoneticPr fontId="4" type="noConversion"/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</si>
</sst>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6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b/>
      <i/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8"/>
      <name val="Verdana"/>
      <family val="2"/>
    </font>
    <font>
      <sz val="11"/>
      <color indexed="9"/>
      <name val="Times New Roman"/>
      <family val="1"/>
    </font>
    <font>
      <b/>
      <i/>
      <sz val="11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1"/>
      <color indexed="9"/>
      <name val="Calibri"/>
      <family val="2"/>
    </font>
    <font>
      <sz val="8"/>
      <name val="Tahoma"/>
      <family val="2"/>
    </font>
    <font>
      <b/>
      <i/>
      <sz val="14"/>
      <name val="Times New Roman"/>
      <family val="1"/>
    </font>
    <font>
      <sz val="11"/>
      <name val="Calibri"/>
      <family val="2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b/>
      <i/>
      <sz val="11"/>
      <name val="Times New Roman"/>
      <family val="1"/>
    </font>
    <font>
      <sz val="10"/>
      <name val="Arial"/>
      <family val="2"/>
    </font>
    <font>
      <i/>
      <sz val="11"/>
      <color indexed="8"/>
      <name val="Times New Roman"/>
    </font>
    <font>
      <i/>
      <sz val="11"/>
      <color indexed="9"/>
      <name val="Times New Roman"/>
    </font>
    <font>
      <i/>
      <sz val="11"/>
      <name val="Times New Roman"/>
    </font>
    <font>
      <b/>
      <i/>
      <sz val="18"/>
      <name val="Times New Roman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</borders>
  <cellStyleXfs count="2">
    <xf numFmtId="0" fontId="0" fillId="0" borderId="0"/>
    <xf numFmtId="0" fontId="20" fillId="0" borderId="0"/>
  </cellStyleXfs>
  <cellXfs count="1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wrapText="1"/>
    </xf>
    <xf numFmtId="2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center"/>
    </xf>
    <xf numFmtId="0" fontId="14" fillId="0" borderId="0" xfId="0" applyFont="1"/>
    <xf numFmtId="2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7" fillId="0" borderId="0" xfId="0" applyNumberFormat="1" applyFont="1"/>
    <xf numFmtId="0" fontId="16" fillId="0" borderId="0" xfId="0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19" fillId="0" borderId="0" xfId="0" applyFont="1"/>
    <xf numFmtId="0" fontId="7" fillId="0" borderId="0" xfId="0" applyFont="1" applyBorder="1"/>
    <xf numFmtId="0" fontId="15" fillId="0" borderId="0" xfId="0" applyFont="1" applyBorder="1" applyAlignment="1">
      <alignment vertical="top"/>
    </xf>
    <xf numFmtId="0" fontId="17" fillId="0" borderId="0" xfId="0" applyFont="1" applyBorder="1" applyAlignment="1">
      <alignment wrapText="1"/>
    </xf>
    <xf numFmtId="0" fontId="18" fillId="0" borderId="2" xfId="0" applyNumberFormat="1" applyFont="1" applyBorder="1" applyAlignment="1">
      <alignment horizontal="center" vertical="center"/>
    </xf>
    <xf numFmtId="0" fontId="18" fillId="0" borderId="3" xfId="0" applyNumberFormat="1" applyFont="1" applyBorder="1" applyAlignment="1">
      <alignment horizontal="center" vertical="center"/>
    </xf>
    <xf numFmtId="0" fontId="18" fillId="0" borderId="8" xfId="0" applyNumberFormat="1" applyFont="1" applyBorder="1" applyAlignment="1">
      <alignment horizontal="center" vertical="center"/>
    </xf>
    <xf numFmtId="0" fontId="18" fillId="0" borderId="9" xfId="0" applyNumberFormat="1" applyFont="1" applyBorder="1" applyAlignment="1">
      <alignment horizontal="center" vertical="center"/>
    </xf>
    <xf numFmtId="0" fontId="18" fillId="0" borderId="10" xfId="0" applyNumberFormat="1" applyFont="1" applyBorder="1" applyAlignment="1">
      <alignment horizontal="center" vertical="center"/>
    </xf>
    <xf numFmtId="0" fontId="18" fillId="0" borderId="11" xfId="0" applyNumberFormat="1" applyFont="1" applyBorder="1" applyAlignment="1">
      <alignment horizontal="center" vertical="center"/>
    </xf>
    <xf numFmtId="0" fontId="18" fillId="0" borderId="7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2" fillId="0" borderId="0" xfId="0" applyFont="1" applyAlignment="1"/>
    <xf numFmtId="0" fontId="5" fillId="0" borderId="0" xfId="0" applyFont="1" applyAlignment="1"/>
    <xf numFmtId="0" fontId="12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2" borderId="0" xfId="0" applyFont="1" applyFill="1" applyBorder="1" applyAlignment="1" applyProtection="1">
      <alignment horizontal="right"/>
      <protection locked="0"/>
    </xf>
    <xf numFmtId="0" fontId="15" fillId="0" borderId="0" xfId="0" applyFont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21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2" fillId="0" borderId="0" xfId="0" applyFont="1"/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top"/>
    </xf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165" fontId="7" fillId="0" borderId="0" xfId="0" applyNumberFormat="1" applyFont="1"/>
    <xf numFmtId="165" fontId="15" fillId="0" borderId="0" xfId="0" applyNumberFormat="1" applyFont="1" applyAlignment="1"/>
    <xf numFmtId="0" fontId="7" fillId="0" borderId="0" xfId="0" applyNumberFormat="1" applyFont="1"/>
    <xf numFmtId="0" fontId="24" fillId="0" borderId="0" xfId="0" applyFont="1"/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5" fillId="0" borderId="0" xfId="0" applyFont="1" applyBorder="1"/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center" vertical="center"/>
    </xf>
    <xf numFmtId="0" fontId="18" fillId="0" borderId="26" xfId="0" applyNumberFormat="1" applyFont="1" applyBorder="1" applyAlignment="1">
      <alignment horizontal="center" vertical="center"/>
    </xf>
    <xf numFmtId="0" fontId="18" fillId="0" borderId="27" xfId="0" applyNumberFormat="1" applyFont="1" applyBorder="1" applyAlignment="1">
      <alignment horizontal="center" vertical="center"/>
    </xf>
    <xf numFmtId="0" fontId="18" fillId="0" borderId="28" xfId="0" applyNumberFormat="1" applyFont="1" applyBorder="1" applyAlignment="1">
      <alignment horizontal="center" vertical="center"/>
    </xf>
    <xf numFmtId="0" fontId="18" fillId="0" borderId="29" xfId="0" applyNumberFormat="1" applyFont="1" applyBorder="1" applyAlignment="1">
      <alignment horizontal="center" vertical="center"/>
    </xf>
    <xf numFmtId="0" fontId="18" fillId="0" borderId="30" xfId="0" applyNumberFormat="1" applyFont="1" applyBorder="1" applyAlignment="1">
      <alignment horizontal="center" vertical="center"/>
    </xf>
    <xf numFmtId="0" fontId="19" fillId="0" borderId="31" xfId="0" applyFont="1" applyBorder="1"/>
    <xf numFmtId="0" fontId="19" fillId="0" borderId="31" xfId="0" applyFont="1" applyBorder="1" applyAlignment="1">
      <alignment horizontal="center"/>
    </xf>
    <xf numFmtId="2" fontId="7" fillId="0" borderId="32" xfId="0" applyNumberFormat="1" applyFont="1" applyBorder="1" applyAlignment="1">
      <alignment horizontal="center"/>
    </xf>
    <xf numFmtId="2" fontId="15" fillId="0" borderId="0" xfId="0" applyNumberFormat="1" applyFont="1" applyAlignment="1"/>
    <xf numFmtId="164" fontId="7" fillId="0" borderId="0" xfId="0" applyNumberFormat="1" applyFont="1"/>
    <xf numFmtId="0" fontId="15" fillId="0" borderId="0" xfId="0" applyFont="1" applyAlignment="1"/>
    <xf numFmtId="0" fontId="7" fillId="0" borderId="32" xfId="0" applyFont="1" applyBorder="1"/>
    <xf numFmtId="2" fontId="7" fillId="0" borderId="33" xfId="0" applyNumberFormat="1" applyFont="1" applyBorder="1" applyAlignment="1">
      <alignment horizontal="center"/>
    </xf>
    <xf numFmtId="0" fontId="19" fillId="0" borderId="34" xfId="0" applyFont="1" applyBorder="1"/>
    <xf numFmtId="0" fontId="19" fillId="0" borderId="34" xfId="0" applyFont="1" applyBorder="1" applyAlignment="1">
      <alignment horizontal="center"/>
    </xf>
    <xf numFmtId="0" fontId="7" fillId="0" borderId="35" xfId="0" applyFont="1" applyBorder="1"/>
    <xf numFmtId="2" fontId="7" fillId="0" borderId="34" xfId="0" applyNumberFormat="1" applyFont="1" applyBorder="1" applyAlignment="1">
      <alignment horizontal="center"/>
    </xf>
    <xf numFmtId="0" fontId="19" fillId="0" borderId="36" xfId="0" applyFont="1" applyBorder="1"/>
    <xf numFmtId="0" fontId="7" fillId="0" borderId="36" xfId="0" applyFont="1" applyBorder="1"/>
    <xf numFmtId="0" fontId="19" fillId="0" borderId="37" xfId="0" applyFont="1" applyBorder="1"/>
    <xf numFmtId="0" fontId="7" fillId="0" borderId="37" xfId="0" applyFont="1" applyBorder="1"/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4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7" Type="http://schemas.openxmlformats.org/officeDocument/2006/relationships/worksheet" Target="worksheets/sheet7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9" Type="http://schemas.openxmlformats.org/officeDocument/2006/relationships/styles" Target="styles.xml"/><Relationship Id="rId3" Type="http://schemas.openxmlformats.org/officeDocument/2006/relationships/worksheet" Target="worksheets/sheet3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31"/>
  <sheetViews>
    <sheetView zoomScale="150" workbookViewId="0">
      <selection activeCell="H8" sqref="H8"/>
    </sheetView>
  </sheetViews>
  <sheetFormatPr baseColWidth="10" defaultColWidth="8.83203125" defaultRowHeight="13"/>
  <cols>
    <col min="1" max="2" width="7.5" style="8" customWidth="1"/>
    <col min="3" max="3" width="8.33203125" style="8" customWidth="1"/>
    <col min="4" max="4" width="8.33203125" style="20" customWidth="1"/>
    <col min="5" max="7" width="8.33203125" style="8" customWidth="1"/>
    <col min="8" max="8" width="9.1640625" style="55" customWidth="1"/>
    <col min="9" max="9" width="12.5" style="72" customWidth="1"/>
    <col min="10" max="11" width="9.1640625" style="8" customWidth="1"/>
    <col min="12" max="16384" width="8.83203125" style="8"/>
  </cols>
  <sheetData>
    <row r="1" spans="1:10" ht="21">
      <c r="B1" s="75" t="s">
        <v>1</v>
      </c>
    </row>
    <row r="2" spans="1:10" ht="16">
      <c r="B2" s="21"/>
    </row>
    <row r="3" spans="1:10" ht="16">
      <c r="A3" s="6">
        <f>MIN(B23:G31)</f>
        <v>-40.470254614811189</v>
      </c>
      <c r="B3" s="21" t="s">
        <v>14</v>
      </c>
      <c r="C3" s="20"/>
      <c r="D3" s="8"/>
    </row>
    <row r="4" spans="1:10">
      <c r="A4" s="6">
        <f>AVERAGE(B23:G31)</f>
        <v>-16.516252795733468</v>
      </c>
      <c r="C4" s="20"/>
      <c r="D4" s="8"/>
    </row>
    <row r="5" spans="1:10" ht="15">
      <c r="A5" s="6">
        <f>STDEV(B23:G31)</f>
        <v>15.647940527505661</v>
      </c>
      <c r="B5" s="51" t="s">
        <v>38</v>
      </c>
      <c r="C5" s="20"/>
      <c r="D5" s="8"/>
    </row>
    <row r="6" spans="1:10">
      <c r="A6" s="6">
        <v>20</v>
      </c>
      <c r="C6" s="20"/>
      <c r="D6" s="8"/>
    </row>
    <row r="7" spans="1:10">
      <c r="A7" s="6">
        <v>0.1</v>
      </c>
      <c r="C7" s="20"/>
      <c r="D7" s="8"/>
      <c r="H7" s="56">
        <v>56</v>
      </c>
    </row>
    <row r="8" spans="1:10" ht="16">
      <c r="A8" s="6"/>
      <c r="B8" s="21" t="s">
        <v>31</v>
      </c>
      <c r="C8" s="20"/>
      <c r="D8" s="8"/>
    </row>
    <row r="9" spans="1:10">
      <c r="A9" s="6"/>
      <c r="B9" s="8" t="s">
        <v>35</v>
      </c>
      <c r="C9" s="20"/>
      <c r="D9" s="8"/>
      <c r="I9" s="74"/>
    </row>
    <row r="10" spans="1:10">
      <c r="A10" s="6">
        <f>Reference!E5</f>
        <v>0.35714285714285715</v>
      </c>
      <c r="C10" s="20"/>
      <c r="D10" s="8"/>
      <c r="I10" s="74"/>
    </row>
    <row r="11" spans="1:10" ht="14">
      <c r="A11" s="6"/>
      <c r="B11" s="22">
        <f t="shared" ref="B11:G11" si="0">200+(B23-$A$4)*(4-$A$10)/$A$5</f>
        <v>202.79270522723783</v>
      </c>
      <c r="C11" s="22">
        <f t="shared" si="0"/>
        <v>202.28707088622244</v>
      </c>
      <c r="D11" s="22">
        <f t="shared" si="0"/>
        <v>198.58126597591226</v>
      </c>
      <c r="E11" s="22">
        <f t="shared" si="0"/>
        <v>196.62736880929344</v>
      </c>
      <c r="F11" s="22">
        <f t="shared" si="0"/>
        <v>194.72214364513081</v>
      </c>
      <c r="G11" s="22">
        <f t="shared" si="0"/>
        <v>202.67582289382773</v>
      </c>
      <c r="I11" s="73"/>
      <c r="J11" s="27"/>
    </row>
    <row r="12" spans="1:10">
      <c r="A12" s="6"/>
      <c r="B12" s="22">
        <f t="shared" ref="B12:G12" si="1">200+(B24-$A$4)*(4-$A$10)/$A$5</f>
        <v>202.62883980868094</v>
      </c>
      <c r="C12" s="22">
        <f t="shared" si="1"/>
        <v>200.92525736410815</v>
      </c>
      <c r="D12" s="22">
        <f t="shared" si="1"/>
        <v>197.65666955324207</v>
      </c>
      <c r="E12" s="22">
        <f t="shared" si="1"/>
        <v>196.6826259392042</v>
      </c>
      <c r="F12" s="22">
        <f t="shared" si="1"/>
        <v>196.11414496486091</v>
      </c>
      <c r="G12" s="22">
        <f t="shared" si="1"/>
        <v>202.90535003201705</v>
      </c>
    </row>
    <row r="13" spans="1:10" ht="14">
      <c r="B13" s="22">
        <f t="shared" ref="B13:G13" si="2">200+(B25-$A$4)*(4-$A$10)/$A$5</f>
        <v>204.11450128738974</v>
      </c>
      <c r="C13" s="22">
        <f t="shared" si="2"/>
        <v>200.5637744389802</v>
      </c>
      <c r="D13" s="22">
        <f t="shared" si="2"/>
        <v>196.94921813401143</v>
      </c>
      <c r="E13" s="22">
        <f t="shared" si="2"/>
        <v>195.23140300104819</v>
      </c>
      <c r="F13" s="22">
        <f t="shared" si="2"/>
        <v>197.5681615473454</v>
      </c>
      <c r="G13" s="22">
        <f t="shared" si="2"/>
        <v>203.2635864460033</v>
      </c>
      <c r="I13" s="73"/>
    </row>
    <row r="14" spans="1:10">
      <c r="B14" s="22">
        <f t="shared" ref="B14:G14" si="3">200+(B26-$A$4)*(4-$A$10)/$A$5</f>
        <v>202.89834471228841</v>
      </c>
      <c r="C14" s="22">
        <f t="shared" si="3"/>
        <v>201.41664320364933</v>
      </c>
      <c r="D14" s="22">
        <f t="shared" si="3"/>
        <v>195.95168985083382</v>
      </c>
      <c r="E14" s="22">
        <f t="shared" si="3"/>
        <v>195.25304052368949</v>
      </c>
      <c r="F14" s="22">
        <f t="shared" si="3"/>
        <v>197.24316898216014</v>
      </c>
      <c r="G14" s="22">
        <f t="shared" si="3"/>
        <v>203.31038303791146</v>
      </c>
    </row>
    <row r="15" spans="1:10">
      <c r="B15" s="22">
        <f t="shared" ref="B15:G15" si="4">200+(B27-$A$4)*(4-$A$10)/$A$5</f>
        <v>203.52195106278816</v>
      </c>
      <c r="C15" s="22">
        <f t="shared" si="4"/>
        <v>202.06214797126145</v>
      </c>
      <c r="D15" s="22">
        <f t="shared" si="4"/>
        <v>195.14827213254199</v>
      </c>
      <c r="E15" s="22">
        <f t="shared" si="4"/>
        <v>194.45781279600209</v>
      </c>
      <c r="F15" s="22">
        <f t="shared" si="4"/>
        <v>198.41867422808781</v>
      </c>
      <c r="G15" s="22">
        <f t="shared" si="4"/>
        <v>204.75302311597889</v>
      </c>
    </row>
    <row r="16" spans="1:10">
      <c r="B16" s="22">
        <f t="shared" ref="B16:G16" si="5">200+(B28-$A$4)*(4-$A$10)/$A$5</f>
        <v>204.50657519851873</v>
      </c>
      <c r="C16" s="22">
        <f t="shared" si="5"/>
        <v>200.84279537228286</v>
      </c>
      <c r="D16" s="22">
        <f t="shared" si="5"/>
        <v>196.33160287513346</v>
      </c>
      <c r="E16" s="22">
        <f t="shared" si="5"/>
        <v>195.81082934260147</v>
      </c>
      <c r="F16" s="22">
        <f t="shared" si="5"/>
        <v>199.82381472899317</v>
      </c>
      <c r="G16" s="22">
        <f t="shared" si="5"/>
        <v>205.64426618156398</v>
      </c>
    </row>
    <row r="17" spans="2:10">
      <c r="B17" s="22">
        <f t="shared" ref="B17:G17" si="6">200+(B29-$A$4)*(4-$A$10)/$A$5</f>
        <v>205.77213700499033</v>
      </c>
      <c r="C17" s="22">
        <f t="shared" si="6"/>
        <v>199.96519310183902</v>
      </c>
      <c r="D17" s="22">
        <f t="shared" si="6"/>
        <v>197.82026048785187</v>
      </c>
      <c r="E17" s="22">
        <f t="shared" si="6"/>
        <v>195.73277880106343</v>
      </c>
      <c r="F17" s="22">
        <f t="shared" si="6"/>
        <v>201.31362448972402</v>
      </c>
      <c r="G17" s="22">
        <f t="shared" si="6"/>
        <v>207.13643356098876</v>
      </c>
    </row>
    <row r="18" spans="2:10">
      <c r="B18" s="22"/>
      <c r="C18" s="22"/>
      <c r="D18" s="22"/>
      <c r="E18" s="22"/>
      <c r="F18" s="22"/>
      <c r="G18" s="22"/>
    </row>
    <row r="19" spans="2:10">
      <c r="B19" s="22" t="s">
        <v>36</v>
      </c>
      <c r="C19" s="22"/>
      <c r="D19" s="22"/>
      <c r="E19" s="22"/>
      <c r="F19" s="22"/>
      <c r="G19" s="22"/>
    </row>
    <row r="20" spans="2:10">
      <c r="B20" s="22">
        <f>200+(B30-$A$4)*(4-$A$10)/$A$5</f>
        <v>204.33629681712645</v>
      </c>
      <c r="C20" s="22">
        <f t="shared" ref="C20:G21" si="7">200+(C30-$A$4)*(4-$A$10)/$A$5</f>
        <v>198.70918642032197</v>
      </c>
      <c r="D20" s="22">
        <f t="shared" si="7"/>
        <v>196.82461470933649</v>
      </c>
      <c r="E20" s="22">
        <f t="shared" si="7"/>
        <v>194.53636768375372</v>
      </c>
      <c r="F20" s="22">
        <f t="shared" si="7"/>
        <v>200.27950332488663</v>
      </c>
      <c r="G20" s="22">
        <f t="shared" si="7"/>
        <v>206.02737772523292</v>
      </c>
      <c r="I20" s="74"/>
    </row>
    <row r="21" spans="2:10" ht="14">
      <c r="B21" s="22">
        <f>200+(B31-$A$4)*(4-$A$10)/$A$5</f>
        <v>203.41224766137799</v>
      </c>
      <c r="C21" s="22">
        <f t="shared" si="7"/>
        <v>199.28634510752977</v>
      </c>
      <c r="D21" s="22">
        <f t="shared" si="7"/>
        <v>198.07972450000719</v>
      </c>
      <c r="E21" s="22">
        <f t="shared" si="7"/>
        <v>194.42348298338337</v>
      </c>
      <c r="F21" s="22">
        <f t="shared" si="7"/>
        <v>201.66056102568828</v>
      </c>
      <c r="G21" s="22">
        <f t="shared" si="7"/>
        <v>204.99891932409497</v>
      </c>
      <c r="I21" s="73"/>
    </row>
    <row r="22" spans="2:10">
      <c r="B22" s="19"/>
      <c r="C22" s="20"/>
      <c r="J22" s="23"/>
    </row>
    <row r="23" spans="2:10" ht="14">
      <c r="B23" s="6">
        <f>A10+$A$7-$A$6*SIN(2*A10*PI())/PI()</f>
        <v>-4.5201509468432013</v>
      </c>
      <c r="C23" s="6">
        <f>B31+$A$7-$A$6*SIN(2*B31*PI())/PI()</f>
        <v>-6.6921098753966026</v>
      </c>
      <c r="D23" s="6">
        <f>C31+$A$7-$A$6*SIN(2*C31*PI())/PI()</f>
        <v>-22.61044336173013</v>
      </c>
      <c r="E23" s="6">
        <f>D31+$A$7-$A$6*SIN(2*D31*PI())/PI()</f>
        <v>-31.003434209604318</v>
      </c>
      <c r="F23" s="6">
        <f>E31+$A$7-$A$6*SIN(2*E31*PI())/PI()</f>
        <v>-39.187353834006998</v>
      </c>
      <c r="G23" s="6">
        <f>F31+$A$7-$A$6*SIN(2*F31*PI())/PI()</f>
        <v>-5.0222205395263622</v>
      </c>
      <c r="I23" s="73"/>
    </row>
    <row r="24" spans="2:10">
      <c r="B24" s="6">
        <f t="shared" ref="B24:G24" si="8">B23+$A$7-$A$6*SIN(2*B23*PI())/PI()</f>
        <v>-5.224036996594168</v>
      </c>
      <c r="C24" s="6">
        <f t="shared" si="8"/>
        <v>-12.541797680305802</v>
      </c>
      <c r="D24" s="6">
        <f t="shared" si="8"/>
        <v>-26.582059394562066</v>
      </c>
      <c r="E24" s="6">
        <f t="shared" si="8"/>
        <v>-30.766076484978925</v>
      </c>
      <c r="F24" s="6">
        <f t="shared" si="8"/>
        <v>-33.207993949402308</v>
      </c>
      <c r="G24" s="6">
        <f t="shared" si="8"/>
        <v>-4.0362837138461973</v>
      </c>
    </row>
    <row r="25" spans="2:10">
      <c r="B25" s="6">
        <f t="shared" ref="B25:B31" si="9">B24+$A$7-$A$6*SIN(2*B24*PI())/PI()</f>
        <v>1.1576413265387053</v>
      </c>
      <c r="C25" s="6">
        <f t="shared" ref="C25:G31" si="10">C24+$A$7-$A$6*SIN(2*C24*PI())/PI()</f>
        <v>-14.094552315551846</v>
      </c>
      <c r="D25" s="6">
        <f t="shared" si="10"/>
        <v>-29.620926223563796</v>
      </c>
      <c r="E25" s="6">
        <f t="shared" si="10"/>
        <v>-36.999823606505238</v>
      </c>
      <c r="F25" s="6">
        <f t="shared" si="10"/>
        <v>-26.962246692105374</v>
      </c>
      <c r="G25" s="6">
        <f t="shared" si="10"/>
        <v>-2.4974745096930189</v>
      </c>
    </row>
    <row r="26" spans="2:10" ht="14">
      <c r="B26" s="6">
        <f t="shared" si="9"/>
        <v>-4.0663751564120414</v>
      </c>
      <c r="C26" s="6">
        <f t="shared" si="10"/>
        <v>-10.431043376290424</v>
      </c>
      <c r="D26" s="6">
        <f t="shared" si="10"/>
        <v>-33.905822017590303</v>
      </c>
      <c r="E26" s="6">
        <f t="shared" si="10"/>
        <v>-36.906879344851312</v>
      </c>
      <c r="F26" s="6">
        <f t="shared" si="10"/>
        <v>-28.358256508705526</v>
      </c>
      <c r="G26" s="6">
        <f t="shared" si="10"/>
        <v>-2.296459136772111</v>
      </c>
      <c r="H26" s="57"/>
    </row>
    <row r="27" spans="2:10" ht="14">
      <c r="B27" s="6">
        <f t="shared" si="9"/>
        <v>-1.3876659173389294</v>
      </c>
      <c r="C27" s="6">
        <f t="shared" si="10"/>
        <v>-7.6582691999487906</v>
      </c>
      <c r="D27" s="6">
        <f t="shared" si="10"/>
        <v>-37.356913340022579</v>
      </c>
      <c r="E27" s="6">
        <f t="shared" si="10"/>
        <v>-40.322790455468166</v>
      </c>
      <c r="F27" s="6">
        <f t="shared" si="10"/>
        <v>-23.308858342182727</v>
      </c>
      <c r="G27" s="6">
        <f t="shared" si="10"/>
        <v>3.9004201969284891</v>
      </c>
      <c r="H27" s="57"/>
    </row>
    <row r="28" spans="2:10">
      <c r="B28" s="6">
        <f t="shared" si="9"/>
        <v>2.8417999424654883</v>
      </c>
      <c r="C28" s="6">
        <f t="shared" si="10"/>
        <v>-12.89601424528737</v>
      </c>
      <c r="D28" s="6">
        <f t="shared" si="10"/>
        <v>-32.273900650176202</v>
      </c>
      <c r="E28" s="6">
        <f t="shared" si="10"/>
        <v>-34.510890174000444</v>
      </c>
      <c r="F28" s="6">
        <f t="shared" si="10"/>
        <v>-17.2730589329006</v>
      </c>
      <c r="G28" s="6">
        <f t="shared" si="10"/>
        <v>7.7287664479399973</v>
      </c>
    </row>
    <row r="29" spans="2:10" ht="14">
      <c r="B29" s="6">
        <f t="shared" si="9"/>
        <v>8.2780372432831371</v>
      </c>
      <c r="C29" s="6">
        <f t="shared" si="10"/>
        <v>-16.665766282266379</v>
      </c>
      <c r="D29" s="6">
        <f t="shared" si="10"/>
        <v>-25.87935239419761</v>
      </c>
      <c r="E29" s="6">
        <f t="shared" si="10"/>
        <v>-34.846157296545073</v>
      </c>
      <c r="F29" s="6">
        <f t="shared" si="10"/>
        <v>-10.873561610057573</v>
      </c>
      <c r="G29" s="6">
        <f t="shared" si="10"/>
        <v>14.1383909527345</v>
      </c>
      <c r="H29" s="57"/>
    </row>
    <row r="30" spans="2:10" ht="14">
      <c r="B30" s="6">
        <f t="shared" si="9"/>
        <v>2.1103669269350478</v>
      </c>
      <c r="C30" s="6">
        <f t="shared" si="10"/>
        <v>-22.060959418803705</v>
      </c>
      <c r="D30" s="6">
        <f t="shared" si="10"/>
        <v>-30.156161864813136</v>
      </c>
      <c r="E30" s="6">
        <f t="shared" si="10"/>
        <v>-39.985356907163236</v>
      </c>
      <c r="F30" s="6">
        <f t="shared" si="10"/>
        <v>-15.315642606107495</v>
      </c>
      <c r="G30" s="6">
        <f t="shared" si="10"/>
        <v>9.3744270971606536</v>
      </c>
      <c r="H30" s="57"/>
    </row>
    <row r="31" spans="2:10">
      <c r="B31" s="6">
        <f t="shared" si="9"/>
        <v>-1.8588983136730364</v>
      </c>
      <c r="C31" s="6">
        <f t="shared" si="10"/>
        <v>-19.581766725214372</v>
      </c>
      <c r="D31" s="6">
        <f>D30+$A$7-$A$6*SIN(2*D30*PI())/PI()</f>
        <v>-24.764821334643162</v>
      </c>
      <c r="E31" s="6">
        <f>E30+$A$7-$A$6*SIN(2*E30*PI())/PI()</f>
        <v>-40.470254614811189</v>
      </c>
      <c r="F31" s="6">
        <f>F30+$A$7-$A$6*SIN(2*F30*PI())/PI()</f>
        <v>-9.3832911798178742</v>
      </c>
      <c r="G31" s="6">
        <f>G30+$A$7-$A$6*SIN(2*G30*PI())/PI()</f>
        <v>4.956670576684453</v>
      </c>
    </row>
  </sheetData>
  <sheetProtection password="EE22" sheet="1" objects="1" scenarios="1"/>
  <phoneticPr fontId="4" type="noConversion"/>
  <pageMargins left="0.70078740157480324" right="0.70078740157480324" top="0.75196850393700787" bottom="0.75196850393700787" header="0.29921259842519687" footer="0.29921259842519687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26"/>
  <sheetViews>
    <sheetView zoomScale="150" workbookViewId="0"/>
  </sheetViews>
  <sheetFormatPr baseColWidth="10" defaultColWidth="8.83203125" defaultRowHeight="13"/>
  <cols>
    <col min="1" max="1" width="6" style="6" customWidth="1"/>
    <col min="2" max="2" width="6" style="1" customWidth="1"/>
    <col min="3" max="3" width="19.6640625" style="3" customWidth="1"/>
    <col min="4" max="4" width="19.6640625" style="1" customWidth="1"/>
    <col min="5" max="6" width="5.6640625" style="1" customWidth="1"/>
    <col min="7" max="7" width="10" style="1" customWidth="1"/>
    <col min="8" max="8" width="8.33203125" style="1" customWidth="1"/>
    <col min="9" max="9" width="8.33203125" style="59" customWidth="1"/>
    <col min="10" max="10" width="8.33203125" style="1" customWidth="1"/>
    <col min="11" max="16384" width="8.83203125" style="1"/>
  </cols>
  <sheetData>
    <row r="1" spans="1:10" ht="16">
      <c r="A1" s="6">
        <f>MIN(A12:A25,E10:E23)</f>
        <v>-37.356913340022579</v>
      </c>
      <c r="B1" s="21" t="s">
        <v>2</v>
      </c>
    </row>
    <row r="2" spans="1:10" ht="16">
      <c r="B2" s="21"/>
    </row>
    <row r="3" spans="1:10" ht="16">
      <c r="A3" s="6">
        <f>MAX(A12:A25,E10:E23)</f>
        <v>8.2780372432831371</v>
      </c>
      <c r="B3" s="21" t="s">
        <v>14</v>
      </c>
    </row>
    <row r="4" spans="1:10" ht="15">
      <c r="B4" s="2"/>
    </row>
    <row r="5" spans="1:10" ht="16">
      <c r="A5" s="6">
        <v>20</v>
      </c>
      <c r="B5" s="21" t="s">
        <v>17</v>
      </c>
    </row>
    <row r="6" spans="1:10" ht="18" customHeight="1">
      <c r="A6" s="6">
        <v>0.1</v>
      </c>
    </row>
    <row r="7" spans="1:10" ht="18" customHeight="1">
      <c r="A7" s="6">
        <f>Reference!E5</f>
        <v>0.35714285714285715</v>
      </c>
      <c r="B7" s="5"/>
      <c r="C7" s="10" t="s">
        <v>18</v>
      </c>
      <c r="D7" s="11"/>
      <c r="E7" s="5"/>
      <c r="F7" s="18"/>
      <c r="G7" s="18"/>
      <c r="H7" s="18"/>
    </row>
    <row r="8" spans="1:10" ht="18" customHeight="1">
      <c r="A8" s="6">
        <f>INT(10+5*A7)</f>
        <v>11</v>
      </c>
      <c r="B8" s="3"/>
      <c r="C8" s="12"/>
      <c r="D8" s="12"/>
      <c r="E8" s="3"/>
      <c r="F8" s="16"/>
      <c r="G8" s="16"/>
    </row>
    <row r="9" spans="1:10" ht="18" customHeight="1">
      <c r="A9" s="6">
        <f>'Dataset 1'!A10</f>
        <v>0.35714285714285715</v>
      </c>
      <c r="B9" s="25"/>
      <c r="C9" s="52" t="s">
        <v>19</v>
      </c>
      <c r="D9" s="52" t="s">
        <v>20</v>
      </c>
      <c r="E9" s="25"/>
      <c r="F9" s="5"/>
      <c r="G9" s="5"/>
    </row>
    <row r="10" spans="1:10" ht="18" customHeight="1">
      <c r="B10" s="26">
        <f t="shared" ref="B10:B23" si="0">ROUND((A12-$A$1)/($A$3-$A$1),2)</f>
        <v>0.72</v>
      </c>
      <c r="C10" s="53">
        <f>$A$8+2*B10</f>
        <v>12.44</v>
      </c>
      <c r="D10" s="53">
        <f t="shared" ref="D10:D23" si="1">C10+F10-$A$7</f>
        <v>12.622857142857143</v>
      </c>
      <c r="E10" s="6">
        <f>A25+$A$6-$A$5*SIN(2*A25*PI())/PI()</f>
        <v>-12.89601424528737</v>
      </c>
      <c r="F10" s="26">
        <f t="shared" ref="F10:F23" si="2">ROUND((E10-$A$1)/($A$3-$A$1),2)</f>
        <v>0.54</v>
      </c>
      <c r="G10" s="58"/>
    </row>
    <row r="11" spans="1:10" s="25" customFormat="1" ht="18" customHeight="1">
      <c r="B11" s="26">
        <f t="shared" si="0"/>
        <v>0.7</v>
      </c>
      <c r="C11" s="53">
        <f t="shared" ref="C11:C23" si="3">$A$8+2*B11</f>
        <v>12.4</v>
      </c>
      <c r="D11" s="53">
        <f t="shared" si="1"/>
        <v>12.492857142857142</v>
      </c>
      <c r="E11" s="6">
        <f t="shared" ref="E11:E23" si="4">E10+$A$6-$A$5*SIN(2*E10*PI())/PI()</f>
        <v>-16.665766282266379</v>
      </c>
      <c r="F11" s="26">
        <f t="shared" si="2"/>
        <v>0.45</v>
      </c>
      <c r="G11" s="58"/>
      <c r="I11" s="60"/>
      <c r="J11" s="58"/>
    </row>
    <row r="12" spans="1:10" ht="18" customHeight="1">
      <c r="A12" s="6">
        <f>A9+$A$6-$A$5*SIN(2*A9*PI())/PI()</f>
        <v>-4.5201509468432013</v>
      </c>
      <c r="B12" s="26">
        <f t="shared" si="0"/>
        <v>0.84</v>
      </c>
      <c r="C12" s="53">
        <f t="shared" si="3"/>
        <v>12.68</v>
      </c>
      <c r="D12" s="53">
        <f t="shared" si="1"/>
        <v>12.662857142857142</v>
      </c>
      <c r="E12" s="6">
        <f t="shared" si="4"/>
        <v>-22.060959418803705</v>
      </c>
      <c r="F12" s="26">
        <f t="shared" si="2"/>
        <v>0.34</v>
      </c>
      <c r="G12" s="58"/>
    </row>
    <row r="13" spans="1:10" ht="18" customHeight="1">
      <c r="A13" s="24">
        <f t="shared" ref="A13:A25" si="5">A12+$A$6-$A$5*SIN(2*A12*PI())/PI()</f>
        <v>-5.224036996594168</v>
      </c>
      <c r="B13" s="26">
        <f t="shared" si="0"/>
        <v>0.73</v>
      </c>
      <c r="C13" s="53">
        <f t="shared" si="3"/>
        <v>12.46</v>
      </c>
      <c r="D13" s="53">
        <f t="shared" si="1"/>
        <v>12.492857142857144</v>
      </c>
      <c r="E13" s="6">
        <f t="shared" si="4"/>
        <v>-19.581766725214372</v>
      </c>
      <c r="F13" s="26">
        <f t="shared" si="2"/>
        <v>0.39</v>
      </c>
      <c r="G13" s="58"/>
      <c r="H13" s="7"/>
    </row>
    <row r="14" spans="1:10" ht="18" customHeight="1">
      <c r="A14" s="6">
        <f t="shared" si="5"/>
        <v>1.1576413265387053</v>
      </c>
      <c r="B14" s="26">
        <f t="shared" si="0"/>
        <v>0.79</v>
      </c>
      <c r="C14" s="53">
        <f t="shared" si="3"/>
        <v>12.58</v>
      </c>
      <c r="D14" s="53">
        <f t="shared" si="1"/>
        <v>12.542857142857143</v>
      </c>
      <c r="E14" s="6">
        <f t="shared" si="4"/>
        <v>-22.61044336173013</v>
      </c>
      <c r="F14" s="26">
        <f t="shared" si="2"/>
        <v>0.32</v>
      </c>
      <c r="G14" s="58"/>
    </row>
    <row r="15" spans="1:10" ht="18" customHeight="1">
      <c r="A15" s="6">
        <f t="shared" si="5"/>
        <v>-4.0663751564120414</v>
      </c>
      <c r="B15" s="26">
        <f t="shared" si="0"/>
        <v>0.88</v>
      </c>
      <c r="C15" s="53">
        <f t="shared" si="3"/>
        <v>12.76</v>
      </c>
      <c r="D15" s="53">
        <f t="shared" si="1"/>
        <v>12.642857142857142</v>
      </c>
      <c r="E15" s="6">
        <f t="shared" si="4"/>
        <v>-26.582059394562066</v>
      </c>
      <c r="F15" s="26">
        <f t="shared" si="2"/>
        <v>0.24</v>
      </c>
      <c r="G15" s="58"/>
    </row>
    <row r="16" spans="1:10" ht="18" customHeight="1">
      <c r="A16" s="6">
        <f t="shared" si="5"/>
        <v>-1.3876659173389294</v>
      </c>
      <c r="B16" s="26">
        <f t="shared" si="0"/>
        <v>1</v>
      </c>
      <c r="C16" s="53">
        <f t="shared" si="3"/>
        <v>13</v>
      </c>
      <c r="D16" s="53">
        <f t="shared" si="1"/>
        <v>12.812857142857142</v>
      </c>
      <c r="E16" s="6">
        <f t="shared" si="4"/>
        <v>-29.620926223563796</v>
      </c>
      <c r="F16" s="26">
        <f t="shared" si="2"/>
        <v>0.17</v>
      </c>
      <c r="G16" s="58"/>
    </row>
    <row r="17" spans="1:9" ht="18" customHeight="1">
      <c r="A17" s="6">
        <f t="shared" si="5"/>
        <v>2.8417999424654883</v>
      </c>
      <c r="B17" s="26">
        <f t="shared" si="0"/>
        <v>0.86</v>
      </c>
      <c r="C17" s="53">
        <f t="shared" si="3"/>
        <v>12.72</v>
      </c>
      <c r="D17" s="53">
        <f t="shared" si="1"/>
        <v>12.442857142857143</v>
      </c>
      <c r="E17" s="6">
        <f t="shared" si="4"/>
        <v>-33.905822017590303</v>
      </c>
      <c r="F17" s="26">
        <f t="shared" si="2"/>
        <v>0.08</v>
      </c>
      <c r="G17" s="58"/>
    </row>
    <row r="18" spans="1:9" ht="18" customHeight="1">
      <c r="A18" s="6">
        <f t="shared" si="5"/>
        <v>8.2780372432831371</v>
      </c>
      <c r="B18" s="26">
        <f t="shared" si="0"/>
        <v>0.78</v>
      </c>
      <c r="C18" s="53">
        <f t="shared" si="3"/>
        <v>12.56</v>
      </c>
      <c r="D18" s="53">
        <f t="shared" si="1"/>
        <v>12.202857142857143</v>
      </c>
      <c r="E18" s="6">
        <f t="shared" si="4"/>
        <v>-37.356913340022579</v>
      </c>
      <c r="F18" s="26">
        <f t="shared" si="2"/>
        <v>0</v>
      </c>
      <c r="G18" s="58"/>
      <c r="H18" s="9"/>
    </row>
    <row r="19" spans="1:9" ht="18" customHeight="1">
      <c r="A19" s="6">
        <f t="shared" si="5"/>
        <v>2.1103669269350478</v>
      </c>
      <c r="B19" s="26">
        <f t="shared" si="0"/>
        <v>0.67</v>
      </c>
      <c r="C19" s="53">
        <f t="shared" si="3"/>
        <v>12.34</v>
      </c>
      <c r="D19" s="53">
        <f t="shared" si="1"/>
        <v>12.092857142857142</v>
      </c>
      <c r="E19" s="6">
        <f t="shared" si="4"/>
        <v>-32.273900650176202</v>
      </c>
      <c r="F19" s="26">
        <f t="shared" si="2"/>
        <v>0.11</v>
      </c>
      <c r="G19" s="58"/>
      <c r="H19" s="9"/>
    </row>
    <row r="20" spans="1:9" s="7" customFormat="1" ht="18" customHeight="1">
      <c r="A20" s="6">
        <f t="shared" si="5"/>
        <v>-1.8588983136730364</v>
      </c>
      <c r="B20" s="26">
        <f t="shared" si="0"/>
        <v>0.54</v>
      </c>
      <c r="C20" s="53">
        <f t="shared" si="3"/>
        <v>12.08</v>
      </c>
      <c r="D20" s="53">
        <f t="shared" si="1"/>
        <v>11.972857142857142</v>
      </c>
      <c r="E20" s="6">
        <f t="shared" si="4"/>
        <v>-25.87935239419761</v>
      </c>
      <c r="F20" s="26">
        <f t="shared" si="2"/>
        <v>0.25</v>
      </c>
      <c r="G20" s="58"/>
      <c r="H20" s="9"/>
      <c r="I20" s="61"/>
    </row>
    <row r="21" spans="1:9" ht="18" customHeight="1">
      <c r="A21" s="6">
        <f t="shared" si="5"/>
        <v>-6.6921098753966026</v>
      </c>
      <c r="B21" s="26">
        <f t="shared" si="0"/>
        <v>0.51</v>
      </c>
      <c r="C21" s="53">
        <f t="shared" si="3"/>
        <v>12.02</v>
      </c>
      <c r="D21" s="53">
        <f t="shared" si="1"/>
        <v>11.822857142857142</v>
      </c>
      <c r="E21" s="6">
        <f t="shared" si="4"/>
        <v>-30.156161864813136</v>
      </c>
      <c r="F21" s="26">
        <f t="shared" si="2"/>
        <v>0.16</v>
      </c>
      <c r="G21" s="58"/>
      <c r="H21" s="9"/>
    </row>
    <row r="22" spans="1:9" ht="18" customHeight="1">
      <c r="A22" s="6">
        <f t="shared" si="5"/>
        <v>-12.541797680305802</v>
      </c>
      <c r="B22" s="26">
        <f t="shared" si="0"/>
        <v>0.59</v>
      </c>
      <c r="C22" s="53">
        <f t="shared" si="3"/>
        <v>12.18</v>
      </c>
      <c r="D22" s="53">
        <f t="shared" si="1"/>
        <v>12.102857142857141</v>
      </c>
      <c r="E22" s="6">
        <f t="shared" si="4"/>
        <v>-24.764821334643162</v>
      </c>
      <c r="F22" s="26">
        <f t="shared" si="2"/>
        <v>0.28000000000000003</v>
      </c>
      <c r="G22" s="58"/>
      <c r="H22" s="9"/>
    </row>
    <row r="23" spans="1:9" ht="18" customHeight="1">
      <c r="A23" s="6">
        <f t="shared" si="5"/>
        <v>-14.094552315551846</v>
      </c>
      <c r="B23" s="26">
        <f t="shared" si="0"/>
        <v>0.65</v>
      </c>
      <c r="C23" s="53">
        <f t="shared" si="3"/>
        <v>12.3</v>
      </c>
      <c r="D23" s="53">
        <f t="shared" si="1"/>
        <v>12.082857142857144</v>
      </c>
      <c r="E23" s="6">
        <f t="shared" si="4"/>
        <v>-31.003434209604318</v>
      </c>
      <c r="F23" s="26">
        <f t="shared" si="2"/>
        <v>0.14000000000000001</v>
      </c>
      <c r="G23" s="58"/>
      <c r="H23" s="9"/>
    </row>
    <row r="24" spans="1:9" ht="13.5" customHeight="1">
      <c r="A24" s="6">
        <f t="shared" si="5"/>
        <v>-10.431043376290424</v>
      </c>
      <c r="B24" s="9"/>
      <c r="E24" s="13"/>
      <c r="F24" s="4"/>
      <c r="G24" s="5"/>
      <c r="H24" s="5"/>
    </row>
    <row r="25" spans="1:9" ht="13.5" customHeight="1">
      <c r="A25" s="6">
        <f t="shared" si="5"/>
        <v>-7.6582691999487906</v>
      </c>
      <c r="G25" s="5"/>
      <c r="H25" s="5"/>
    </row>
    <row r="26" spans="1:9" ht="14">
      <c r="G26" s="4"/>
      <c r="H26" s="4"/>
    </row>
  </sheetData>
  <sheetProtection password="EE22" sheet="1" objects="1" scenarios="1"/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31"/>
  <sheetViews>
    <sheetView zoomScale="150" workbookViewId="0"/>
  </sheetViews>
  <sheetFormatPr baseColWidth="10" defaultColWidth="8.83203125" defaultRowHeight="16" customHeight="1"/>
  <cols>
    <col min="1" max="1" width="8.5" style="6" customWidth="1"/>
    <col min="2" max="2" width="10" style="1" customWidth="1"/>
    <col min="3" max="3" width="11" style="3" customWidth="1"/>
    <col min="4" max="4" width="11" style="1" customWidth="1"/>
    <col min="5" max="5" width="10" style="1" customWidth="1"/>
    <col min="6" max="6" width="10" style="62" customWidth="1"/>
    <col min="7" max="10" width="7.6640625" style="3" customWidth="1"/>
    <col min="11" max="11" width="7.6640625" style="1" customWidth="1"/>
    <col min="12" max="16384" width="8.83203125" style="1"/>
  </cols>
  <sheetData>
    <row r="1" spans="1:9">
      <c r="B1" s="21" t="s">
        <v>2</v>
      </c>
    </row>
    <row r="2" spans="1:9">
      <c r="B2" s="21"/>
    </row>
    <row r="3" spans="1:9">
      <c r="B3" s="21" t="s">
        <v>14</v>
      </c>
    </row>
    <row r="4" spans="1:9" ht="16" customHeight="1">
      <c r="B4" s="2"/>
    </row>
    <row r="5" spans="1:9">
      <c r="A5" s="6">
        <v>15</v>
      </c>
      <c r="B5" s="17" t="s">
        <v>39</v>
      </c>
    </row>
    <row r="6" spans="1:9" ht="16" customHeight="1">
      <c r="A6" s="6">
        <v>0.12</v>
      </c>
    </row>
    <row r="7" spans="1:9" ht="16" customHeight="1">
      <c r="B7" s="48"/>
      <c r="C7" s="81" t="s">
        <v>26</v>
      </c>
      <c r="D7" s="81" t="s">
        <v>27</v>
      </c>
      <c r="E7" s="82" t="s">
        <v>28</v>
      </c>
      <c r="F7" s="63"/>
      <c r="G7" s="15"/>
      <c r="H7" s="15"/>
      <c r="I7" s="15"/>
    </row>
    <row r="8" spans="1:9" ht="16" customHeight="1">
      <c r="B8" s="79" t="s">
        <v>23</v>
      </c>
      <c r="C8" s="84">
        <f>C21+INT(20*(0.25+(C15-$B$14)/$B$16))</f>
        <v>12</v>
      </c>
      <c r="D8" s="85">
        <f t="shared" ref="D8:E8" si="0">D21+INT(20*(0.25+(D15-$B$14)/$B$16))</f>
        <v>21</v>
      </c>
      <c r="E8" s="86">
        <f t="shared" si="0"/>
        <v>22</v>
      </c>
      <c r="F8" s="63"/>
      <c r="G8" s="14"/>
      <c r="H8" s="14"/>
      <c r="I8" s="14"/>
    </row>
    <row r="9" spans="1:9" ht="16" customHeight="1">
      <c r="B9" s="79" t="s">
        <v>24</v>
      </c>
      <c r="C9" s="87">
        <f t="shared" ref="C9:E11" si="1">C22+INT(20*(0.25+(C16-$B$14)/$B$16))</f>
        <v>7</v>
      </c>
      <c r="D9" s="54">
        <f t="shared" si="1"/>
        <v>19</v>
      </c>
      <c r="E9" s="76">
        <f t="shared" si="1"/>
        <v>17</v>
      </c>
      <c r="F9" s="63"/>
      <c r="G9" s="14"/>
      <c r="H9" s="14"/>
      <c r="I9" s="14"/>
    </row>
    <row r="10" spans="1:9" ht="16" customHeight="1">
      <c r="A10" s="6" t="s">
        <v>37</v>
      </c>
      <c r="B10" s="79" t="s">
        <v>25</v>
      </c>
      <c r="C10" s="87">
        <f t="shared" si="1"/>
        <v>17</v>
      </c>
      <c r="D10" s="54">
        <f t="shared" si="1"/>
        <v>29</v>
      </c>
      <c r="E10" s="76">
        <f t="shared" si="1"/>
        <v>10</v>
      </c>
      <c r="F10" s="63"/>
      <c r="G10" s="14"/>
      <c r="H10" s="14"/>
      <c r="I10" s="14"/>
    </row>
    <row r="11" spans="1:9" ht="16" customHeight="1">
      <c r="B11" s="79" t="s">
        <v>29</v>
      </c>
      <c r="C11" s="87">
        <f t="shared" si="1"/>
        <v>25</v>
      </c>
      <c r="D11" s="54">
        <f t="shared" si="1"/>
        <v>22</v>
      </c>
      <c r="E11" s="76">
        <f t="shared" si="1"/>
        <v>18</v>
      </c>
      <c r="F11" s="63"/>
      <c r="G11" s="14"/>
      <c r="H11" s="14"/>
      <c r="I11" s="14"/>
    </row>
    <row r="12" spans="1:9" ht="16" customHeight="1">
      <c r="B12" s="80" t="s">
        <v>30</v>
      </c>
      <c r="C12" s="88">
        <f>C25+INT(20*(0.25+(C19-$B$14)/$B$16))</f>
        <v>19</v>
      </c>
      <c r="D12" s="77">
        <f t="shared" ref="D12:E12" si="2">D25+INT(20*(0.25+(D19-$B$14)/$B$16))</f>
        <v>19</v>
      </c>
      <c r="E12" s="78">
        <f t="shared" si="2"/>
        <v>26</v>
      </c>
      <c r="F12" s="63"/>
      <c r="G12" s="14"/>
      <c r="H12" s="14"/>
      <c r="I12" s="14"/>
    </row>
    <row r="13" spans="1:9" s="62" customFormat="1" ht="16" customHeight="1">
      <c r="A13" s="65"/>
      <c r="C13" s="66"/>
      <c r="F13" s="66"/>
      <c r="G13" s="66"/>
      <c r="H13" s="66"/>
      <c r="I13" s="66"/>
    </row>
    <row r="14" spans="1:9" ht="16" customHeight="1">
      <c r="B14" s="6">
        <f>MIN(C15:E19)</f>
        <v>-3.3350406099102505</v>
      </c>
    </row>
    <row r="15" spans="1:9" ht="16" customHeight="1">
      <c r="B15" s="6">
        <f>MAX(C15:E19)</f>
        <v>7.3178927327027212</v>
      </c>
      <c r="C15" s="83">
        <f>'Dataset 1'!A10</f>
        <v>0.35714285714285715</v>
      </c>
      <c r="D15" s="83">
        <f>C19+$A$6-$A$5*SIN(2*C19*PI())/PI()</f>
        <v>4.4363012457908724</v>
      </c>
      <c r="E15" s="83">
        <f>D19+$A$6-$A$5*SIN(2*D19*PI())/PI()</f>
        <v>4.1061567099076601</v>
      </c>
    </row>
    <row r="16" spans="1:9" ht="16" customHeight="1">
      <c r="B16" s="6">
        <f>B15-B14</f>
        <v>10.652933342612972</v>
      </c>
      <c r="C16" s="83">
        <f>C15+$A$6-$A$5*SIN(2*C15*PI())/PI()</f>
        <v>-3.2558274958466868</v>
      </c>
      <c r="D16" s="83">
        <f>D15+$A$6-$A$5*SIN(2*D15*PI())/PI()</f>
        <v>2.6959494571267717</v>
      </c>
      <c r="E16" s="83">
        <f>E15+$A$6-$A$5*SIN(2*E15*PI())/PI()</f>
        <v>1.2723992181304888</v>
      </c>
    </row>
    <row r="17" spans="1:10" ht="16" customHeight="1">
      <c r="C17" s="83">
        <f>C16+$A$6-$A$5*SIN(2*C16*PI())/PI()</f>
        <v>1.6356205274173816</v>
      </c>
      <c r="D17" s="83">
        <f t="shared" ref="D17:E19" si="3">D16+$A$6-$A$5*SIN(2*D16*PI())/PI()</f>
        <v>7.3178927327027212</v>
      </c>
      <c r="E17" s="83">
        <f t="shared" si="3"/>
        <v>-3.3350406099102505</v>
      </c>
    </row>
    <row r="18" spans="1:10" ht="16" customHeight="1">
      <c r="C18" s="83">
        <f>C17+$A$6-$A$5*SIN(2*C17*PI())/PI()</f>
        <v>5.3494206766532608</v>
      </c>
      <c r="D18" s="83">
        <f t="shared" si="3"/>
        <v>3.0911243321417023</v>
      </c>
      <c r="E18" s="83">
        <f t="shared" si="3"/>
        <v>0.89407954226348085</v>
      </c>
    </row>
    <row r="19" spans="1:10" ht="16" customHeight="1">
      <c r="C19" s="83">
        <f>C18+$A$6-$A$5*SIN(2*C18*PI())/PI()</f>
        <v>1.5964591466265627</v>
      </c>
      <c r="D19" s="83">
        <f t="shared" si="3"/>
        <v>0.62432476496402867</v>
      </c>
      <c r="E19" s="83">
        <f t="shared" si="3"/>
        <v>3.9622652258659903</v>
      </c>
    </row>
    <row r="20" spans="1:10" s="7" customFormat="1" ht="16" customHeight="1">
      <c r="A20" s="6"/>
      <c r="B20" s="1"/>
      <c r="C20" s="6"/>
      <c r="D20" s="6">
        <f>D19+$A$6-$A$5*SIN(2*D19*PI())/PI()</f>
        <v>4.1061567099076601</v>
      </c>
      <c r="E20" s="6"/>
      <c r="F20" s="62"/>
      <c r="G20" s="3"/>
      <c r="H20" s="3"/>
      <c r="I20" s="3"/>
      <c r="J20" s="64"/>
    </row>
    <row r="21" spans="1:10" ht="16" customHeight="1">
      <c r="C21" s="26">
        <v>1</v>
      </c>
      <c r="D21" s="26">
        <v>2</v>
      </c>
      <c r="E21" s="6">
        <v>4</v>
      </c>
    </row>
    <row r="22" spans="1:10" ht="16" customHeight="1">
      <c r="C22" s="26">
        <v>2</v>
      </c>
      <c r="D22" s="26">
        <v>3</v>
      </c>
      <c r="E22" s="6">
        <v>4</v>
      </c>
    </row>
    <row r="23" spans="1:10" ht="16" customHeight="1">
      <c r="C23" s="26">
        <v>3</v>
      </c>
      <c r="D23" s="26">
        <v>4</v>
      </c>
      <c r="E23" s="6">
        <v>5</v>
      </c>
    </row>
    <row r="24" spans="1:10" ht="16" customHeight="1">
      <c r="C24" s="26">
        <v>4</v>
      </c>
      <c r="D24" s="26">
        <v>5</v>
      </c>
      <c r="E24" s="6">
        <v>6</v>
      </c>
    </row>
    <row r="25" spans="1:10" ht="16" customHeight="1">
      <c r="C25" s="26">
        <v>5</v>
      </c>
      <c r="D25" s="26">
        <v>7</v>
      </c>
      <c r="E25" s="6">
        <v>8</v>
      </c>
    </row>
    <row r="30" spans="1:10" ht="16" customHeight="1">
      <c r="C30" s="6">
        <f>E19+$A$6-$A$5*SIN(2*E19*PI())/PI()</f>
        <v>5.2037321378392232</v>
      </c>
    </row>
    <row r="31" spans="1:10" ht="16" customHeight="1">
      <c r="C31" s="6">
        <f>C30+$A$6-$A$5*SIN(2*C30*PI())/PI()</f>
        <v>0.74942457132297235</v>
      </c>
    </row>
  </sheetData>
  <sheetProtection password="EE22" sheet="1" objects="1" scenarios="1"/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26"/>
  <sheetViews>
    <sheetView zoomScale="150" workbookViewId="0"/>
  </sheetViews>
  <sheetFormatPr baseColWidth="10" defaultColWidth="8.83203125" defaultRowHeight="16" customHeight="1"/>
  <cols>
    <col min="1" max="1" width="8.5" style="6" customWidth="1"/>
    <col min="2" max="2" width="10" style="8" customWidth="1"/>
    <col min="3" max="5" width="6.5" style="20" customWidth="1"/>
    <col min="6" max="6" width="13" style="8" customWidth="1"/>
    <col min="7" max="7" width="4.1640625" style="6" customWidth="1"/>
    <col min="8" max="8" width="7" style="20" customWidth="1"/>
    <col min="9" max="9" width="8.33203125" style="8" customWidth="1"/>
    <col min="10" max="10" width="8.33203125" style="20" customWidth="1"/>
    <col min="11" max="16384" width="8.83203125" style="8"/>
  </cols>
  <sheetData>
    <row r="1" spans="1:11" ht="16" customHeight="1">
      <c r="B1" s="21" t="s">
        <v>0</v>
      </c>
    </row>
    <row r="2" spans="1:11">
      <c r="A2" s="6">
        <f>MIN(A12:A19)</f>
        <v>-5.224036996594168</v>
      </c>
      <c r="B2" s="21"/>
    </row>
    <row r="3" spans="1:11">
      <c r="A3" s="6">
        <f>MAX(A12:A19)</f>
        <v>8.2780372432831371</v>
      </c>
      <c r="B3" s="21" t="s">
        <v>3</v>
      </c>
    </row>
    <row r="4" spans="1:11" ht="16" customHeight="1">
      <c r="B4" s="28"/>
    </row>
    <row r="5" spans="1:11">
      <c r="A5" s="6">
        <v>20</v>
      </c>
      <c r="B5" s="21" t="s">
        <v>40</v>
      </c>
      <c r="D5" s="47">
        <f>(C9+E16)/2</f>
        <v>324</v>
      </c>
    </row>
    <row r="6" spans="1:11" ht="16" customHeight="1">
      <c r="A6" s="6">
        <v>0.1</v>
      </c>
      <c r="C6" s="26">
        <f>INT(5.1+3*A7)</f>
        <v>6</v>
      </c>
    </row>
    <row r="7" spans="1:11" ht="16" customHeight="1">
      <c r="A7" s="6">
        <f>Reference!E5</f>
        <v>0.35714285714285715</v>
      </c>
      <c r="B7" s="33"/>
      <c r="C7" s="34"/>
      <c r="D7" s="34"/>
      <c r="E7" s="34"/>
      <c r="F7" s="34"/>
      <c r="G7" s="43"/>
      <c r="H7" s="67"/>
    </row>
    <row r="8" spans="1:11" ht="16" customHeight="1">
      <c r="A8" s="6">
        <f>INT(50+15*A7)</f>
        <v>55</v>
      </c>
      <c r="B8" s="32"/>
      <c r="C8" s="111" t="s">
        <v>33</v>
      </c>
      <c r="D8" s="112"/>
      <c r="E8" s="112"/>
      <c r="F8" s="42" t="s">
        <v>34</v>
      </c>
      <c r="G8" s="44" t="s">
        <v>15</v>
      </c>
    </row>
    <row r="9" spans="1:11" ht="16" customHeight="1">
      <c r="A9" s="6">
        <f>'Dataset 1'!A10</f>
        <v>0.35714285714285715</v>
      </c>
      <c r="B9" s="47">
        <f>ROUND((A12-$A$2)/($A$3-$A$2),2)</f>
        <v>0.05</v>
      </c>
      <c r="C9" s="90">
        <v>300</v>
      </c>
      <c r="D9" s="91" t="s">
        <v>32</v>
      </c>
      <c r="E9" s="92">
        <f>C9+$C$6</f>
        <v>306</v>
      </c>
      <c r="F9" s="93">
        <f>5+INT(5*($A$7+B9)+G9)</f>
        <v>7</v>
      </c>
      <c r="G9" s="44">
        <f>(NORMDIST(E9,$D$5,$C$6,1)-NORMDIST(C9,$D$5,$C$6,1))*210</f>
        <v>0.27682762585659715</v>
      </c>
    </row>
    <row r="10" spans="1:11" ht="16" customHeight="1">
      <c r="B10" s="47">
        <f t="shared" ref="B10:B16" si="0">ROUND((A13-$A$2)/($A$3-$A$2),2)</f>
        <v>0</v>
      </c>
      <c r="C10" s="37">
        <f t="shared" ref="C10:C17" si="1">C9+$C$6</f>
        <v>306</v>
      </c>
      <c r="D10" s="35" t="s">
        <v>32</v>
      </c>
      <c r="E10" s="36">
        <f t="shared" ref="E10:E16" si="2">E9+$C$6</f>
        <v>312</v>
      </c>
      <c r="F10" s="41">
        <f t="shared" ref="F10:F16" si="3">5+INT(5*($A$7+B10)+G10)</f>
        <v>11</v>
      </c>
      <c r="G10" s="44">
        <f t="shared" ref="G10:G16" si="4">(NORMDIST(E10,$D$5,$C$6,1)-NORMDIST(C10,$D$5,$C$6,1))*210</f>
        <v>4.4940491224753352</v>
      </c>
    </row>
    <row r="11" spans="1:11" s="29" customFormat="1" ht="16" customHeight="1">
      <c r="A11" s="24"/>
      <c r="B11" s="47">
        <f t="shared" si="0"/>
        <v>0.47</v>
      </c>
      <c r="C11" s="37">
        <f t="shared" si="1"/>
        <v>312</v>
      </c>
      <c r="D11" s="35" t="s">
        <v>32</v>
      </c>
      <c r="E11" s="36">
        <f t="shared" si="2"/>
        <v>318</v>
      </c>
      <c r="F11" s="41">
        <f t="shared" si="3"/>
        <v>37</v>
      </c>
      <c r="G11" s="44">
        <f t="shared" si="4"/>
        <v>28.540075616488327</v>
      </c>
      <c r="H11" s="20"/>
      <c r="I11" s="8"/>
      <c r="J11" s="20"/>
      <c r="K11" s="8"/>
    </row>
    <row r="12" spans="1:11" ht="16" customHeight="1">
      <c r="A12" s="6">
        <f>A9+$A$6-$A$5*SIN(2*A9*PI())/PI()</f>
        <v>-4.5201509468432013</v>
      </c>
      <c r="B12" s="47">
        <f t="shared" si="0"/>
        <v>0.09</v>
      </c>
      <c r="C12" s="37">
        <f t="shared" si="1"/>
        <v>318</v>
      </c>
      <c r="D12" s="35" t="s">
        <v>32</v>
      </c>
      <c r="E12" s="36">
        <f t="shared" si="2"/>
        <v>324</v>
      </c>
      <c r="F12" s="41">
        <f t="shared" si="3"/>
        <v>78</v>
      </c>
      <c r="G12" s="44">
        <f t="shared" si="4"/>
        <v>71.682396674394013</v>
      </c>
    </row>
    <row r="13" spans="1:11" ht="16" customHeight="1">
      <c r="A13" s="24">
        <f t="shared" ref="A13:A19" si="5">A12+$A$6-$A$5*SIN(2*A12*PI())/PI()</f>
        <v>-5.224036996594168</v>
      </c>
      <c r="B13" s="47">
        <f t="shared" si="0"/>
        <v>0.28000000000000003</v>
      </c>
      <c r="C13" s="37">
        <f t="shared" si="1"/>
        <v>324</v>
      </c>
      <c r="D13" s="35" t="s">
        <v>32</v>
      </c>
      <c r="E13" s="36">
        <f t="shared" si="2"/>
        <v>330</v>
      </c>
      <c r="F13" s="41">
        <f t="shared" si="3"/>
        <v>79</v>
      </c>
      <c r="G13" s="44">
        <f t="shared" si="4"/>
        <v>71.682396674394013</v>
      </c>
    </row>
    <row r="14" spans="1:11" ht="16" customHeight="1">
      <c r="A14" s="6">
        <f t="shared" si="5"/>
        <v>1.1576413265387053</v>
      </c>
      <c r="B14" s="47">
        <f t="shared" si="0"/>
        <v>0.6</v>
      </c>
      <c r="C14" s="37">
        <f t="shared" si="1"/>
        <v>330</v>
      </c>
      <c r="D14" s="35" t="s">
        <v>32</v>
      </c>
      <c r="E14" s="36">
        <f t="shared" si="2"/>
        <v>336</v>
      </c>
      <c r="F14" s="41">
        <f t="shared" si="3"/>
        <v>38</v>
      </c>
      <c r="G14" s="44">
        <f t="shared" si="4"/>
        <v>28.540075616488327</v>
      </c>
    </row>
    <row r="15" spans="1:11" ht="16" customHeight="1">
      <c r="A15" s="6">
        <f t="shared" si="5"/>
        <v>-4.0663751564120414</v>
      </c>
      <c r="B15" s="47">
        <f t="shared" si="0"/>
        <v>1</v>
      </c>
      <c r="C15" s="37">
        <f t="shared" si="1"/>
        <v>336</v>
      </c>
      <c r="D15" s="35" t="s">
        <v>32</v>
      </c>
      <c r="E15" s="36">
        <f t="shared" si="2"/>
        <v>342</v>
      </c>
      <c r="F15" s="41">
        <f t="shared" si="3"/>
        <v>16</v>
      </c>
      <c r="G15" s="44">
        <f t="shared" si="4"/>
        <v>4.4940491224753352</v>
      </c>
    </row>
    <row r="16" spans="1:11" ht="16" customHeight="1">
      <c r="A16" s="6">
        <f t="shared" si="5"/>
        <v>-1.3876659173389294</v>
      </c>
      <c r="B16" s="47">
        <f t="shared" si="0"/>
        <v>0.54</v>
      </c>
      <c r="C16" s="38">
        <f t="shared" si="1"/>
        <v>342</v>
      </c>
      <c r="D16" s="39" t="s">
        <v>32</v>
      </c>
      <c r="E16" s="40">
        <f t="shared" si="2"/>
        <v>348</v>
      </c>
      <c r="F16" s="94">
        <f t="shared" si="3"/>
        <v>9</v>
      </c>
      <c r="G16" s="44">
        <f t="shared" si="4"/>
        <v>0.27682762585659715</v>
      </c>
    </row>
    <row r="17" spans="1:11" s="71" customFormat="1" ht="16" customHeight="1">
      <c r="A17" s="65">
        <f t="shared" si="5"/>
        <v>2.8417999424654883</v>
      </c>
      <c r="B17" s="68"/>
      <c r="C17" s="89">
        <f t="shared" si="1"/>
        <v>348</v>
      </c>
      <c r="D17" s="69"/>
      <c r="E17" s="69"/>
      <c r="F17" s="68"/>
      <c r="G17" s="65"/>
      <c r="H17" s="70"/>
      <c r="J17" s="70"/>
    </row>
    <row r="18" spans="1:11" ht="16" customHeight="1">
      <c r="A18" s="6">
        <f t="shared" si="5"/>
        <v>8.2780372432831371</v>
      </c>
      <c r="B18" s="32"/>
      <c r="D18" s="30"/>
      <c r="E18" s="30"/>
      <c r="F18" s="32"/>
      <c r="G18" s="45"/>
    </row>
    <row r="19" spans="1:11" ht="16" customHeight="1">
      <c r="A19" s="6">
        <f t="shared" si="5"/>
        <v>2.1103669269350478</v>
      </c>
      <c r="B19" s="32"/>
      <c r="C19" s="30"/>
      <c r="D19" s="30"/>
      <c r="E19" s="30"/>
      <c r="F19" s="32"/>
      <c r="G19" s="45"/>
    </row>
    <row r="20" spans="1:11" s="31" customFormat="1" ht="16" customHeight="1">
      <c r="A20" s="6"/>
      <c r="B20" s="8"/>
      <c r="C20" s="20"/>
      <c r="D20" s="20"/>
      <c r="E20" s="20"/>
      <c r="F20" s="8"/>
      <c r="G20" s="45"/>
      <c r="H20" s="20"/>
      <c r="I20" s="8"/>
      <c r="J20" s="20"/>
    </row>
    <row r="21" spans="1:11" ht="16" customHeight="1">
      <c r="G21" s="45"/>
    </row>
    <row r="22" spans="1:11" ht="16" customHeight="1">
      <c r="G22" s="45"/>
    </row>
    <row r="23" spans="1:11" ht="16" customHeight="1">
      <c r="G23" s="45"/>
    </row>
    <row r="24" spans="1:11" ht="16" customHeight="1">
      <c r="G24" s="44"/>
      <c r="H24" s="49"/>
    </row>
    <row r="25" spans="1:11" ht="16" customHeight="1">
      <c r="G25" s="44"/>
      <c r="H25" s="49"/>
      <c r="K25" s="31"/>
    </row>
    <row r="26" spans="1:11" ht="16" customHeight="1">
      <c r="G26" s="46"/>
      <c r="H26" s="49"/>
    </row>
  </sheetData>
  <sheetProtection password="EE22" sheet="1" objects="1" scenarios="1"/>
  <mergeCells count="1">
    <mergeCell ref="C8:E8"/>
  </mergeCells>
  <phoneticPr fontId="1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zoomScale="150" workbookViewId="0"/>
  </sheetViews>
  <sheetFormatPr baseColWidth="10" defaultColWidth="8.83203125" defaultRowHeight="13"/>
  <cols>
    <col min="1" max="1" width="7.5" style="8" customWidth="1"/>
    <col min="2" max="3" width="9.33203125" style="8" customWidth="1"/>
    <col min="4" max="4" width="9.33203125" style="20" customWidth="1"/>
    <col min="5" max="7" width="9.33203125" style="8" customWidth="1"/>
    <col min="8" max="9" width="9.1640625" style="8" customWidth="1"/>
    <col min="10" max="16384" width="8.83203125" style="8"/>
  </cols>
  <sheetData>
    <row r="1" spans="1:8" ht="21" customHeight="1">
      <c r="A1" s="6">
        <f>MIN(B20:F28)</f>
        <v>-40.470254614811189</v>
      </c>
      <c r="B1" s="21" t="s">
        <v>0</v>
      </c>
      <c r="C1" s="20"/>
      <c r="D1" s="8"/>
    </row>
    <row r="2" spans="1:8" ht="21" customHeight="1">
      <c r="A2" s="6">
        <f>AVERAGE(B20:F28)</f>
        <v>-20.402753074249283</v>
      </c>
      <c r="B2" s="21"/>
      <c r="C2" s="20"/>
      <c r="D2" s="8"/>
    </row>
    <row r="3" spans="1:8" ht="21" customHeight="1">
      <c r="A3" s="6">
        <f>STDEV(B20:F28)</f>
        <v>13.927884852176129</v>
      </c>
      <c r="B3" s="21" t="s">
        <v>3</v>
      </c>
      <c r="C3" s="20"/>
      <c r="D3" s="8"/>
    </row>
    <row r="4" spans="1:8" ht="21" customHeight="1">
      <c r="A4" s="6">
        <v>20</v>
      </c>
      <c r="B4" s="28"/>
      <c r="C4" s="20"/>
      <c r="D4" s="8"/>
    </row>
    <row r="5" spans="1:8" ht="21" customHeight="1">
      <c r="A5" s="6">
        <v>0.1</v>
      </c>
      <c r="B5" s="21" t="s">
        <v>41</v>
      </c>
      <c r="C5" s="20"/>
      <c r="D5" s="8"/>
    </row>
    <row r="6" spans="1:8" ht="21" customHeight="1">
      <c r="A6" s="6"/>
      <c r="C6" s="20"/>
      <c r="D6" s="8"/>
    </row>
    <row r="7" spans="1:8" ht="21" customHeight="1">
      <c r="A7" s="6"/>
      <c r="B7" s="95" t="s">
        <v>4</v>
      </c>
      <c r="C7" s="96" t="s">
        <v>5</v>
      </c>
      <c r="D7" s="95" t="s">
        <v>6</v>
      </c>
      <c r="E7" s="96" t="s">
        <v>7</v>
      </c>
      <c r="F7" s="95" t="s">
        <v>8</v>
      </c>
    </row>
    <row r="8" spans="1:8" ht="21" customHeight="1">
      <c r="A8" s="6">
        <f>Reference!E5</f>
        <v>0.35714285714285715</v>
      </c>
      <c r="B8" s="97">
        <f>100+$A$8^2+(B20-$A$2)*(1+5*$A$8)/$A$3</f>
        <v>103.30422803276286</v>
      </c>
      <c r="C8" s="97">
        <f>100+$A$8^2+(C20-$A$2)*(1+5*$A$8)/$A$3</f>
        <v>103.16344388318686</v>
      </c>
      <c r="D8" s="97">
        <f t="shared" ref="D8:F9" si="0">100+$A$8^2+(D20-$A$2)*(1+5*$A$8)/$A$3</f>
        <v>104.4398424649002</v>
      </c>
      <c r="E8" s="97">
        <f t="shared" si="0"/>
        <v>103.39498766463316</v>
      </c>
      <c r="F8" s="97">
        <f t="shared" si="0"/>
        <v>103.93075592189263</v>
      </c>
    </row>
    <row r="9" spans="1:8" ht="21" customHeight="1">
      <c r="A9" s="6"/>
      <c r="B9" s="97">
        <f>100+$A$8^2+(B21-$A$2)*(1+5*$A$8)/$A$3</f>
        <v>104.77669079223708</v>
      </c>
      <c r="C9" s="97">
        <f>100+$A$8^2+(C21-$A$2)*(1+5*$A$8)/$A$3</f>
        <v>105.86399184836652</v>
      </c>
      <c r="D9" s="97">
        <f t="shared" si="0"/>
        <v>104.6303969779191</v>
      </c>
      <c r="E9" s="97">
        <f t="shared" si="0"/>
        <v>103.83650479673673</v>
      </c>
      <c r="F9" s="97">
        <f t="shared" si="0"/>
        <v>102.8698148336682</v>
      </c>
    </row>
    <row r="10" spans="1:8" ht="21" customHeight="1">
      <c r="A10" s="6"/>
      <c r="B10" s="97">
        <f t="shared" ref="B10:F16" si="1">100+$A$8^2+(B22-$A$2)*(1+5*$A$8)/$A$3</f>
        <v>101.69981960050413</v>
      </c>
      <c r="C10" s="97">
        <f t="shared" si="1"/>
        <v>101.38925336481773</v>
      </c>
      <c r="D10" s="97">
        <f t="shared" si="1"/>
        <v>102.12199127127364</v>
      </c>
      <c r="E10" s="97">
        <f t="shared" si="1"/>
        <v>102.67657344337479</v>
      </c>
      <c r="F10" s="97">
        <f t="shared" si="1"/>
        <v>101.62897279528003</v>
      </c>
      <c r="G10" s="98"/>
      <c r="H10" s="99"/>
    </row>
    <row r="11" spans="1:8" ht="21" customHeight="1">
      <c r="B11" s="97">
        <f t="shared" si="1"/>
        <v>100.8749852218279</v>
      </c>
      <c r="C11" s="97">
        <f t="shared" si="1"/>
        <v>99.795893403209703</v>
      </c>
      <c r="D11" s="97">
        <f t="shared" si="1"/>
        <v>100.29175638433502</v>
      </c>
      <c r="E11" s="97">
        <f t="shared" si="1"/>
        <v>99.685991197251866</v>
      </c>
      <c r="F11" s="97">
        <f t="shared" si="1"/>
        <v>98.891628834448227</v>
      </c>
      <c r="G11" s="100"/>
    </row>
    <row r="12" spans="1:8" ht="21" customHeight="1">
      <c r="B12" s="97">
        <f t="shared" si="1"/>
        <v>98.283825508402572</v>
      </c>
      <c r="C12" s="97">
        <f t="shared" si="1"/>
        <v>97.426804104728944</v>
      </c>
      <c r="D12" s="97">
        <f t="shared" si="1"/>
        <v>96.736551815868154</v>
      </c>
      <c r="E12" s="97">
        <f t="shared" si="1"/>
        <v>97.75320446735526</v>
      </c>
      <c r="F12" s="97">
        <f t="shared" si="1"/>
        <v>99.032177162522657</v>
      </c>
    </row>
    <row r="13" spans="1:8" ht="21" customHeight="1">
      <c r="B13" s="97">
        <f t="shared" si="1"/>
        <v>98.176773103254448</v>
      </c>
      <c r="C13" s="97">
        <f t="shared" si="1"/>
        <v>99.255094362616262</v>
      </c>
      <c r="D13" s="97">
        <f t="shared" si="1"/>
        <v>98.0073102810222</v>
      </c>
      <c r="E13" s="97">
        <f t="shared" si="1"/>
        <v>98.054784166061552</v>
      </c>
      <c r="F13" s="97">
        <f t="shared" si="1"/>
        <v>96.807973283126017</v>
      </c>
    </row>
    <row r="14" spans="1:8" ht="21" customHeight="1">
      <c r="B14" s="97">
        <f t="shared" si="1"/>
        <v>96.826563051796029</v>
      </c>
      <c r="C14" s="97">
        <f t="shared" si="1"/>
        <v>96.143347152140691</v>
      </c>
      <c r="D14" s="97">
        <f t="shared" si="1"/>
        <v>97.305784508068569</v>
      </c>
      <c r="E14" s="97">
        <f t="shared" si="1"/>
        <v>97.238727778154768</v>
      </c>
      <c r="F14" s="97">
        <f t="shared" si="1"/>
        <v>96.210837188565392</v>
      </c>
    </row>
    <row r="15" spans="1:8" ht="21" customHeight="1">
      <c r="B15" s="97">
        <f t="shared" si="1"/>
        <v>96.11385286642016</v>
      </c>
      <c r="C15" s="97">
        <f t="shared" si="1"/>
        <v>96.370445670723967</v>
      </c>
      <c r="D15" s="97">
        <f t="shared" si="1"/>
        <v>97.566376598266615</v>
      </c>
      <c r="E15" s="97"/>
      <c r="F15" s="97">
        <f t="shared" si="1"/>
        <v>98.536371900058725</v>
      </c>
    </row>
    <row r="16" spans="1:8" ht="21" customHeight="1">
      <c r="B16" s="97">
        <f t="shared" si="1"/>
        <v>99.546301315474906</v>
      </c>
      <c r="C16" s="97">
        <f t="shared" si="1"/>
        <v>100.75352070439138</v>
      </c>
      <c r="D16" s="97">
        <f t="shared" si="1"/>
        <v>102.03348326172461</v>
      </c>
      <c r="E16" s="101"/>
      <c r="F16" s="97">
        <f t="shared" si="1"/>
        <v>102.33155204037679</v>
      </c>
    </row>
    <row r="17" spans="2:8" ht="21" customHeight="1">
      <c r="B17" s="102"/>
      <c r="C17" s="102"/>
      <c r="D17" s="102">
        <f>100+$A$8^2+(E28-$A$2)*(1+5*$A$8)/$A$3</f>
        <v>101.14502326795443</v>
      </c>
      <c r="E17" s="102"/>
      <c r="F17" s="102"/>
    </row>
    <row r="18" spans="2:8">
      <c r="B18" s="22"/>
      <c r="C18" s="22"/>
      <c r="D18" s="22"/>
      <c r="E18" s="22"/>
      <c r="F18" s="22"/>
    </row>
    <row r="19" spans="2:8">
      <c r="B19" s="19"/>
      <c r="C19" s="20"/>
      <c r="H19" s="23"/>
    </row>
    <row r="20" spans="2:8">
      <c r="B20" s="6">
        <f>A8+$A$5-$A$4*SIN(2*A8*PI())/PI()</f>
        <v>-4.5201509468432013</v>
      </c>
      <c r="C20" s="6">
        <f>B20+$A$5-$A$4*SIN(2*B20*PI())/PI()</f>
        <v>-5.224036996594168</v>
      </c>
      <c r="D20" s="6">
        <f>C20+$A$5-$A$4*SIN(2*C20*PI())/PI()</f>
        <v>1.1576413265387053</v>
      </c>
      <c r="E20" s="6">
        <f t="shared" ref="E20:F20" si="2">D20+$A$5-$A$4*SIN(2*D20*PI())/PI()</f>
        <v>-4.0663751564120414</v>
      </c>
      <c r="F20" s="6">
        <f t="shared" si="2"/>
        <v>-1.3876659173389294</v>
      </c>
    </row>
    <row r="21" spans="2:8">
      <c r="B21" s="6">
        <f>F20+$A$5-$A$4*SIN(2*F20*PI())/PI()</f>
        <v>2.8417999424654883</v>
      </c>
      <c r="C21" s="6">
        <f>B21+$A$5-$A$4*SIN(2*B21*PI())/PI()</f>
        <v>8.2780372432831371</v>
      </c>
      <c r="D21" s="6">
        <f t="shared" ref="D21:F22" si="3">C21+$A$5-$A$4*SIN(2*C21*PI())/PI()</f>
        <v>2.1103669269350478</v>
      </c>
      <c r="E21" s="6">
        <f t="shared" si="3"/>
        <v>-1.8588983136730364</v>
      </c>
      <c r="F21" s="6">
        <f t="shared" si="3"/>
        <v>-6.6921098753966026</v>
      </c>
      <c r="G21" s="23"/>
    </row>
    <row r="22" spans="2:8">
      <c r="B22" s="6">
        <f>F21+$A$5-$A$4*SIN(2*F21*PI())/PI()</f>
        <v>-12.541797680305802</v>
      </c>
      <c r="C22" s="6">
        <f>B22+$A$5-$A$4*SIN(2*B22*PI())/PI()</f>
        <v>-14.094552315551846</v>
      </c>
      <c r="D22" s="6">
        <f t="shared" si="3"/>
        <v>-10.431043376290424</v>
      </c>
      <c r="E22" s="6">
        <f t="shared" si="3"/>
        <v>-7.6582691999487906</v>
      </c>
      <c r="F22" s="6">
        <f t="shared" si="3"/>
        <v>-12.89601424528737</v>
      </c>
    </row>
    <row r="23" spans="2:8">
      <c r="B23" s="6">
        <f>F22+$A$5-$A$4*SIN(2*F22*PI())/PI()</f>
        <v>-16.665766282266379</v>
      </c>
      <c r="C23" s="6">
        <f t="shared" ref="C23:F28" si="4">B23+$A$5-$A$4*SIN(2*B23*PI())/PI()</f>
        <v>-22.060959418803705</v>
      </c>
      <c r="D23" s="6">
        <f t="shared" si="4"/>
        <v>-19.581766725214372</v>
      </c>
      <c r="E23" s="6">
        <f t="shared" si="4"/>
        <v>-22.61044336173013</v>
      </c>
      <c r="F23" s="6">
        <f t="shared" si="4"/>
        <v>-26.582059394562066</v>
      </c>
    </row>
    <row r="24" spans="2:8">
      <c r="B24" s="6">
        <f>F23+$A$5-$A$4*SIN(2*F23*PI())/PI()</f>
        <v>-29.620926223563796</v>
      </c>
      <c r="C24" s="6">
        <f t="shared" si="4"/>
        <v>-33.905822017590303</v>
      </c>
      <c r="D24" s="6">
        <f t="shared" si="4"/>
        <v>-37.356913340022579</v>
      </c>
      <c r="E24" s="6">
        <f t="shared" si="4"/>
        <v>-32.273900650176202</v>
      </c>
      <c r="F24" s="6">
        <f t="shared" si="4"/>
        <v>-25.87935239419761</v>
      </c>
    </row>
    <row r="25" spans="2:8">
      <c r="B25" s="6">
        <f t="shared" ref="B25:B28" si="5">F24+$A$5-$A$4*SIN(2*F24*PI())/PI()</f>
        <v>-30.156161864813136</v>
      </c>
      <c r="C25" s="6">
        <f t="shared" si="4"/>
        <v>-24.764821334643162</v>
      </c>
      <c r="D25" s="6">
        <f t="shared" si="4"/>
        <v>-31.003434209604318</v>
      </c>
      <c r="E25" s="6">
        <f t="shared" si="4"/>
        <v>-30.766076484978925</v>
      </c>
      <c r="F25" s="6">
        <f t="shared" si="4"/>
        <v>-36.999823606505238</v>
      </c>
    </row>
    <row r="26" spans="2:8">
      <c r="B26" s="6">
        <f t="shared" si="5"/>
        <v>-36.906879344851312</v>
      </c>
      <c r="C26" s="6">
        <f t="shared" si="4"/>
        <v>-40.322790455468166</v>
      </c>
      <c r="D26" s="6">
        <f t="shared" si="4"/>
        <v>-34.510890174000444</v>
      </c>
      <c r="E26" s="6">
        <f t="shared" si="4"/>
        <v>-34.846157296545073</v>
      </c>
      <c r="F26" s="6">
        <f t="shared" si="4"/>
        <v>-39.985356907163236</v>
      </c>
    </row>
    <row r="27" spans="2:8">
      <c r="B27" s="6">
        <f t="shared" si="5"/>
        <v>-40.470254614811189</v>
      </c>
      <c r="C27" s="6">
        <f t="shared" si="4"/>
        <v>-39.187353834006998</v>
      </c>
      <c r="D27" s="6">
        <f t="shared" si="4"/>
        <v>-33.207993949402308</v>
      </c>
      <c r="E27" s="6">
        <f t="shared" si="4"/>
        <v>-26.962246692105374</v>
      </c>
      <c r="F27" s="6">
        <f t="shared" si="4"/>
        <v>-28.358256508705526</v>
      </c>
    </row>
    <row r="28" spans="2:8">
      <c r="B28" s="6">
        <f t="shared" si="5"/>
        <v>-23.308858342182727</v>
      </c>
      <c r="C28" s="6">
        <f t="shared" si="4"/>
        <v>-17.2730589329006</v>
      </c>
      <c r="D28" s="6">
        <f t="shared" si="4"/>
        <v>-10.873561610057573</v>
      </c>
      <c r="E28" s="6">
        <f t="shared" si="4"/>
        <v>-15.315642606107495</v>
      </c>
      <c r="F28" s="6">
        <f t="shared" si="4"/>
        <v>-9.3832911798178742</v>
      </c>
    </row>
  </sheetData>
  <sheetProtection password="EE22" sheet="1" objects="1" scenarios="1"/>
  <phoneticPr fontId="13" type="noConversion"/>
  <pageMargins left="0.70078740157480324" right="0.70078740157480324" top="0.75196850393700787" bottom="0.75196850393700787" header="0.29921259842519687" footer="0.29921259842519687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55"/>
  <sheetViews>
    <sheetView tabSelected="1" zoomScale="150" workbookViewId="0">
      <selection activeCell="H9" sqref="H9"/>
    </sheetView>
  </sheetViews>
  <sheetFormatPr baseColWidth="10" defaultColWidth="8.83203125" defaultRowHeight="13"/>
  <cols>
    <col min="1" max="2" width="7.5" style="8" customWidth="1"/>
    <col min="3" max="3" width="9.1640625" style="8" customWidth="1"/>
    <col min="4" max="4" width="9.1640625" style="20" customWidth="1"/>
    <col min="5" max="9" width="9.1640625" style="8" customWidth="1"/>
    <col min="10" max="16384" width="8.83203125" style="8"/>
  </cols>
  <sheetData>
    <row r="1" spans="1:9" ht="16">
      <c r="A1" s="6">
        <f>MIN(A9:A46,B31:G45)</f>
        <v>-40.470254614811189</v>
      </c>
      <c r="B1" s="21" t="s">
        <v>0</v>
      </c>
      <c r="C1" s="20"/>
      <c r="D1" s="8"/>
    </row>
    <row r="2" spans="1:9" ht="16">
      <c r="A2" s="6">
        <f>AVERAGE(A31:G45)</f>
        <v>-15.457772683052541</v>
      </c>
      <c r="B2" s="21"/>
      <c r="C2" s="20"/>
      <c r="D2" s="8"/>
    </row>
    <row r="3" spans="1:9" ht="16">
      <c r="A3" s="6">
        <f>STDEV(A31:G45)</f>
        <v>15.396218561456047</v>
      </c>
      <c r="B3" s="21" t="s">
        <v>3</v>
      </c>
      <c r="C3" s="20"/>
      <c r="D3" s="8"/>
    </row>
    <row r="4" spans="1:9" ht="15">
      <c r="A4" s="6">
        <v>20</v>
      </c>
      <c r="B4" s="28"/>
      <c r="C4" s="20"/>
      <c r="D4" s="8"/>
    </row>
    <row r="5" spans="1:9" ht="16">
      <c r="A5" s="6">
        <v>0.1</v>
      </c>
      <c r="B5" s="21" t="s">
        <v>42</v>
      </c>
      <c r="C5" s="20"/>
      <c r="D5" s="8"/>
    </row>
    <row r="6" spans="1:9">
      <c r="A6" s="6"/>
      <c r="C6" s="103" t="s">
        <v>9</v>
      </c>
      <c r="D6" s="104" t="s">
        <v>10</v>
      </c>
      <c r="E6" s="103" t="s">
        <v>6</v>
      </c>
      <c r="F6" s="104" t="s">
        <v>7</v>
      </c>
      <c r="G6" s="103" t="s">
        <v>8</v>
      </c>
    </row>
    <row r="7" spans="1:9">
      <c r="A7" s="6"/>
      <c r="B7" s="105"/>
      <c r="C7" s="106">
        <f>150+$A$8^2+(A9-$A$2)*(1+5*$A$8)/$A$3</f>
        <v>152.10654924004737</v>
      </c>
      <c r="D7" s="106">
        <f>151+$A$8^2+(A34-$A$2)*(1+5*$A$8)/$A$3</f>
        <v>148.4680984699537</v>
      </c>
      <c r="E7" s="106">
        <f>149+$A$8^2+(B43-$A$2)*(1+5*$A$8)/$A$3</f>
        <v>153.32280669540754</v>
      </c>
      <c r="F7" s="106">
        <f>150+$A$8^2+(D38-$A$2)*(1+5*$A$8)/$A$3</f>
        <v>150.15210583674457</v>
      </c>
      <c r="G7" s="106">
        <f>148+$A$8^2+(F33-$A$2)*(1+5*$A$8)/$A$3</f>
        <v>146.01074646436737</v>
      </c>
    </row>
    <row r="8" spans="1:9">
      <c r="A8" s="6">
        <f>Reference!E5</f>
        <v>0.35714285714285715</v>
      </c>
      <c r="B8" s="107" t="s">
        <v>11</v>
      </c>
      <c r="C8" s="97">
        <f t="shared" ref="C8:C30" si="0">150+$A$8^2+(A10-$A$2)*(1+5*$A$8)/$A$3</f>
        <v>151.97919164139549</v>
      </c>
      <c r="D8" s="97">
        <f t="shared" ref="D8:D19" si="1">151+$A$8^2+(A35-$A$2)*(1+5*$A$8)/$A$3</f>
        <v>149.4435804867941</v>
      </c>
      <c r="E8" s="97">
        <f t="shared" ref="E8:E9" si="2">149+$A$8^2+(B44-$A$2)*(1+5*$A$8)/$A$3</f>
        <v>154.48253188882424</v>
      </c>
      <c r="F8" s="97">
        <f t="shared" ref="F8:F14" si="3">150+$A$8^2+(D39-$A$2)*(1+5*$A$8)/$A$3</f>
        <v>151.20599918277918</v>
      </c>
      <c r="G8" s="97">
        <f t="shared" ref="G8:G19" si="4">148+$A$8^2+(F34-$A$2)*(1+5*$A$8)/$A$3</f>
        <v>146.98970399646541</v>
      </c>
    </row>
    <row r="9" spans="1:9">
      <c r="A9" s="6">
        <f>A8+$A$5-$A$4*SIN(2*A8*PI())/PI()</f>
        <v>-4.5201509468432013</v>
      </c>
      <c r="B9" s="108"/>
      <c r="C9" s="97">
        <f t="shared" si="0"/>
        <v>153.13386039337658</v>
      </c>
      <c r="D9" s="97">
        <f t="shared" si="1"/>
        <v>148.31479727684876</v>
      </c>
      <c r="E9" s="97">
        <f t="shared" si="2"/>
        <v>153.62056424942463</v>
      </c>
      <c r="F9" s="97">
        <f t="shared" si="3"/>
        <v>151.24324231993239</v>
      </c>
      <c r="G9" s="97">
        <f t="shared" si="4"/>
        <v>145.85621145098932</v>
      </c>
    </row>
    <row r="10" spans="1:9" ht="14">
      <c r="A10" s="6">
        <f t="shared" ref="A10:G32" si="5">A9+$A$5-$A$4*SIN(2*A9*PI())/PI()</f>
        <v>-5.224036996594168</v>
      </c>
      <c r="B10" s="108"/>
      <c r="C10" s="97">
        <f t="shared" si="0"/>
        <v>152.18865314737172</v>
      </c>
      <c r="D10" s="97">
        <f t="shared" si="1"/>
        <v>148.35774358874178</v>
      </c>
      <c r="E10" s="97">
        <f>149+$A$8^2+(C31-$A$2)*(1+5*$A$8)/$A$3</f>
        <v>152.82123762251462</v>
      </c>
      <c r="F10" s="97">
        <f t="shared" si="3"/>
        <v>152.37423487222949</v>
      </c>
      <c r="G10" s="97">
        <f t="shared" si="4"/>
        <v>145.95472320239568</v>
      </c>
      <c r="H10" s="98"/>
      <c r="I10" s="99"/>
    </row>
    <row r="11" spans="1:9" ht="14">
      <c r="A11" s="6">
        <f t="shared" si="5"/>
        <v>1.1576413265387053</v>
      </c>
      <c r="B11" s="108"/>
      <c r="C11" s="97">
        <f t="shared" si="0"/>
        <v>152.673325313123</v>
      </c>
      <c r="D11" s="97">
        <f t="shared" si="1"/>
        <v>147.22984076372995</v>
      </c>
      <c r="E11" s="97">
        <f t="shared" ref="E11:E25" si="6">149+$A$8^2+(C32-$A$2)*(1+5*$A$8)/$A$3</f>
        <v>153.14906393727273</v>
      </c>
      <c r="F11" s="97">
        <f t="shared" si="3"/>
        <v>152.68364305500711</v>
      </c>
      <c r="G11" s="97">
        <f t="shared" si="4"/>
        <v>146.21234297413309</v>
      </c>
      <c r="H11" s="100"/>
    </row>
    <row r="12" spans="1:9">
      <c r="A12" s="6">
        <f t="shared" si="5"/>
        <v>-4.0663751564120414</v>
      </c>
      <c r="B12" s="108"/>
      <c r="C12" s="97">
        <f t="shared" si="0"/>
        <v>153.43858357570014</v>
      </c>
      <c r="D12" s="97">
        <f t="shared" si="1"/>
        <v>147.24665763057493</v>
      </c>
      <c r="E12" s="97">
        <f t="shared" si="6"/>
        <v>154.311238225377</v>
      </c>
      <c r="F12" s="97">
        <f t="shared" si="3"/>
        <v>153.70888169714635</v>
      </c>
      <c r="G12" s="97">
        <f t="shared" si="4"/>
        <v>146.53672716407908</v>
      </c>
    </row>
    <row r="13" spans="1:9">
      <c r="A13" s="6">
        <f t="shared" si="5"/>
        <v>-1.3876659173389294</v>
      </c>
      <c r="B13" s="108"/>
      <c r="C13" s="97">
        <f t="shared" si="0"/>
        <v>154.42218898822219</v>
      </c>
      <c r="D13" s="97">
        <f t="shared" si="1"/>
        <v>146.62859986908032</v>
      </c>
      <c r="E13" s="97">
        <f t="shared" si="6"/>
        <v>153.25394381022656</v>
      </c>
      <c r="F13" s="97">
        <f t="shared" si="3"/>
        <v>152.7380896444225</v>
      </c>
      <c r="G13" s="97">
        <f t="shared" si="4"/>
        <v>147.70668842659143</v>
      </c>
    </row>
    <row r="14" spans="1:9">
      <c r="A14" s="6">
        <f t="shared" si="5"/>
        <v>2.8417999424654883</v>
      </c>
      <c r="B14" s="109"/>
      <c r="C14" s="102">
        <f t="shared" si="0"/>
        <v>153.30624176772483</v>
      </c>
      <c r="D14" s="102">
        <f t="shared" si="1"/>
        <v>147.6801758503257</v>
      </c>
      <c r="E14" s="102">
        <f t="shared" si="6"/>
        <v>152.33244100233352</v>
      </c>
      <c r="F14" s="102">
        <f t="shared" si="3"/>
        <v>152.970054356605</v>
      </c>
      <c r="G14" s="102">
        <f t="shared" si="4"/>
        <v>146.5988169042559</v>
      </c>
    </row>
    <row r="15" spans="1:9">
      <c r="A15" s="6">
        <f t="shared" si="5"/>
        <v>8.2780372432831371</v>
      </c>
      <c r="B15" s="107"/>
      <c r="C15" s="97">
        <f t="shared" si="0"/>
        <v>152.58806289539882</v>
      </c>
      <c r="D15" s="97">
        <f t="shared" si="1"/>
        <v>147.61951430482512</v>
      </c>
      <c r="E15" s="97">
        <f t="shared" si="6"/>
        <v>151.19927349423392</v>
      </c>
      <c r="F15" s="97">
        <f t="shared" ref="F15:F29" si="7">151+$A$8^2+(E31-$A$2)*(1+5*$A$8)/$A$3</f>
        <v>152.83640144019239</v>
      </c>
      <c r="G15" s="97">
        <f t="shared" si="4"/>
        <v>145.98060200641098</v>
      </c>
    </row>
    <row r="16" spans="1:9">
      <c r="A16" s="6">
        <f t="shared" si="5"/>
        <v>2.1103669269350478</v>
      </c>
      <c r="B16" s="107" t="s">
        <v>12</v>
      </c>
      <c r="C16" s="97">
        <f t="shared" si="0"/>
        <v>151.7135659246245</v>
      </c>
      <c r="D16" s="97">
        <f t="shared" si="1"/>
        <v>146.68965339675273</v>
      </c>
      <c r="E16" s="97">
        <f t="shared" si="6"/>
        <v>151.27291503092127</v>
      </c>
      <c r="F16" s="97">
        <f t="shared" si="7"/>
        <v>152.95003948885289</v>
      </c>
      <c r="G16" s="97">
        <f t="shared" si="4"/>
        <v>147.02947124610128</v>
      </c>
    </row>
    <row r="17" spans="1:9">
      <c r="A17" s="6">
        <f t="shared" si="5"/>
        <v>-1.8588983136730364</v>
      </c>
      <c r="B17" s="108"/>
      <c r="C17" s="97">
        <f t="shared" si="0"/>
        <v>150.65515285910075</v>
      </c>
      <c r="D17" s="97">
        <f t="shared" si="1"/>
        <v>146.60191844638729</v>
      </c>
      <c r="E17" s="97">
        <f t="shared" si="6"/>
        <v>150.61002573729968</v>
      </c>
      <c r="F17" s="97">
        <f t="shared" si="7"/>
        <v>153.72902680662369</v>
      </c>
      <c r="G17" s="97">
        <f t="shared" si="4"/>
        <v>146.85528595389073</v>
      </c>
    </row>
    <row r="18" spans="1:9">
      <c r="A18" s="6">
        <f t="shared" si="5"/>
        <v>-6.6921098753966026</v>
      </c>
      <c r="B18" s="108"/>
      <c r="C18" s="97">
        <f t="shared" si="0"/>
        <v>150.37420525158609</v>
      </c>
      <c r="D18" s="97">
        <f t="shared" si="1"/>
        <v>146.83404005585749</v>
      </c>
      <c r="E18" s="97">
        <f t="shared" si="6"/>
        <v>151.77530113514138</v>
      </c>
      <c r="F18" s="97">
        <f t="shared" si="7"/>
        <v>154.30084568258127</v>
      </c>
      <c r="G18" s="97">
        <f t="shared" si="4"/>
        <v>146.95012636723507</v>
      </c>
    </row>
    <row r="19" spans="1:9">
      <c r="A19" s="6">
        <f t="shared" si="5"/>
        <v>-12.541797680305802</v>
      </c>
      <c r="B19" s="108"/>
      <c r="C19" s="97">
        <f t="shared" si="0"/>
        <v>151.03706211784882</v>
      </c>
      <c r="D19" s="97">
        <f t="shared" si="1"/>
        <v>147.9159153347438</v>
      </c>
      <c r="E19" s="97">
        <f t="shared" si="6"/>
        <v>150.76400579542599</v>
      </c>
      <c r="F19" s="97">
        <f t="shared" si="7"/>
        <v>153.76057837000283</v>
      </c>
      <c r="G19" s="97">
        <f t="shared" si="4"/>
        <v>146.71849761995657</v>
      </c>
      <c r="I19" s="23"/>
    </row>
    <row r="20" spans="1:9">
      <c r="A20" s="6">
        <f t="shared" si="5"/>
        <v>-14.094552315551846</v>
      </c>
      <c r="B20" s="107"/>
      <c r="C20" s="97">
        <f t="shared" si="0"/>
        <v>151.53875391984957</v>
      </c>
      <c r="D20" s="97">
        <f t="shared" ref="D20:D30" si="8">152+$A$8^2+(B31-$A$2)*(1+5*$A$8)/$A$3</f>
        <v>150.04598940391625</v>
      </c>
      <c r="E20" s="97">
        <f t="shared" si="6"/>
        <v>151.37877897289894</v>
      </c>
      <c r="F20" s="97">
        <f t="shared" si="7"/>
        <v>153.13381180616909</v>
      </c>
      <c r="G20" s="97">
        <f>149+$A$8^2+(G31-$A$2)*(1+5*$A$8)/$A$3</f>
        <v>148.8879770138154</v>
      </c>
    </row>
    <row r="21" spans="1:9">
      <c r="A21" s="6">
        <f t="shared" si="5"/>
        <v>-10.431043376290424</v>
      </c>
      <c r="B21" s="108"/>
      <c r="C21" s="97">
        <f t="shared" si="0"/>
        <v>150.59106269687248</v>
      </c>
      <c r="D21" s="97">
        <f t="shared" si="8"/>
        <v>149.79340241487233</v>
      </c>
      <c r="E21" s="97">
        <f t="shared" si="6"/>
        <v>151.50944160617655</v>
      </c>
      <c r="F21" s="97">
        <f t="shared" si="7"/>
        <v>153.99417773786078</v>
      </c>
      <c r="G21" s="97">
        <f t="shared" ref="G21:G30" si="9">200+$A$8^2+(G32-$A$2)*(1+5*$A$8)/$A$3</f>
        <v>198.77720762590741</v>
      </c>
      <c r="H21" s="23"/>
    </row>
    <row r="22" spans="1:9">
      <c r="A22" s="6">
        <f t="shared" si="5"/>
        <v>-7.6582691999487906</v>
      </c>
      <c r="B22" s="110"/>
      <c r="C22" s="102">
        <f t="shared" si="0"/>
        <v>149.90898273931049</v>
      </c>
      <c r="D22" s="102">
        <f t="shared" si="8"/>
        <v>150.70701510168857</v>
      </c>
      <c r="E22" s="102">
        <f t="shared" si="6"/>
        <v>152.63679007923312</v>
      </c>
      <c r="F22" s="102">
        <f t="shared" si="7"/>
        <v>153.25398931074614</v>
      </c>
      <c r="G22" s="102">
        <f t="shared" si="9"/>
        <v>198.24619652042466</v>
      </c>
    </row>
    <row r="23" spans="1:9">
      <c r="A23" s="6">
        <f t="shared" si="5"/>
        <v>-12.89601424528737</v>
      </c>
      <c r="B23" s="108"/>
      <c r="C23" s="97">
        <f t="shared" si="0"/>
        <v>148.93280365126705</v>
      </c>
      <c r="D23" s="97">
        <f t="shared" si="8"/>
        <v>151.7991022640673</v>
      </c>
      <c r="E23" s="97">
        <f t="shared" si="6"/>
        <v>153.09730793152971</v>
      </c>
      <c r="F23" s="97">
        <f t="shared" si="7"/>
        <v>152.16540359559866</v>
      </c>
      <c r="G23" s="97">
        <f t="shared" si="9"/>
        <v>197.35739460514091</v>
      </c>
    </row>
    <row r="24" spans="1:9">
      <c r="A24" s="6">
        <f t="shared" si="5"/>
        <v>-16.665766282266379</v>
      </c>
      <c r="B24" s="107" t="s">
        <v>13</v>
      </c>
      <c r="C24" s="97">
        <f t="shared" si="0"/>
        <v>149.38137629759595</v>
      </c>
      <c r="D24" s="97">
        <f t="shared" si="8"/>
        <v>152.95699509615946</v>
      </c>
      <c r="E24" s="97">
        <f t="shared" si="6"/>
        <v>152.98877991619636</v>
      </c>
      <c r="F24" s="97">
        <f t="shared" si="7"/>
        <v>151.04976614330144</v>
      </c>
      <c r="G24" s="97">
        <f t="shared" si="9"/>
        <v>196.23098355737417</v>
      </c>
    </row>
    <row r="25" spans="1:9">
      <c r="A25" s="6">
        <f t="shared" si="5"/>
        <v>-22.060959418803705</v>
      </c>
      <c r="B25" s="108"/>
      <c r="C25" s="97">
        <f t="shared" si="0"/>
        <v>148.83338279260161</v>
      </c>
      <c r="D25" s="97">
        <f t="shared" si="8"/>
        <v>152.15326732108258</v>
      </c>
      <c r="E25" s="97">
        <f t="shared" si="6"/>
        <v>151.92440259903574</v>
      </c>
      <c r="F25" s="97">
        <f t="shared" si="7"/>
        <v>150.32076061145528</v>
      </c>
      <c r="G25" s="97">
        <f t="shared" si="9"/>
        <v>196.20210170921627</v>
      </c>
    </row>
    <row r="26" spans="1:9">
      <c r="A26" s="6">
        <f t="shared" si="5"/>
        <v>-19.581766725214372</v>
      </c>
      <c r="B26" s="107"/>
      <c r="C26" s="97">
        <f t="shared" si="0"/>
        <v>148.11477857976394</v>
      </c>
      <c r="D26" s="97">
        <f t="shared" si="8"/>
        <v>153.22663712615045</v>
      </c>
      <c r="E26" s="97">
        <f t="shared" ref="E26:E30" si="10">150+$A$8^2+(D32-$A$2)*(1+5*$A$8)/$A$3</f>
        <v>153.65117748765417</v>
      </c>
      <c r="F26" s="97">
        <f t="shared" si="7"/>
        <v>149.76363316213386</v>
      </c>
      <c r="G26" s="97">
        <f t="shared" si="9"/>
        <v>197.16522285422766</v>
      </c>
    </row>
    <row r="27" spans="1:9">
      <c r="A27" s="6">
        <f t="shared" si="5"/>
        <v>-22.61044336173013</v>
      </c>
      <c r="B27" s="108"/>
      <c r="C27" s="97">
        <f t="shared" si="0"/>
        <v>147.56494131263614</v>
      </c>
      <c r="D27" s="97">
        <f t="shared" si="8"/>
        <v>154.01570729524269</v>
      </c>
      <c r="E27" s="97">
        <f t="shared" si="10"/>
        <v>153.54809466908688</v>
      </c>
      <c r="F27" s="97">
        <f t="shared" si="7"/>
        <v>149.75233837892097</v>
      </c>
      <c r="G27" s="97">
        <f t="shared" si="9"/>
        <v>196.17430812319179</v>
      </c>
    </row>
    <row r="28" spans="1:9">
      <c r="A28" s="6">
        <f t="shared" si="5"/>
        <v>-26.582059394562066</v>
      </c>
      <c r="B28" s="108"/>
      <c r="C28" s="97">
        <f t="shared" si="0"/>
        <v>146.78965383678155</v>
      </c>
      <c r="D28" s="97">
        <f t="shared" si="8"/>
        <v>154.19409774151663</v>
      </c>
      <c r="E28" s="97">
        <f t="shared" si="10"/>
        <v>153.19000574769737</v>
      </c>
      <c r="F28" s="97">
        <f t="shared" si="7"/>
        <v>150.18342813309161</v>
      </c>
      <c r="G28" s="97">
        <f t="shared" si="9"/>
        <v>197.271831182006</v>
      </c>
    </row>
    <row r="29" spans="1:9">
      <c r="A29" s="6">
        <f t="shared" si="5"/>
        <v>-29.620926223563796</v>
      </c>
      <c r="B29" s="108"/>
      <c r="C29" s="97">
        <f t="shared" si="0"/>
        <v>146.16523074484962</v>
      </c>
      <c r="D29" s="97">
        <f t="shared" si="8"/>
        <v>154.47252213292722</v>
      </c>
      <c r="E29" s="97">
        <f t="shared" si="10"/>
        <v>152.9776920549825</v>
      </c>
      <c r="F29" s="97">
        <f t="shared" si="7"/>
        <v>149.17259709072138</v>
      </c>
      <c r="G29" s="97">
        <f t="shared" si="9"/>
        <v>198.43991064011198</v>
      </c>
    </row>
    <row r="30" spans="1:9">
      <c r="A30" s="6">
        <f t="shared" si="5"/>
        <v>-33.905822017590303</v>
      </c>
      <c r="B30" s="110"/>
      <c r="C30" s="102">
        <f t="shared" si="0"/>
        <v>147.08492547430876</v>
      </c>
      <c r="D30" s="102">
        <f t="shared" si="8"/>
        <v>154.50889284264136</v>
      </c>
      <c r="E30" s="102">
        <f t="shared" si="10"/>
        <v>151.88869544378952</v>
      </c>
      <c r="F30" s="102">
        <f>151+$A$8^2+(F31-$A$2)*(1+5*$A$8)/$A$3</f>
        <v>150.33900452864316</v>
      </c>
      <c r="G30" s="102">
        <f t="shared" si="9"/>
        <v>197.33404153529895</v>
      </c>
    </row>
    <row r="31" spans="1:9">
      <c r="A31" s="6">
        <f t="shared" si="5"/>
        <v>-37.356913340022579</v>
      </c>
      <c r="B31" s="6">
        <f>A46+$A$5-$A$4*SIN(2*A46*PI())/PI()</f>
        <v>-26.962246692105374</v>
      </c>
      <c r="C31" s="6">
        <f>B45+$A$5-$A$4*SIN(2*B45*PI())/PI()</f>
        <v>4.956670576684453</v>
      </c>
      <c r="D31" s="6">
        <f>C45+$A$5-$A$4*SIN(2*C45*PI())/PI()</f>
        <v>10.262703411501965</v>
      </c>
      <c r="E31" s="6">
        <f>D45+$A$5-$A$4*SIN(2*D45*PI())/PI()</f>
        <v>-6.0132166900864821</v>
      </c>
      <c r="F31" s="6">
        <f>E45+$A$5-$A$4*SIN(2*E45*PI())/PI()</f>
        <v>-19.815949038518312</v>
      </c>
      <c r="G31" s="6">
        <f>F45+$A$5-$A$4*SIN(2*F45*PI())/PI()</f>
        <v>-16.781861727669028</v>
      </c>
    </row>
    <row r="32" spans="1:9">
      <c r="A32" s="6">
        <f t="shared" si="5"/>
        <v>-32.273900650176202</v>
      </c>
      <c r="B32" s="6">
        <f t="shared" si="5"/>
        <v>-28.358256508705526</v>
      </c>
      <c r="C32" s="6">
        <f t="shared" si="5"/>
        <v>6.7685166867093534</v>
      </c>
      <c r="D32" s="6">
        <f t="shared" si="5"/>
        <v>4.0167741133861092</v>
      </c>
      <c r="E32" s="6">
        <f t="shared" si="5"/>
        <v>-5.3851565034957005</v>
      </c>
      <c r="F32" s="6">
        <f t="shared" si="5"/>
        <v>-25.54337631791973</v>
      </c>
      <c r="G32" s="6">
        <f t="shared" si="5"/>
        <v>-22.920914951937917</v>
      </c>
    </row>
    <row r="33" spans="1:7">
      <c r="A33" s="6">
        <f t="shared" ref="A33:C46" si="11">A32+$A$5-$A$4*SIN(2*A32*PI())/PI()</f>
        <v>-25.87935239419761</v>
      </c>
      <c r="B33" s="6">
        <f t="shared" si="11"/>
        <v>-23.308858342182727</v>
      </c>
      <c r="C33" s="6">
        <f>C32+$A$5-$A$4*SIN(2*C32*PI())/PI()</f>
        <v>13.191676964817363</v>
      </c>
      <c r="D33" s="6">
        <f t="shared" ref="D33:G45" si="12">D32+$A$5-$A$4*SIN(2*D32*PI())/PI()</f>
        <v>3.4470510758400073</v>
      </c>
      <c r="E33" s="6">
        <f t="shared" si="12"/>
        <v>-1.0798122467258864</v>
      </c>
      <c r="F33" s="6">
        <f t="shared" si="12"/>
        <v>-27.157029051095101</v>
      </c>
      <c r="G33" s="6">
        <f t="shared" si="12"/>
        <v>-25.85573245296402</v>
      </c>
    </row>
    <row r="34" spans="1:7">
      <c r="A34" s="6">
        <f t="shared" si="11"/>
        <v>-30.156161864813136</v>
      </c>
      <c r="B34" s="6">
        <f t="shared" si="11"/>
        <v>-17.2730589329006</v>
      </c>
      <c r="C34" s="6">
        <f t="shared" si="11"/>
        <v>7.3481717701384213</v>
      </c>
      <c r="D34" s="6">
        <f t="shared" si="12"/>
        <v>1.4679481482994556</v>
      </c>
      <c r="E34" s="6">
        <f t="shared" si="12"/>
        <v>2.0805435862311166</v>
      </c>
      <c r="F34" s="6">
        <f t="shared" si="12"/>
        <v>-21.74647987745638</v>
      </c>
      <c r="G34" s="6">
        <f t="shared" si="12"/>
        <v>-30.768005264186829</v>
      </c>
    </row>
    <row r="35" spans="1:7">
      <c r="A35" s="6">
        <f t="shared" si="11"/>
        <v>-24.764821334643162</v>
      </c>
      <c r="B35" s="6">
        <f t="shared" si="11"/>
        <v>-10.873561610057573</v>
      </c>
      <c r="C35" s="6">
        <f t="shared" si="11"/>
        <v>2.2551661061786348</v>
      </c>
      <c r="D35" s="6">
        <f t="shared" si="12"/>
        <v>0.29452270643299383</v>
      </c>
      <c r="E35" s="6">
        <f t="shared" si="12"/>
        <v>-0.90543156158810501</v>
      </c>
      <c r="F35" s="6">
        <f t="shared" si="12"/>
        <v>-28.011120532611152</v>
      </c>
      <c r="G35" s="6">
        <f t="shared" si="12"/>
        <v>-36.993507560093953</v>
      </c>
    </row>
    <row r="36" spans="1:7">
      <c r="A36" s="6">
        <f t="shared" si="11"/>
        <v>-31.003434209604318</v>
      </c>
      <c r="B36" s="6">
        <f>B35+$A$5-$A$4*SIN(2*B35*PI())/PI()</f>
        <v>-15.315642606107495</v>
      </c>
      <c r="C36" s="6">
        <f t="shared" si="11"/>
        <v>-4.0076781169031417</v>
      </c>
      <c r="D36" s="6">
        <f t="shared" si="12"/>
        <v>-5.7241956971713623</v>
      </c>
      <c r="E36" s="6">
        <f t="shared" si="12"/>
        <v>-4.3694748962845331</v>
      </c>
      <c r="F36" s="6">
        <f t="shared" si="12"/>
        <v>-27.466661087038368</v>
      </c>
      <c r="G36" s="6">
        <f t="shared" si="12"/>
        <v>-37.153133135831624</v>
      </c>
    </row>
    <row r="37" spans="1:7">
      <c r="A37" s="6">
        <f t="shared" si="11"/>
        <v>-30.766076484978925</v>
      </c>
      <c r="B37" s="6">
        <f t="shared" si="11"/>
        <v>-9.3832911798178742</v>
      </c>
      <c r="C37" s="6">
        <f t="shared" si="11"/>
        <v>-3.6006725600683755</v>
      </c>
      <c r="D37" s="6">
        <f t="shared" si="12"/>
        <v>-11.906901865661725</v>
      </c>
      <c r="E37" s="6">
        <f t="shared" si="12"/>
        <v>0.38563656474584196</v>
      </c>
      <c r="F37" s="6">
        <f t="shared" si="12"/>
        <v>-26.04283584704088</v>
      </c>
      <c r="G37" s="6">
        <f t="shared" si="12"/>
        <v>-31.830109261560537</v>
      </c>
    </row>
    <row r="38" spans="1:7">
      <c r="A38" s="6">
        <f t="shared" si="11"/>
        <v>-36.999823606505238</v>
      </c>
      <c r="B38" s="6">
        <f t="shared" si="11"/>
        <v>-5.0222205395263622</v>
      </c>
      <c r="C38" s="6">
        <f t="shared" si="11"/>
        <v>-7.2643607204032872</v>
      </c>
      <c r="D38" s="6">
        <f t="shared" si="12"/>
        <v>-15.32206195313659</v>
      </c>
      <c r="E38" s="6">
        <f t="shared" si="12"/>
        <v>-3.7052721328758289</v>
      </c>
      <c r="F38" s="6">
        <f t="shared" si="12"/>
        <v>-24.250013836578002</v>
      </c>
      <c r="G38" s="6">
        <f t="shared" si="12"/>
        <v>-37.306744052512443</v>
      </c>
    </row>
    <row r="39" spans="1:7">
      <c r="A39" s="6">
        <f t="shared" si="11"/>
        <v>-36.906879344851312</v>
      </c>
      <c r="B39" s="6">
        <f t="shared" si="11"/>
        <v>-4.0362837138461973</v>
      </c>
      <c r="C39" s="6">
        <f t="shared" si="11"/>
        <v>-0.8240610811105098</v>
      </c>
      <c r="D39" s="6">
        <f t="shared" si="12"/>
        <v>-9.4973539494395069</v>
      </c>
      <c r="E39" s="6">
        <f t="shared" si="12"/>
        <v>-9.7217195766208029</v>
      </c>
      <c r="F39" s="6">
        <f t="shared" si="12"/>
        <v>-17.783816136960617</v>
      </c>
      <c r="G39" s="6">
        <f t="shared" si="12"/>
        <v>-31.240901271579702</v>
      </c>
    </row>
    <row r="40" spans="1:7">
      <c r="A40" s="6">
        <f t="shared" si="11"/>
        <v>-40.322790455468166</v>
      </c>
      <c r="B40" s="6">
        <f t="shared" si="11"/>
        <v>-2.4974745096930189</v>
      </c>
      <c r="C40" s="6">
        <f t="shared" si="11"/>
        <v>-6.4133363920377198</v>
      </c>
      <c r="D40" s="6">
        <f t="shared" si="12"/>
        <v>-9.2915168029433755</v>
      </c>
      <c r="E40" s="6">
        <f t="shared" si="12"/>
        <v>-15.887677851307876</v>
      </c>
      <c r="F40" s="6">
        <f t="shared" si="12"/>
        <v>-23.906853299588093</v>
      </c>
      <c r="G40" s="6">
        <f t="shared" si="12"/>
        <v>-24.785104018296316</v>
      </c>
    </row>
    <row r="41" spans="1:7">
      <c r="A41" s="6">
        <f t="shared" si="11"/>
        <v>-34.510890174000444</v>
      </c>
      <c r="B41" s="6">
        <f t="shared" si="11"/>
        <v>-2.296459136772111</v>
      </c>
      <c r="C41" s="6">
        <f t="shared" si="11"/>
        <v>-3.0155786770295019</v>
      </c>
      <c r="D41" s="6">
        <f t="shared" si="12"/>
        <v>-3.0406932293117226</v>
      </c>
      <c r="E41" s="6">
        <f t="shared" si="12"/>
        <v>-19.916780390061561</v>
      </c>
      <c r="F41" s="6">
        <f t="shared" si="12"/>
        <v>-27.323632878879344</v>
      </c>
      <c r="G41" s="6">
        <f t="shared" si="12"/>
        <v>-30.897074124267618</v>
      </c>
    </row>
    <row r="42" spans="1:7">
      <c r="A42" s="6">
        <f t="shared" si="11"/>
        <v>-34.846157296545073</v>
      </c>
      <c r="B42" s="6">
        <f t="shared" si="11"/>
        <v>3.9004201969284891</v>
      </c>
      <c r="C42" s="6">
        <f t="shared" si="11"/>
        <v>-2.293426204296023</v>
      </c>
      <c r="D42" s="6">
        <f t="shared" si="12"/>
        <v>-1.3306413294537858</v>
      </c>
      <c r="E42" s="6">
        <f t="shared" si="12"/>
        <v>-22.99593894567041</v>
      </c>
      <c r="F42" s="6">
        <f t="shared" si="12"/>
        <v>-21.526692345719258</v>
      </c>
      <c r="G42" s="6">
        <f t="shared" si="12"/>
        <v>-34.633076946757882</v>
      </c>
    </row>
    <row r="43" spans="1:7">
      <c r="A43" s="6">
        <f t="shared" si="11"/>
        <v>-39.985356907163236</v>
      </c>
      <c r="B43" s="6">
        <f t="shared" si="11"/>
        <v>7.7287664479399973</v>
      </c>
      <c r="C43" s="6">
        <f t="shared" si="11"/>
        <v>3.9372570984074957</v>
      </c>
      <c r="D43" s="6">
        <f t="shared" si="12"/>
        <v>4.3356964902478827</v>
      </c>
      <c r="E43" s="6">
        <f t="shared" si="12"/>
        <v>-23.058363492165238</v>
      </c>
      <c r="F43" s="6">
        <f t="shared" si="12"/>
        <v>-22.489387925383603</v>
      </c>
      <c r="G43" s="6">
        <f t="shared" si="12"/>
        <v>-39.257215463190796</v>
      </c>
    </row>
    <row r="44" spans="1:7">
      <c r="A44" s="6">
        <f t="shared" si="11"/>
        <v>-40.470254614811189</v>
      </c>
      <c r="B44" s="6">
        <f t="shared" si="11"/>
        <v>14.1383909527345</v>
      </c>
      <c r="C44" s="6">
        <f t="shared" si="11"/>
        <v>6.4824691259909208</v>
      </c>
      <c r="D44" s="6">
        <f t="shared" si="12"/>
        <v>-1.0297233225841955</v>
      </c>
      <c r="E44" s="6">
        <f t="shared" si="12"/>
        <v>-20.675796080693019</v>
      </c>
      <c r="F44" s="6">
        <f t="shared" si="12"/>
        <v>-21.965219406093368</v>
      </c>
      <c r="G44" s="6">
        <f t="shared" si="12"/>
        <v>-32.797559037110503</v>
      </c>
    </row>
    <row r="45" spans="1:7">
      <c r="A45" s="6">
        <f t="shared" si="11"/>
        <v>-39.187353834006998</v>
      </c>
      <c r="B45" s="6">
        <f>B44+$A$5-$A$4*SIN(2*B44*PI())/PI()</f>
        <v>9.3744270971606536</v>
      </c>
      <c r="C45" s="6">
        <f>C44+$A$5-$A$4*SIN(2*C44*PI())/PI()</f>
        <v>5.8826513152834572</v>
      </c>
      <c r="D45" s="6">
        <f>D44+$A$5-$A$4*SIN(2*D44*PI())/PI()</f>
        <v>0.25231031080803634</v>
      </c>
      <c r="E45" s="6">
        <f t="shared" si="12"/>
        <v>-26.262505290911353</v>
      </c>
      <c r="F45" s="6">
        <f t="shared" si="12"/>
        <v>-23.245396212632535</v>
      </c>
      <c r="G45" s="6">
        <f t="shared" si="12"/>
        <v>-38.78163156197013</v>
      </c>
    </row>
    <row r="46" spans="1:7">
      <c r="A46" s="6">
        <f t="shared" si="11"/>
        <v>-33.207993949402308</v>
      </c>
      <c r="C46" s="6"/>
      <c r="E46" s="6"/>
      <c r="F46" s="6"/>
    </row>
    <row r="47" spans="1:7">
      <c r="A47" s="6"/>
      <c r="C47" s="6"/>
      <c r="D47" s="6"/>
      <c r="E47" s="6"/>
      <c r="F47" s="6"/>
    </row>
    <row r="48" spans="1:7">
      <c r="B48" s="6"/>
      <c r="C48" s="6"/>
      <c r="D48" s="6"/>
      <c r="E48" s="6"/>
      <c r="F48" s="6"/>
    </row>
    <row r="49" spans="2:6">
      <c r="B49" s="6"/>
      <c r="C49" s="6"/>
      <c r="D49" s="6"/>
      <c r="E49" s="6"/>
      <c r="F49" s="6"/>
    </row>
    <row r="50" spans="2:6">
      <c r="B50" s="6"/>
      <c r="C50" s="6"/>
      <c r="D50" s="6"/>
      <c r="E50" s="6"/>
      <c r="F50" s="6"/>
    </row>
    <row r="51" spans="2:6">
      <c r="B51" s="6"/>
      <c r="C51" s="6"/>
      <c r="D51" s="6"/>
      <c r="E51" s="6"/>
      <c r="F51" s="6"/>
    </row>
    <row r="52" spans="2:6">
      <c r="C52" s="6"/>
      <c r="D52" s="6"/>
      <c r="E52" s="6"/>
      <c r="F52" s="6"/>
    </row>
    <row r="53" spans="2:6">
      <c r="C53" s="6"/>
      <c r="D53" s="6"/>
      <c r="E53" s="6"/>
      <c r="F53" s="6"/>
    </row>
    <row r="54" spans="2:6">
      <c r="C54" s="6"/>
      <c r="D54" s="6"/>
      <c r="E54" s="6"/>
      <c r="F54" s="6"/>
    </row>
    <row r="55" spans="2:6">
      <c r="C55" s="6"/>
      <c r="D55" s="6"/>
      <c r="E55" s="6"/>
      <c r="F55" s="6"/>
    </row>
  </sheetData>
  <sheetProtection password="EE22" sheet="1" objects="1" scenarios="1"/>
  <phoneticPr fontId="13" type="noConversion"/>
  <pageMargins left="0.70078740157480324" right="0.70078740157480324" top="0.75196850393700787" bottom="0.75196850393700787" header="0.29921259842519687" footer="0.29921259842519687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B1:E20"/>
  <sheetViews>
    <sheetView zoomScale="150" zoomScaleNormal="90" zoomScalePageLayoutView="90" workbookViewId="0">
      <selection activeCell="B18" sqref="B18"/>
    </sheetView>
  </sheetViews>
  <sheetFormatPr baseColWidth="10" defaultColWidth="8.83203125" defaultRowHeight="14"/>
  <cols>
    <col min="1" max="1" width="8.83203125" style="50"/>
    <col min="2" max="2" width="17" style="49" customWidth="1"/>
    <col min="3" max="4" width="8.83203125" style="49"/>
    <col min="5" max="16384" width="8.83203125" style="50"/>
  </cols>
  <sheetData>
    <row r="1" spans="2:5">
      <c r="C1" s="49">
        <v>2</v>
      </c>
    </row>
    <row r="3" spans="2:5">
      <c r="C3" s="49">
        <f>'Dataset 1'!H7</f>
        <v>56</v>
      </c>
    </row>
    <row r="4" spans="2:5">
      <c r="B4" s="49" t="s">
        <v>21</v>
      </c>
      <c r="C4" s="49" t="s">
        <v>16</v>
      </c>
      <c r="E4" s="50" t="s">
        <v>22</v>
      </c>
    </row>
    <row r="5" spans="2:5">
      <c r="B5" t="s">
        <v>43</v>
      </c>
      <c r="C5" s="49">
        <f>VALUE(RIGHT(B5,$C$1))</f>
        <v>42</v>
      </c>
      <c r="D5" s="49">
        <f t="shared" ref="D5:D12" si="0">IF($C$3&gt;C5,1,0)</f>
        <v>1</v>
      </c>
      <c r="E5" s="50">
        <f>(1+SUM(D5:D20))/(2+COUNT(D5:D20))</f>
        <v>0.35714285714285715</v>
      </c>
    </row>
    <row r="6" spans="2:5">
      <c r="B6" t="s">
        <v>44</v>
      </c>
      <c r="C6" s="49">
        <f t="shared" ref="C6:C12" si="1">VALUE(RIGHT(B6,$C$1))</f>
        <v>61</v>
      </c>
      <c r="D6" s="49">
        <f t="shared" si="0"/>
        <v>0</v>
      </c>
    </row>
    <row r="7" spans="2:5">
      <c r="B7" t="s">
        <v>45</v>
      </c>
      <c r="C7" s="49">
        <f t="shared" si="1"/>
        <v>70</v>
      </c>
      <c r="D7" s="49">
        <f t="shared" si="0"/>
        <v>0</v>
      </c>
    </row>
    <row r="8" spans="2:5">
      <c r="B8" t="s">
        <v>46</v>
      </c>
      <c r="C8" s="49">
        <f t="shared" si="1"/>
        <v>72</v>
      </c>
      <c r="D8" s="49">
        <f t="shared" si="0"/>
        <v>0</v>
      </c>
    </row>
    <row r="9" spans="2:5">
      <c r="B9" t="s">
        <v>47</v>
      </c>
      <c r="C9" s="49">
        <f t="shared" si="1"/>
        <v>73</v>
      </c>
      <c r="D9" s="49">
        <f t="shared" si="0"/>
        <v>0</v>
      </c>
    </row>
    <row r="10" spans="2:5">
      <c r="B10" t="s">
        <v>48</v>
      </c>
      <c r="C10" s="49">
        <f t="shared" si="1"/>
        <v>74</v>
      </c>
      <c r="D10" s="49">
        <f t="shared" si="0"/>
        <v>0</v>
      </c>
    </row>
    <row r="11" spans="2:5">
      <c r="B11" s="113" t="s">
        <v>49</v>
      </c>
      <c r="C11" s="49">
        <f t="shared" si="1"/>
        <v>75</v>
      </c>
      <c r="D11" s="49">
        <f t="shared" si="0"/>
        <v>0</v>
      </c>
    </row>
    <row r="12" spans="2:5">
      <c r="B12" s="113" t="s">
        <v>50</v>
      </c>
      <c r="C12" s="49">
        <f t="shared" si="1"/>
        <v>83</v>
      </c>
      <c r="D12" s="49">
        <f t="shared" si="0"/>
        <v>0</v>
      </c>
    </row>
    <row r="13" spans="2:5">
      <c r="B13" s="113" t="s">
        <v>51</v>
      </c>
      <c r="C13" s="49">
        <f t="shared" ref="C13:C16" si="2">VALUE(RIGHT(B13,$C$1))</f>
        <v>34</v>
      </c>
      <c r="D13" s="49">
        <f t="shared" ref="D13:D16" si="3">IF($C$3&gt;C13,1,0)</f>
        <v>1</v>
      </c>
    </row>
    <row r="14" spans="2:5">
      <c r="B14" s="113" t="s">
        <v>52</v>
      </c>
      <c r="C14" s="49">
        <f t="shared" si="2"/>
        <v>83</v>
      </c>
      <c r="D14" s="49">
        <f t="shared" si="3"/>
        <v>0</v>
      </c>
    </row>
    <row r="15" spans="2:5">
      <c r="B15" s="113" t="s">
        <v>53</v>
      </c>
      <c r="C15" s="49">
        <f t="shared" si="2"/>
        <v>2</v>
      </c>
      <c r="D15" s="49">
        <f t="shared" si="3"/>
        <v>1</v>
      </c>
    </row>
    <row r="16" spans="2:5">
      <c r="B16" s="113" t="s">
        <v>54</v>
      </c>
      <c r="C16" s="49">
        <f t="shared" si="2"/>
        <v>34</v>
      </c>
      <c r="D16" s="49">
        <f t="shared" si="3"/>
        <v>1</v>
      </c>
    </row>
    <row r="17" spans="2:2">
      <c r="B17"/>
    </row>
    <row r="18" spans="2:2">
      <c r="B18"/>
    </row>
    <row r="19" spans="2:2">
      <c r="B19"/>
    </row>
    <row r="20" spans="2:2">
      <c r="B20"/>
    </row>
  </sheetData>
  <sheetProtection password="EE22" sheet="1" objects="1" scenarios="1"/>
  <sortState ref="B5:D49">
    <sortCondition ref="C6:C49"/>
  </sortState>
  <phoneticPr fontId="4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 1</vt:lpstr>
      <vt:lpstr>Dataset 2</vt:lpstr>
      <vt:lpstr>Dataset 3</vt:lpstr>
      <vt:lpstr>Dataset 4</vt:lpstr>
      <vt:lpstr>Dataset 5</vt:lpstr>
      <vt:lpstr>Dataset 7</vt:lpstr>
      <vt:lpstr>Reference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Damian</dc:creator>
  <cp:lastModifiedBy>Damian Cox</cp:lastModifiedBy>
  <cp:lastPrinted>2014-04-14T13:45:26Z</cp:lastPrinted>
  <dcterms:created xsi:type="dcterms:W3CDTF">2011-09-23T12:12:47Z</dcterms:created>
  <dcterms:modified xsi:type="dcterms:W3CDTF">2019-06-21T09:59:57Z</dcterms:modified>
</cp:coreProperties>
</file>