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525" windowHeight="11460" activeTab="5"/>
  </bookViews>
  <sheets>
    <sheet name="Sheet9" sheetId="9" r:id="rId1"/>
    <sheet name="Sheet1" sheetId="1" r:id="rId2"/>
    <sheet name="Sheet5" sheetId="5" r:id="rId3"/>
    <sheet name="Sheet7" sheetId="7" r:id="rId4"/>
    <sheet name="Sheet8" sheetId="8" r:id="rId5"/>
    <sheet name="Sheet2" sheetId="2" r:id="rId6"/>
    <sheet name="Sheet3" sheetId="3" r:id="rId7"/>
    <sheet name="Sheet4" sheetId="4" r:id="rId8"/>
    <sheet name="Sheet6" sheetId="6" r:id="rId9"/>
  </sheets>
  <calcPr calcId="162913"/>
  <pivotCaches>
    <pivotCache cacheId="5" r:id="rId10"/>
    <pivotCache cacheId="22" r:id="rId11"/>
    <pivotCache cacheId="24" r:id="rId12"/>
  </pivotCaches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" i="2"/>
  <c r="Q2" i="2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4" i="8"/>
  <c r="E4" i="8"/>
  <c r="D9" i="8"/>
  <c r="D8" i="8"/>
  <c r="D7" i="8"/>
  <c r="D6" i="8"/>
  <c r="D5" i="8"/>
  <c r="D4" i="8"/>
  <c r="C6" i="8"/>
  <c r="C10" i="8"/>
  <c r="C14" i="8"/>
  <c r="C18" i="8"/>
  <c r="C7" i="8"/>
  <c r="C11" i="8"/>
  <c r="C15" i="8"/>
  <c r="C19" i="8"/>
  <c r="C8" i="8"/>
  <c r="C12" i="8"/>
  <c r="C16" i="8"/>
  <c r="C20" i="8"/>
  <c r="C5" i="8"/>
  <c r="C13" i="8"/>
  <c r="C17" i="8"/>
  <c r="C9" i="8"/>
  <c r="C4" i="8"/>
  <c r="C4" i="7"/>
  <c r="D4" i="7"/>
  <c r="E5" i="8" l="1"/>
  <c r="E4" i="7"/>
  <c r="C5" i="7"/>
  <c r="D5" i="7"/>
  <c r="E5" i="7"/>
  <c r="C6" i="7"/>
  <c r="D6" i="7"/>
  <c r="E6" i="7"/>
  <c r="C7" i="7"/>
  <c r="D7" i="7"/>
  <c r="E7" i="7"/>
  <c r="E6" i="5"/>
  <c r="E5" i="5"/>
  <c r="E4" i="5"/>
  <c r="D6" i="5"/>
  <c r="D5" i="5"/>
  <c r="T22" i="3"/>
  <c r="S22" i="3"/>
  <c r="T19" i="3"/>
  <c r="V15" i="3"/>
  <c r="U15" i="3"/>
  <c r="T15" i="3"/>
  <c r="R12" i="3"/>
  <c r="R11" i="3"/>
  <c r="U9" i="3"/>
  <c r="T9" i="3"/>
  <c r="D4" i="5"/>
  <c r="C6" i="5"/>
  <c r="C5" i="5"/>
  <c r="C4" i="5"/>
  <c r="U17" i="2" l="1"/>
  <c r="V17" i="2"/>
  <c r="V8" i="2"/>
  <c r="S7" i="2"/>
  <c r="T12" i="2"/>
  <c r="T11" i="2"/>
  <c r="L56" i="2"/>
  <c r="J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G33" i="1"/>
  <c r="G32" i="1"/>
  <c r="L28" i="1"/>
  <c r="K27" i="1"/>
  <c r="L30" i="1"/>
  <c r="K29" i="1"/>
  <c r="N3" i="1"/>
  <c r="R3" i="1" s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2" i="1"/>
  <c r="R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L20" i="1" l="1"/>
  <c r="N20" i="1"/>
  <c r="N22" i="1"/>
  <c r="L19" i="1"/>
  <c r="L21" i="1"/>
  <c r="M10" i="1"/>
  <c r="N19" i="1"/>
  <c r="L22" i="1"/>
  <c r="M2" i="1"/>
  <c r="N21" i="1"/>
  <c r="P2" i="1"/>
  <c r="O16" i="1"/>
  <c r="O4" i="1" l="1"/>
  <c r="O3" i="1"/>
  <c r="O11" i="1"/>
  <c r="O7" i="1"/>
  <c r="O15" i="1"/>
  <c r="O10" i="1"/>
  <c r="O5" i="1"/>
  <c r="O2" i="1"/>
  <c r="O8" i="1"/>
  <c r="O9" i="1"/>
  <c r="O6" i="1"/>
  <c r="O12" i="1"/>
  <c r="O13" i="1"/>
  <c r="O14" i="1"/>
</calcChain>
</file>

<file path=xl/sharedStrings.xml><?xml version="1.0" encoding="utf-8"?>
<sst xmlns="http://schemas.openxmlformats.org/spreadsheetml/2006/main" count="1343" uniqueCount="319">
  <si>
    <t>SID</t>
  </si>
  <si>
    <t>FNAME</t>
  </si>
  <si>
    <t>LNAME</t>
  </si>
  <si>
    <t>GENDER</t>
  </si>
  <si>
    <t>EMAIL</t>
  </si>
  <si>
    <t>COUNTRY</t>
  </si>
  <si>
    <t>HS</t>
  </si>
  <si>
    <t>ES</t>
  </si>
  <si>
    <t>CS</t>
  </si>
  <si>
    <t>MS</t>
  </si>
  <si>
    <t>Raman</t>
  </si>
  <si>
    <t>Jatin</t>
  </si>
  <si>
    <t>Divya</t>
  </si>
  <si>
    <t>Ayush</t>
  </si>
  <si>
    <t>Nitisha</t>
  </si>
  <si>
    <t>Monika</t>
  </si>
  <si>
    <t>Rohit</t>
  </si>
  <si>
    <t>Kshitiz</t>
  </si>
  <si>
    <t>Jyoti</t>
  </si>
  <si>
    <t>Mahima</t>
  </si>
  <si>
    <t>Ridhi</t>
  </si>
  <si>
    <t>Vidhi</t>
  </si>
  <si>
    <t>Sinha</t>
  </si>
  <si>
    <t>Sharma</t>
  </si>
  <si>
    <t>Wadhwan</t>
  </si>
  <si>
    <t>Kapoor</t>
  </si>
  <si>
    <t>Srivastava</t>
  </si>
  <si>
    <t>Johar</t>
  </si>
  <si>
    <t>Pandey</t>
  </si>
  <si>
    <t>Singh</t>
  </si>
  <si>
    <t>Kumar</t>
  </si>
  <si>
    <t>Gaur</t>
  </si>
  <si>
    <t>Bansal</t>
  </si>
  <si>
    <t>Agarwal</t>
  </si>
  <si>
    <t>Male</t>
  </si>
  <si>
    <t>Female</t>
  </si>
  <si>
    <t>India</t>
  </si>
  <si>
    <t>UK</t>
  </si>
  <si>
    <t>US</t>
  </si>
  <si>
    <t>Functions</t>
  </si>
  <si>
    <t>sum</t>
  </si>
  <si>
    <t>average</t>
  </si>
  <si>
    <t>return aveage of given reference/cell address</t>
  </si>
  <si>
    <t>max</t>
  </si>
  <si>
    <t>return highest value</t>
  </si>
  <si>
    <t>min</t>
  </si>
  <si>
    <t>return lowest value</t>
  </si>
  <si>
    <t>return/show total of given refence/cell address</t>
  </si>
  <si>
    <t>small</t>
  </si>
  <si>
    <t>large</t>
  </si>
  <si>
    <t>return given rank of highest value</t>
  </si>
  <si>
    <t>return given rank of lowest value</t>
  </si>
  <si>
    <t>Total/function</t>
  </si>
  <si>
    <t>Total/Formula</t>
  </si>
  <si>
    <t>Average/Formula</t>
  </si>
  <si>
    <t>Average/Function</t>
  </si>
  <si>
    <t>Max</t>
  </si>
  <si>
    <t>Min</t>
  </si>
  <si>
    <t>lowest value</t>
  </si>
  <si>
    <t>(array,position/rank)</t>
  </si>
  <si>
    <t>highest</t>
  </si>
  <si>
    <t>sumifs</t>
  </si>
  <si>
    <t>countif</t>
  </si>
  <si>
    <t>sumif</t>
  </si>
  <si>
    <t>countifs</t>
  </si>
  <si>
    <t>single condition</t>
  </si>
  <si>
    <t>multiple condition</t>
  </si>
  <si>
    <t>range</t>
  </si>
  <si>
    <t>factorial</t>
  </si>
  <si>
    <t>k-means</t>
  </si>
  <si>
    <t>max - min</t>
  </si>
  <si>
    <t>k-Mean</t>
  </si>
  <si>
    <t>if condition:</t>
  </si>
  <si>
    <t>if(condition, true, false)</t>
  </si>
  <si>
    <t>Male/Female</t>
  </si>
  <si>
    <t>Grade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</si>
  <si>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</si>
  <si>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</si>
  <si>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</si>
  <si>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</si>
  <si>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</si>
  <si>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</si>
  <si>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</si>
  <si>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</si>
  <si>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</si>
  <si>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</si>
  <si>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</si>
  <si>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</si>
  <si>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</si>
  <si>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</si>
  <si>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</si>
  <si>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</si>
  <si>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</si>
  <si>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</si>
  <si>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</si>
  <si>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</si>
  <si>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</si>
  <si>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</si>
  <si>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</si>
  <si>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</si>
  <si>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</si>
  <si>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</si>
  <si>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</si>
  <si>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</si>
  <si>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</si>
  <si>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</si>
  <si>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</si>
  <si>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</si>
  <si>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</si>
  <si>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</si>
  <si>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</si>
  <si>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</si>
  <si>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</si>
  <si>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</si>
  <si>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</si>
  <si>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</si>
  <si>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</si>
  <si>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</si>
  <si>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</si>
  <si>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</si>
  <si>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</si>
  <si>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</si>
  <si>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</si>
  <si>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</si>
  <si>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</si>
  <si>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</si>
  <si>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</si>
  <si>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</si>
  <si>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</si>
  <si>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</si>
  <si>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</si>
  <si>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</si>
  <si>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</si>
  <si>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</si>
  <si>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</si>
  <si>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</si>
  <si>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</si>
  <si>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</si>
  <si>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</si>
  <si>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</si>
  <si>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</si>
  <si>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</si>
  <si>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</si>
  <si>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Andrew Allen</t>
  </si>
  <si>
    <t>Concord</t>
  </si>
  <si>
    <t>North Carolina</t>
  </si>
  <si>
    <t>OFF-PA-10002365</t>
  </si>
  <si>
    <t>Paper</t>
  </si>
  <si>
    <t>Xerox 1967</t>
  </si>
  <si>
    <t>Irene Maddox</t>
  </si>
  <si>
    <t>Seattle</t>
  </si>
  <si>
    <t>Washington</t>
  </si>
  <si>
    <t>OFF-BI-10003656</t>
  </si>
  <si>
    <t>Fellowes PB200 Plastic Comb Binding Machine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</si>
  <si>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</si>
  <si>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</si>
  <si>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</si>
  <si>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</si>
  <si>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</si>
  <si>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</si>
  <si>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</si>
  <si>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</si>
  <si>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</si>
  <si>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Pete Kriz</t>
  </si>
  <si>
    <t>Madison</t>
  </si>
  <si>
    <t>Wisconsin</t>
  </si>
  <si>
    <t>OFF-ST-10004186</t>
  </si>
  <si>
    <t>Stur-D-Stor Shelving, Vertical 5-Shelf: 72"H x 36"W x 18 1/2"D</t>
  </si>
  <si>
    <t>Alejandro Grove</t>
  </si>
  <si>
    <t>West Jordan</t>
  </si>
  <si>
    <t>Utah</t>
  </si>
  <si>
    <t>OFF-ST-10000107</t>
  </si>
  <si>
    <t>Fellowes Super Stor/Drawer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</si>
  <si>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</si>
  <si>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</si>
  <si>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</si>
  <si>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</si>
  <si>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</si>
  <si>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</si>
  <si>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</si>
  <si>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</si>
  <si>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</si>
  <si>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</si>
  <si>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</si>
  <si>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</si>
  <si>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</si>
  <si>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</si>
  <si>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</si>
  <si>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</si>
  <si>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</si>
  <si>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</si>
  <si>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</si>
  <si>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</si>
  <si>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</si>
  <si>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Emily Burns</t>
  </si>
  <si>
    <t>Orem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</si>
  <si>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</si>
  <si>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</si>
  <si>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</si>
  <si>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</si>
  <si>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</si>
  <si>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</si>
  <si>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</si>
  <si>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</si>
  <si>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</si>
  <si>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</si>
  <si>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</si>
  <si>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</si>
  <si>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</si>
  <si>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</si>
  <si>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</si>
  <si>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</si>
  <si>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</si>
  <si>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</si>
  <si>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</si>
  <si>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</si>
  <si>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</si>
  <si>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</si>
  <si>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Matt Abelman</t>
  </si>
  <si>
    <t>Houston</t>
  </si>
  <si>
    <t>OFF-PA-10000249</t>
  </si>
  <si>
    <t>Easy-staple paper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</si>
  <si>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</si>
  <si>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</si>
  <si>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</si>
  <si>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</si>
  <si>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</si>
  <si>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</si>
  <si>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</si>
  <si>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</si>
  <si>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</si>
  <si>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</si>
  <si>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</si>
  <si>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</si>
  <si>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</si>
  <si>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</si>
  <si>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</si>
  <si>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Linda Cazamias</t>
  </si>
  <si>
    <t>Naperville</t>
  </si>
  <si>
    <t>Illinois</t>
  </si>
  <si>
    <t>TEC-PH-10004093</t>
  </si>
  <si>
    <t>Panasonic Kx-TS550</t>
  </si>
  <si>
    <t>Ruben Ausman</t>
  </si>
  <si>
    <t>OFF-ST-10003479</t>
  </si>
  <si>
    <t>Eldon Base for stackable storage shelf, platinum</t>
  </si>
  <si>
    <t>Erin Smith</t>
  </si>
  <si>
    <t>Melbourne</t>
  </si>
  <si>
    <t>OFF-ST-10003282</t>
  </si>
  <si>
    <t>Advantus 10-Drawer Portable Organizer, Chrome Metal Frame, Smoke Drawers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</si>
  <si>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</si>
  <si>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</si>
  <si>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</si>
  <si>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</si>
  <si>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</si>
  <si>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</si>
  <si>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</si>
  <si>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Patrick O'Donnell</t>
  </si>
  <si>
    <t>Westland</t>
  </si>
  <si>
    <t>Michigan</t>
  </si>
  <si>
    <t>OFF-ST-10001713</t>
  </si>
  <si>
    <t>Gould Plastics 9-Pocket Panel Bin, 18-3/8w x 5-1/4d x 20-1/2h, Black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</si>
  <si>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</si>
  <si>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</si>
  <si>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</si>
  <si>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</si>
  <si>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</si>
  <si>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</si>
  <si>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</si>
  <si>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</si>
  <si>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</si>
  <si>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</si>
  <si>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</si>
  <si>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</si>
  <si>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</si>
  <si>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</si>
  <si>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</si>
  <si>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</si>
  <si>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</si>
  <si>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</si>
  <si>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Janet Molinari</t>
  </si>
  <si>
    <t>New York City</t>
  </si>
  <si>
    <t>New York</t>
  </si>
  <si>
    <t>OFF-FA-10000304</t>
  </si>
  <si>
    <t>Fasteners</t>
  </si>
  <si>
    <t>Advantus Push Pins</t>
  </si>
  <si>
    <t>Total sale and porfit in above</t>
  </si>
  <si>
    <t>Show given rank of highest profit and loss</t>
  </si>
  <si>
    <t>Highest</t>
  </si>
  <si>
    <t>lowest</t>
  </si>
  <si>
    <t>west</t>
  </si>
  <si>
    <t>Regin</t>
  </si>
  <si>
    <t>Catetory</t>
  </si>
  <si>
    <t>Total_Profit</t>
  </si>
  <si>
    <t>Total_Sale</t>
  </si>
  <si>
    <t>total sales</t>
  </si>
  <si>
    <t>total profit</t>
  </si>
  <si>
    <t>highest profit</t>
  </si>
  <si>
    <t>Total Quantity</t>
  </si>
  <si>
    <t>total Sales</t>
  </si>
  <si>
    <t>freq</t>
  </si>
  <si>
    <t>mode</t>
  </si>
  <si>
    <t>pivot table</t>
  </si>
  <si>
    <t>Row Labels</t>
  </si>
  <si>
    <t>Grand Total</t>
  </si>
  <si>
    <t>Count of Customer Name</t>
  </si>
  <si>
    <t>Count</t>
  </si>
  <si>
    <t>Pecentage</t>
  </si>
  <si>
    <t>Cum. Count</t>
  </si>
  <si>
    <t>Cum. Pecentage</t>
  </si>
  <si>
    <t>mode;</t>
  </si>
  <si>
    <t>(blank)</t>
  </si>
  <si>
    <t>Sum of Sales</t>
  </si>
  <si>
    <t>Count of Quantity</t>
  </si>
  <si>
    <t>Percentage</t>
  </si>
  <si>
    <t>cumulative count</t>
  </si>
  <si>
    <t>cumulative percentage</t>
  </si>
  <si>
    <t>percentage</t>
  </si>
  <si>
    <t>cum count</t>
  </si>
  <si>
    <t>cum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</si>
</sst>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3" borderId="1" xfId="0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0" fontId="1" fillId="2" borderId="0" xfId="1" applyFont="1"/>
    <xf numFmtId="0" fontId="1" fillId="2" borderId="0" xfId="1" applyFont="1" applyBorder="1"/>
    <xf numFmtId="0" fontId="3" fillId="3" borderId="2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Accent5" xfId="1" builtinId="45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05.516679629633" createdVersion="6" refreshedVersion="6" minRefreshableVersion="3" recordCount="54">
  <cacheSource type="worksheet">
    <worksheetSource ref="A1:O55" sheet="Sheet2"/>
  </cacheSource>
  <cacheFields count="15">
    <cacheField name="Customer Name" numFmtId="0">
      <sharedItems/>
    </cacheField>
    <cacheField name="Segment" numFmtId="0">
      <sharedItems count="3">
        <s v="Consumer"/>
        <s v="Home Office"/>
        <s v="Corporate"/>
      </sharedItems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0024" maxValue="98103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2.5439999999999996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40.2649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505.520052546293" createdVersion="6" refreshedVersion="6" minRefreshableVersion="3" recordCount="55">
  <cacheSource type="worksheet">
    <worksheetSource ref="A1:O56" sheet="Sheet2"/>
  </cacheSource>
  <cacheFields count="15">
    <cacheField name="Customer Name" numFmtId="0">
      <sharedItems containsBlank="1"/>
    </cacheField>
    <cacheField name="Segment" numFmtId="0">
      <sharedItems containsBlank="1"/>
    </cacheField>
    <cacheField name="Country" numFmtId="0">
      <sharedItems containsBlank="1" count="2">
        <s v="United States"/>
        <m/>
      </sharedItems>
    </cacheField>
    <cacheField name="City" numFmtId="0">
      <sharedItems containsBlank="1"/>
    </cacheField>
    <cacheField name="State" numFmtId="0">
      <sharedItems containsBlank="1" count="17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m/>
      </sharedItems>
    </cacheField>
    <cacheField name="Postal Code" numFmtId="0">
      <sharedItems containsString="0" containsBlank="1" containsNumber="1" containsInteger="1" minValue="10024" maxValue="98103"/>
    </cacheField>
    <cacheField name="Region" numFmtId="0">
      <sharedItems containsBlank="1" count="5">
        <s v="South"/>
        <s v="West"/>
        <s v="Central"/>
        <s v="East"/>
        <m/>
      </sharedItems>
    </cacheField>
    <cacheField name="Product ID" numFmtId="0">
      <sharedItems containsBlank="1"/>
    </cacheField>
    <cacheField name="Category" numFmtId="0">
      <sharedItems containsBlank="1" count="4">
        <s v="Furniture"/>
        <s v="Office Supplies"/>
        <s v="Technology"/>
        <m/>
      </sharedItems>
    </cacheField>
    <cacheField name="Sub-Category" numFmtId="0">
      <sharedItems containsBlank="1"/>
    </cacheField>
    <cacheField name="Product Name" numFmtId="0">
      <sharedItems containsBlank="1"/>
    </cacheField>
    <cacheField name="Sales" numFmtId="0">
      <sharedItems containsSemiMixedTypes="0" containsString="0" containsNumber="1" minValue="2.5439999999999996" maxValue="15225.808699999996" count="55">
        <n v="261.95999999999998"/>
        <n v="731.93999999999994"/>
        <n v="14.62"/>
        <n v="957.57749999999999"/>
        <n v="22.368000000000002"/>
        <n v="48.86"/>
        <n v="7.28"/>
        <n v="907.15200000000004"/>
        <n v="18.504000000000001"/>
        <n v="114.9"/>
        <n v="1706.1840000000002"/>
        <n v="911.42399999999998"/>
        <n v="15.552000000000003"/>
        <n v="407.97600000000006"/>
        <n v="68.809999999999988"/>
        <n v="2.5439999999999996"/>
        <n v="665.88"/>
        <n v="55.5"/>
        <n v="8.56"/>
        <n v="213.48000000000002"/>
        <n v="22.72"/>
        <n v="19.459999999999997"/>
        <n v="60.339999999999996"/>
        <n v="71.371999999999986"/>
        <n v="1044.6299999999999"/>
        <n v="11.648000000000001"/>
        <n v="90.570000000000007"/>
        <n v="3083.4300000000003"/>
        <n v="9.6180000000000021"/>
        <n v="124.20000000000002"/>
        <n v="3.2640000000000002"/>
        <n v="86.304000000000002"/>
        <n v="6.8580000000000014"/>
        <n v="15.76"/>
        <n v="29.472000000000001"/>
        <n v="1097.5440000000003"/>
        <n v="190.92"/>
        <n v="113.328"/>
        <n v="532.39919999999995"/>
        <n v="212.05799999999999"/>
        <n v="371.16800000000001"/>
        <n v="147.16800000000001"/>
        <n v="77.88"/>
        <n v="95.616"/>
        <n v="45.98"/>
        <n v="17.46"/>
        <n v="211.96"/>
        <n v="45"/>
        <n v="21.8"/>
        <n v="38.22"/>
        <n v="75.179999999999993"/>
        <n v="6.16"/>
        <n v="89.99"/>
        <n v="15.260000000000002"/>
        <n v="15225.808699999996"/>
      </sharedItems>
    </cacheField>
    <cacheField name="Quantity" numFmtId="0">
      <sharedItems containsString="0" containsBlank="1" containsNumber="1" containsInteger="1" minValue="1" maxValue="9" count="9">
        <n v="2"/>
        <n v="3"/>
        <n v="5"/>
        <n v="7"/>
        <n v="4"/>
        <n v="6"/>
        <n v="9"/>
        <n v="1"/>
        <m/>
      </sharedItems>
    </cacheField>
    <cacheField name="Discount" numFmtId="0">
      <sharedItems containsString="0" containsBlank="1" containsNumber="1" minValue="0" maxValue="0.8"/>
    </cacheField>
    <cacheField name="Profit" numFmtId="0">
      <sharedItems containsString="0" containsBlank="1" containsNumber="1" minValue="-1665.0522000000001" maxValue="240.2649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505.55584976852" createdVersion="6" refreshedVersion="6" minRefreshableVersion="3" recordCount="15">
  <cacheSource type="worksheet">
    <worksheetSource ref="A1:O16" sheet="Sheet1"/>
  </cacheSource>
  <cacheFields count="15">
    <cacheField name="SID" numFmtId="0">
      <sharedItems containsSemiMixedTypes="0" containsString="0" containsNumber="1" containsInteger="1" minValue="1" maxValue="15"/>
    </cacheField>
    <cacheField name="FNAME" numFmtId="0">
      <sharedItems/>
    </cacheField>
    <cacheField name="LNAME" numFmtId="0">
      <sharedItems/>
    </cacheField>
    <cacheField name="GENDER" numFmtId="0">
      <sharedItems/>
    </cacheField>
    <cacheField name="EMAIL" numFmtId="0">
      <sharedItems/>
    </cacheField>
    <cacheField name="COUNTRY" numFmtId="0">
      <sharedItems/>
    </cacheField>
    <cacheField name="HS" numFmtId="0">
      <sharedItems containsSemiMixedTypes="0" containsString="0" containsNumber="1" containsInteger="1" minValue="56" maxValue="93"/>
    </cacheField>
    <cacheField name="ES" numFmtId="0">
      <sharedItems containsSemiMixedTypes="0" containsString="0" containsNumber="1" containsInteger="1" minValue="44" maxValue="93"/>
    </cacheField>
    <cacheField name="CS" numFmtId="0">
      <sharedItems containsSemiMixedTypes="0" containsString="0" containsNumber="1" containsInteger="1" minValue="55" maxValue="90"/>
    </cacheField>
    <cacheField name="MS" numFmtId="0">
      <sharedItems containsSemiMixedTypes="0" containsString="0" containsNumber="1" containsInteger="1" minValue="33" maxValue="99"/>
    </cacheField>
    <cacheField name="Total/Formula" numFmtId="0">
      <sharedItems containsSemiMixedTypes="0" containsString="0" containsNumber="1" containsInteger="1" minValue="224" maxValue="360"/>
    </cacheField>
    <cacheField name="Total/function" numFmtId="0">
      <sharedItems containsSemiMixedTypes="0" containsString="0" containsNumber="1" containsInteger="1" minValue="224" maxValue="360"/>
    </cacheField>
    <cacheField name="Average/Formula" numFmtId="0">
      <sharedItems containsSemiMixedTypes="0" containsString="0" containsNumber="1" minValue="56" maxValue="90"/>
    </cacheField>
    <cacheField name="Average/Function" numFmtId="0">
      <sharedItems containsSemiMixedTypes="0" containsString="0" containsNumber="1" minValue="56" maxValue="90"/>
    </cacheField>
    <cacheField name="k-Mean" numFmtId="0">
      <sharedItems containsSemiMixedTypes="0" containsString="0" containsNumber="1" minValue="5.0828227819378263E-2" maxValue="8.1688223281143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Claire Gute"/>
    <x v="0"/>
    <s v="United States"/>
    <s v="Henderson"/>
    <s v="Kentucky"/>
    <n v="42420"/>
    <s v="South"/>
    <s v="FUR-BO-10001798"/>
    <s v="Furniture"/>
    <s v="Bookcases"/>
    <s v="Bush Somerset Collection Bookcase"/>
    <n v="261.95999999999998"/>
    <n v="2"/>
    <n v="0"/>
    <n v="41.913600000000002"/>
  </r>
  <r>
    <s v="Claire Gute"/>
    <x v="0"/>
    <s v="United States"/>
    <s v="Henderson"/>
    <s v="Kentucky"/>
    <n v="42420"/>
    <s v="South"/>
    <s v="FUR-CH-10000454"/>
    <s v="Furniture"/>
    <s v="Chairs"/>
    <s v="Hon Deluxe Fabric Upholstered Stacking Chairs, Rounded Back"/>
    <n v="731.93999999999994"/>
    <n v="3"/>
    <n v="0"/>
    <n v="219.58199999999997"/>
  </r>
  <r>
    <s v="Darrin Van Huff"/>
    <x v="0"/>
    <s v="United States"/>
    <s v="Los Angeles"/>
    <s v="California"/>
    <n v="90036"/>
    <s v="West"/>
    <s v="OFF-LA-10000240"/>
    <s v="Office Supplies"/>
    <s v="Labels"/>
    <s v="Self-Adhesive Address Labels for Typewriters by Universal"/>
    <n v="14.62"/>
    <n v="2"/>
    <n v="0"/>
    <n v="6.8713999999999995"/>
  </r>
  <r>
    <s v="Sean O'Donnell"/>
    <x v="0"/>
    <s v="United States"/>
    <s v="Fort Lauderdale"/>
    <s v="Florida"/>
    <n v="33311"/>
    <s v="South"/>
    <s v="FUR-TA-10000577"/>
    <s v="Furniture"/>
    <s v="Tables"/>
    <s v="Bretford CR4500 Series Slim Rectangular Table"/>
    <n v="957.57749999999999"/>
    <n v="5"/>
    <n v="0.45"/>
    <n v="-383.03100000000006"/>
  </r>
  <r>
    <s v="Sean O'Donnell"/>
    <x v="0"/>
    <s v="United States"/>
    <s v="Fort Lauderdale"/>
    <s v="Florida"/>
    <n v="33311"/>
    <s v="South"/>
    <s v="OFF-ST-10000760"/>
    <s v="Office Supplies"/>
    <s v="Storage"/>
    <s v="Eldon Fold 'N Roll Cart System"/>
    <n v="22.368000000000002"/>
    <n v="2"/>
    <n v="0.2"/>
    <n v="2.5163999999999991"/>
  </r>
  <r>
    <s v="Brosina Hoffman"/>
    <x v="0"/>
    <s v="United States"/>
    <s v="Los Angeles"/>
    <s v="California"/>
    <n v="90032"/>
    <s v="West"/>
    <s v="FUR-FU-10001487"/>
    <s v="Furniture"/>
    <s v="Furnishings"/>
    <s v="Eldon Expressions Wood and Plastic Desk Accessories, Cherry Wood"/>
    <n v="48.86"/>
    <n v="7"/>
    <n v="0"/>
    <n v="14.169399999999996"/>
  </r>
  <r>
    <s v="Brosina Hoffman"/>
    <x v="0"/>
    <s v="United States"/>
    <s v="Los Angeles"/>
    <s v="California"/>
    <n v="90032"/>
    <s v="West"/>
    <s v="OFF-AR-10002833"/>
    <s v="Office Supplies"/>
    <s v="Art"/>
    <s v="Newell 322"/>
    <n v="7.28"/>
    <n v="4"/>
    <n v="0"/>
    <n v="1.9656000000000002"/>
  </r>
  <r>
    <s v="Brosina Hoffman"/>
    <x v="0"/>
    <s v="United States"/>
    <s v="Los Angeles"/>
    <s v="California"/>
    <n v="90032"/>
    <s v="West"/>
    <s v="TEC-PH-10002275"/>
    <s v="Technology"/>
    <s v="Phones"/>
    <s v="Mitel 5320 IP Phone VoIP phone"/>
    <n v="907.15200000000004"/>
    <n v="6"/>
    <n v="0.2"/>
    <n v="90.715200000000038"/>
  </r>
  <r>
    <s v="Brosina Hoffman"/>
    <x v="0"/>
    <s v="United States"/>
    <s v="Los Angeles"/>
    <s v="California"/>
    <n v="90032"/>
    <s v="West"/>
    <s v="OFF-BI-10003910"/>
    <s v="Office Supplies"/>
    <s v="Binders"/>
    <s v="DXL Angle-View Binders with Locking Rings by Samsill"/>
    <n v="18.504000000000001"/>
    <n v="3"/>
    <n v="0.2"/>
    <n v="5.7824999999999998"/>
  </r>
  <r>
    <s v="Brosina Hoffman"/>
    <x v="0"/>
    <s v="United States"/>
    <s v="Los Angeles"/>
    <s v="California"/>
    <n v="90032"/>
    <s v="West"/>
    <s v="OFF-AP-10002892"/>
    <s v="Office Supplies"/>
    <s v="Appliances"/>
    <s v="Belkin F5C206VTEL 6 Outlet Surge"/>
    <n v="114.9"/>
    <n v="5"/>
    <n v="0"/>
    <n v="34.469999999999992"/>
  </r>
  <r>
    <s v="Brosina Hoffman"/>
    <x v="0"/>
    <s v="United States"/>
    <s v="Los Angeles"/>
    <s v="California"/>
    <n v="90032"/>
    <s v="West"/>
    <s v="FUR-TA-10001539"/>
    <s v="Furniture"/>
    <s v="Tables"/>
    <s v="Chromcraft Rectangular Conference Tables"/>
    <n v="1706.1840000000002"/>
    <n v="9"/>
    <n v="0.2"/>
    <n v="85.309199999999805"/>
  </r>
  <r>
    <s v="Brosina Hoffman"/>
    <x v="0"/>
    <s v="United States"/>
    <s v="Los Angeles"/>
    <s v="California"/>
    <n v="90032"/>
    <s v="West"/>
    <s v="TEC-PH-10002033"/>
    <s v="Technology"/>
    <s v="Phones"/>
    <s v="Konftel 250 Conference phone - Charcoal black"/>
    <n v="911.42399999999998"/>
    <n v="4"/>
    <n v="0.2"/>
    <n v="68.356800000000021"/>
  </r>
  <r>
    <s v="Andrew Allen"/>
    <x v="0"/>
    <s v="United States"/>
    <s v="Concord"/>
    <s v="North Carolina"/>
    <n v="28027"/>
    <s v="South"/>
    <s v="OFF-PA-10002365"/>
    <s v="Office Supplies"/>
    <s v="Paper"/>
    <s v="Xerox 1967"/>
    <n v="15.552000000000003"/>
    <n v="3"/>
    <n v="0.2"/>
    <n v="5.4432"/>
  </r>
  <r>
    <s v="Irene Maddox"/>
    <x v="0"/>
    <s v="United States"/>
    <s v="Seattle"/>
    <s v="Washington"/>
    <n v="98103"/>
    <s v="West"/>
    <s v="OFF-BI-10003656"/>
    <s v="Office Supplies"/>
    <s v="Binders"/>
    <s v="Fellowes PB200 Plastic Comb Binding Machine"/>
    <n v="407.97600000000006"/>
    <n v="3"/>
    <n v="0.2"/>
    <n v="132.59219999999993"/>
  </r>
  <r>
    <s v="Harold Pawlan"/>
    <x v="1"/>
    <s v="United States"/>
    <s v="Fort Worth"/>
    <s v="Texas"/>
    <n v="76106"/>
    <s v="Central"/>
    <s v="OFF-AP-10002311"/>
    <s v="Office Supplies"/>
    <s v="Appliances"/>
    <s v="Holmes Replacement Filter for HEPA Air Cleaner, Very Large Room, HEPA Filter"/>
    <n v="68.809999999999988"/>
    <n v="5"/>
    <n v="0.8"/>
    <n v="-123.858"/>
  </r>
  <r>
    <s v="Harold Pawlan"/>
    <x v="1"/>
    <s v="United States"/>
    <s v="Fort Worth"/>
    <s v="Texas"/>
    <n v="76106"/>
    <s v="Central"/>
    <s v="OFF-BI-10000756"/>
    <s v="Office Supplies"/>
    <s v="Binders"/>
    <s v="Storex DuraTech Recycled Plastic Frosted Binders"/>
    <n v="2.5439999999999996"/>
    <n v="3"/>
    <n v="0.8"/>
    <n v="-3.8160000000000016"/>
  </r>
  <r>
    <s v="Pete Kriz"/>
    <x v="0"/>
    <s v="United States"/>
    <s v="Madison"/>
    <s v="Wisconsin"/>
    <n v="53711"/>
    <s v="Central"/>
    <s v="OFF-ST-10004186"/>
    <s v="Office Supplies"/>
    <s v="Storage"/>
    <s v="Stur-D-Stor Shelving, Vertical 5-Shelf: 72&quot;H x 36&quot;W x 18 1/2&quot;D"/>
    <n v="665.88"/>
    <n v="6"/>
    <n v="0"/>
    <n v="13.317599999999999"/>
  </r>
  <r>
    <s v="Alejandro Grove"/>
    <x v="0"/>
    <s v="United States"/>
    <s v="West Jordan"/>
    <s v="Utah"/>
    <n v="84084"/>
    <s v="West"/>
    <s v="OFF-ST-10000107"/>
    <s v="Office Supplies"/>
    <s v="Storage"/>
    <s v="Fellowes Super Stor/Drawer"/>
    <n v="55.5"/>
    <n v="2"/>
    <n v="0"/>
    <n v="9.9899999999999949"/>
  </r>
  <r>
    <s v="Zuschuss Donatelli"/>
    <x v="0"/>
    <s v="United States"/>
    <s v="San Francisco"/>
    <s v="California"/>
    <n v="94109"/>
    <s v="West"/>
    <s v="OFF-AR-10003056"/>
    <s v="Office Supplies"/>
    <s v="Art"/>
    <s v="Newell 341"/>
    <n v="8.56"/>
    <n v="2"/>
    <n v="0"/>
    <n v="2.4823999999999993"/>
  </r>
  <r>
    <s v="Zuschuss Donatelli"/>
    <x v="0"/>
    <s v="United States"/>
    <s v="San Francisco"/>
    <s v="California"/>
    <n v="94109"/>
    <s v="West"/>
    <s v="TEC-PH-10001949"/>
    <s v="Technology"/>
    <s v="Phones"/>
    <s v="Cisco SPA 501G IP Phone"/>
    <n v="213.48000000000002"/>
    <n v="3"/>
    <n v="0.2"/>
    <n v="16.010999999999981"/>
  </r>
  <r>
    <s v="Zuschuss Donatelli"/>
    <x v="0"/>
    <s v="United States"/>
    <s v="San Francisco"/>
    <s v="California"/>
    <n v="94109"/>
    <s v="West"/>
    <s v="OFF-BI-10002215"/>
    <s v="Office Supplies"/>
    <s v="Binders"/>
    <s v="Wilson Jones Hanging View Binder, White, 1&quot;"/>
    <n v="22.72"/>
    <n v="4"/>
    <n v="0.2"/>
    <n v="7.3839999999999986"/>
  </r>
  <r>
    <s v="Ken Black"/>
    <x v="2"/>
    <s v="United States"/>
    <s v="Fremont"/>
    <s v="Nebraska"/>
    <n v="68025"/>
    <s v="Central"/>
    <s v="OFF-AR-10000246"/>
    <s v="Office Supplies"/>
    <s v="Art"/>
    <s v="Newell 318"/>
    <n v="19.459999999999997"/>
    <n v="7"/>
    <n v="0"/>
    <n v="5.0595999999999997"/>
  </r>
  <r>
    <s v="Ken Black"/>
    <x v="2"/>
    <s v="United States"/>
    <s v="Fremont"/>
    <s v="Nebraska"/>
    <n v="68025"/>
    <s v="Central"/>
    <s v="OFF-AP-10001492"/>
    <s v="Office Supplies"/>
    <s v="Appliances"/>
    <s v="Acco Six-Outlet Power Strip, 4' Cord Length"/>
    <n v="60.339999999999996"/>
    <n v="7"/>
    <n v="0"/>
    <n v="15.688400000000001"/>
  </r>
  <r>
    <s v="Sandra Flanagan"/>
    <x v="0"/>
    <s v="United States"/>
    <s v="Philadelphia"/>
    <s v="Pennsylvania"/>
    <n v="19140"/>
    <s v="East"/>
    <s v="FUR-CH-10002774"/>
    <s v="Furniture"/>
    <s v="Chairs"/>
    <s v="Global Deluxe Stacking Chair, Gray"/>
    <n v="71.371999999999986"/>
    <n v="2"/>
    <n v="0.3"/>
    <n v="-1.0196000000000005"/>
  </r>
  <r>
    <s v="Emily Burns"/>
    <x v="0"/>
    <s v="United States"/>
    <s v="Orem"/>
    <s v="Utah"/>
    <n v="84057"/>
    <s v="West"/>
    <s v="FUR-TA-10000577"/>
    <s v="Furniture"/>
    <s v="Tables"/>
    <s v="Bretford CR4500 Series Slim Rectangular Table"/>
    <n v="1044.6299999999999"/>
    <n v="3"/>
    <n v="0"/>
    <n v="240.26490000000001"/>
  </r>
  <r>
    <s v="Eric Hoffmann"/>
    <x v="0"/>
    <s v="United States"/>
    <s v="Los Angeles"/>
    <s v="California"/>
    <n v="90049"/>
    <s v="West"/>
    <s v="OFF-BI-10001634"/>
    <s v="Office Supplies"/>
    <s v="Binders"/>
    <s v="Wilson Jones Active Use Binders"/>
    <n v="11.648000000000001"/>
    <n v="2"/>
    <n v="0.2"/>
    <n v="4.2224000000000004"/>
  </r>
  <r>
    <s v="Eric Hoffmann"/>
    <x v="0"/>
    <s v="United States"/>
    <s v="Los Angeles"/>
    <s v="California"/>
    <n v="90049"/>
    <s v="West"/>
    <s v="TEC-AC-10003027"/>
    <s v="Technology"/>
    <s v="Accessories"/>
    <s v="Imation 8GB Mini TravelDrive USB 2.0 Flash Drive"/>
    <n v="90.570000000000007"/>
    <n v="3"/>
    <n v="0"/>
    <n v="11.774100000000004"/>
  </r>
  <r>
    <s v="Tracy Blumstein"/>
    <x v="0"/>
    <s v="United States"/>
    <s v="Philadelphia"/>
    <s v="Pennsylvania"/>
    <n v="19140"/>
    <s v="East"/>
    <s v="FUR-BO-10004834"/>
    <s v="Furniture"/>
    <s v="Bookcases"/>
    <s v="Riverside Palais Royal Lawyers Bookcase, Royale Cherry Finish"/>
    <n v="3083.4300000000003"/>
    <n v="7"/>
    <n v="0.5"/>
    <n v="-1665.0522000000001"/>
  </r>
  <r>
    <s v="Tracy Blumstein"/>
    <x v="0"/>
    <s v="United States"/>
    <s v="Philadelphia"/>
    <s v="Pennsylvania"/>
    <n v="19140"/>
    <s v="East"/>
    <s v="OFF-BI-10000474"/>
    <s v="Office Supplies"/>
    <s v="Binders"/>
    <s v="Avery Recycled Flexi-View Covers for Binding Systems"/>
    <n v="9.6180000000000021"/>
    <n v="2"/>
    <n v="0.7"/>
    <n v="-7.0532000000000004"/>
  </r>
  <r>
    <s v="Tracy Blumstein"/>
    <x v="0"/>
    <s v="United States"/>
    <s v="Philadelphia"/>
    <s v="Pennsylvania"/>
    <n v="19140"/>
    <s v="East"/>
    <s v="FUR-FU-10004848"/>
    <s v="Furniture"/>
    <s v="Furnishings"/>
    <s v="Howard Miller 13-3/4&quot; Diameter Brushed Chrome Round Wall Clock"/>
    <n v="124.20000000000002"/>
    <n v="3"/>
    <n v="0.2"/>
    <n v="15.524999999999991"/>
  </r>
  <r>
    <s v="Tracy Blumstein"/>
    <x v="0"/>
    <s v="United States"/>
    <s v="Philadelphia"/>
    <s v="Pennsylvania"/>
    <n v="19140"/>
    <s v="East"/>
    <s v="OFF-EN-10001509"/>
    <s v="Office Supplies"/>
    <s v="Envelopes"/>
    <s v="Poly String Tie Envelopes"/>
    <n v="3.2640000000000002"/>
    <n v="2"/>
    <n v="0.2"/>
    <n v="1.1015999999999997"/>
  </r>
  <r>
    <s v="Tracy Blumstein"/>
    <x v="0"/>
    <s v="United States"/>
    <s v="Philadelphia"/>
    <s v="Pennsylvania"/>
    <n v="19140"/>
    <s v="East"/>
    <s v="OFF-AR-10004042"/>
    <s v="Office Supplies"/>
    <s v="Art"/>
    <s v="BOSTON Model 1800 Electric Pencil Sharpeners, Putty/Woodgrain"/>
    <n v="86.304000000000002"/>
    <n v="6"/>
    <n v="0.2"/>
    <n v="9.7091999999999885"/>
  </r>
  <r>
    <s v="Tracy Blumstein"/>
    <x v="0"/>
    <s v="United States"/>
    <s v="Philadelphia"/>
    <s v="Pennsylvania"/>
    <n v="19140"/>
    <s v="East"/>
    <s v="OFF-BI-10001525"/>
    <s v="Office Supplies"/>
    <s v="Binders"/>
    <s v="Acco Pressboard Covers with Storage Hooks, 14 7/8&quot; x 11&quot;, Executive Red"/>
    <n v="6.8580000000000014"/>
    <n v="6"/>
    <n v="0.7"/>
    <n v="-5.7149999999999999"/>
  </r>
  <r>
    <s v="Tracy Blumstein"/>
    <x v="0"/>
    <s v="United States"/>
    <s v="Philadelphia"/>
    <s v="Pennsylvania"/>
    <n v="19140"/>
    <s v="East"/>
    <s v="OFF-AR-10001683"/>
    <s v="Office Supplies"/>
    <s v="Art"/>
    <s v="Lumber Crayons"/>
    <n v="15.76"/>
    <n v="2"/>
    <n v="0.2"/>
    <n v="3.5460000000000007"/>
  </r>
  <r>
    <s v="Matt Abelman"/>
    <x v="1"/>
    <s v="United States"/>
    <s v="Houston"/>
    <s v="Texas"/>
    <n v="77095"/>
    <s v="Central"/>
    <s v="OFF-PA-10000249"/>
    <s v="Office Supplies"/>
    <s v="Paper"/>
    <s v="Easy-staple paper"/>
    <n v="29.472000000000001"/>
    <n v="3"/>
    <n v="0.2"/>
    <n v="9.9467999999999979"/>
  </r>
  <r>
    <s v="Gene Hale"/>
    <x v="2"/>
    <s v="United States"/>
    <s v="Richardson"/>
    <s v="Texas"/>
    <n v="75080"/>
    <s v="Central"/>
    <s v="TEC-PH-10004977"/>
    <s v="Technology"/>
    <s v="Phones"/>
    <s v="GE 30524EE4"/>
    <n v="1097.5440000000003"/>
    <n v="7"/>
    <n v="0.2"/>
    <n v="123.47369999999989"/>
  </r>
  <r>
    <s v="Gene Hale"/>
    <x v="2"/>
    <s v="United States"/>
    <s v="Richardson"/>
    <s v="Texas"/>
    <n v="75080"/>
    <s v="Central"/>
    <s v="FUR-FU-10003664"/>
    <s v="Furniture"/>
    <s v="Furnishings"/>
    <s v="Electrix Architect's Clamp-On Swing Arm Lamp, Black"/>
    <n v="190.92"/>
    <n v="5"/>
    <n v="0.6"/>
    <n v="-147.96300000000002"/>
  </r>
  <r>
    <s v="Steve Nguyen"/>
    <x v="1"/>
    <s v="United States"/>
    <s v="Houston"/>
    <s v="Texas"/>
    <n v="77041"/>
    <s v="Central"/>
    <s v="OFF-EN-10002986"/>
    <s v="Office Supplies"/>
    <s v="Envelopes"/>
    <s v="#10-4 1/8&quot; x 9 1/2&quot; Premium Diagonal Seam Envelopes"/>
    <n v="113.328"/>
    <n v="9"/>
    <n v="0.2"/>
    <n v="35.414999999999999"/>
  </r>
  <r>
    <s v="Steve Nguyen"/>
    <x v="1"/>
    <s v="United States"/>
    <s v="Houston"/>
    <s v="Texas"/>
    <n v="77041"/>
    <s v="Central"/>
    <s v="FUR-BO-10002545"/>
    <s v="Furniture"/>
    <s v="Bookcases"/>
    <s v="Atlantic Metals Mobile 3-Shelf Bookcases, Custom Colors"/>
    <n v="532.39919999999995"/>
    <n v="3"/>
    <n v="0.32"/>
    <n v="-46.976400000000012"/>
  </r>
  <r>
    <s v="Steve Nguyen"/>
    <x v="1"/>
    <s v="United States"/>
    <s v="Houston"/>
    <s v="Texas"/>
    <n v="77041"/>
    <s v="Central"/>
    <s v="FUR-CH-10004218"/>
    <s v="Furniture"/>
    <s v="Chairs"/>
    <s v="Global Fabric Manager's Chair, Dark Gray"/>
    <n v="212.05799999999999"/>
    <n v="3"/>
    <n v="0.3"/>
    <n v="-15.146999999999991"/>
  </r>
  <r>
    <s v="Steve Nguyen"/>
    <x v="1"/>
    <s v="United States"/>
    <s v="Houston"/>
    <s v="Texas"/>
    <n v="77041"/>
    <s v="Central"/>
    <s v="TEC-PH-10000486"/>
    <s v="Technology"/>
    <s v="Phones"/>
    <s v="Plantronics HL10 Handset Lifter"/>
    <n v="371.16800000000001"/>
    <n v="4"/>
    <n v="0.2"/>
    <n v="41.756399999999957"/>
  </r>
  <r>
    <s v="Linda Cazamias"/>
    <x v="2"/>
    <s v="United States"/>
    <s v="Naperville"/>
    <s v="Illinois"/>
    <n v="60540"/>
    <s v="Central"/>
    <s v="TEC-PH-10004093"/>
    <s v="Technology"/>
    <s v="Phones"/>
    <s v="Panasonic Kx-TS550"/>
    <n v="147.16800000000001"/>
    <n v="4"/>
    <n v="0.2"/>
    <n v="16.556399999999996"/>
  </r>
  <r>
    <s v="Ruben Ausman"/>
    <x v="2"/>
    <s v="United States"/>
    <s v="Los Angeles"/>
    <s v="California"/>
    <n v="90049"/>
    <s v="West"/>
    <s v="OFF-ST-10003479"/>
    <s v="Office Supplies"/>
    <s v="Storage"/>
    <s v="Eldon Base for stackable storage shelf, platinum"/>
    <n v="77.88"/>
    <n v="2"/>
    <n v="0"/>
    <n v="3.8939999999999912"/>
  </r>
  <r>
    <s v="Erin Smith"/>
    <x v="2"/>
    <s v="United States"/>
    <s v="Melbourne"/>
    <s v="Florida"/>
    <n v="32935"/>
    <s v="South"/>
    <s v="OFF-ST-10003282"/>
    <s v="Office Supplies"/>
    <s v="Storage"/>
    <s v="Advantus 10-Drawer Portable Organizer, Chrome Metal Frame, Smoke Drawers"/>
    <n v="95.616"/>
    <n v="2"/>
    <n v="0.2"/>
    <n v="9.5616000000000092"/>
  </r>
  <r>
    <s v="Odella Nelson"/>
    <x v="2"/>
    <s v="United States"/>
    <s v="Eagan"/>
    <s v="Minnesota"/>
    <n v="55122"/>
    <s v="Central"/>
    <s v="TEC-AC-10000171"/>
    <s v="Technology"/>
    <s v="Accessories"/>
    <s v="Verbatim 25 GB 6x Blu-ray Single Layer Recordable Disc, 25/Pack"/>
    <n v="45.98"/>
    <n v="2"/>
    <n v="0"/>
    <n v="19.7714"/>
  </r>
  <r>
    <s v="Odella Nelson"/>
    <x v="2"/>
    <s v="United States"/>
    <s v="Eagan"/>
    <s v="Minnesota"/>
    <n v="55122"/>
    <s v="Central"/>
    <s v="OFF-BI-10003291"/>
    <s v="Office Supplies"/>
    <s v="Binders"/>
    <s v="Wilson Jones Leather-Like Binders with DublLock Round Rings"/>
    <n v="17.46"/>
    <n v="2"/>
    <n v="0"/>
    <n v="8.2061999999999991"/>
  </r>
  <r>
    <s v="Patrick O'Donnell"/>
    <x v="0"/>
    <s v="United States"/>
    <s v="Westland"/>
    <s v="Michigan"/>
    <n v="48185"/>
    <s v="Central"/>
    <s v="OFF-ST-10001713"/>
    <s v="Office Supplies"/>
    <s v="Storage"/>
    <s v="Gould Plastics 9-Pocket Panel Bin, 18-3/8w x 5-1/4d x 20-1/2h, Black"/>
    <n v="211.96"/>
    <n v="4"/>
    <n v="0"/>
    <n v="8.4783999999999935"/>
  </r>
  <r>
    <s v="Lena Hernandez"/>
    <x v="0"/>
    <s v="United States"/>
    <s v="Dover"/>
    <s v="Delaware"/>
    <n v="19901"/>
    <s v="East"/>
    <s v="TEC-AC-10002167"/>
    <s v="Technology"/>
    <s v="Accessories"/>
    <s v="Imation 8gb Micro Traveldrive Usb 2.0 Flash Drive"/>
    <n v="45"/>
    <n v="3"/>
    <n v="0"/>
    <n v="4.9500000000000011"/>
  </r>
  <r>
    <s v="Lena Hernandez"/>
    <x v="0"/>
    <s v="United States"/>
    <s v="Dover"/>
    <s v="Delaware"/>
    <n v="19901"/>
    <s v="East"/>
    <s v="TEC-PH-10003988"/>
    <s v="Technology"/>
    <s v="Phones"/>
    <s v="LF Elite 3D Dazzle Designer Hard Case Cover, Lf Stylus Pen and Wiper For Apple Iphone 5c Mini Lite"/>
    <n v="21.8"/>
    <n v="2"/>
    <n v="0"/>
    <n v="6.104000000000001"/>
  </r>
  <r>
    <s v="Darren Powers"/>
    <x v="0"/>
    <s v="United States"/>
    <s v="New Albany"/>
    <s v="Indiana"/>
    <n v="47150"/>
    <s v="Central"/>
    <s v="OFF-BI-10004410"/>
    <s v="Office Supplies"/>
    <s v="Binders"/>
    <s v="C-Line Peel &amp; Stick Add-On Filing Pockets, 8-3/4 x 5-1/8, 10/Pack"/>
    <n v="38.22"/>
    <n v="6"/>
    <n v="0"/>
    <n v="17.9634"/>
  </r>
  <r>
    <s v="Darren Powers"/>
    <x v="0"/>
    <s v="United States"/>
    <s v="New Albany"/>
    <s v="Indiana"/>
    <n v="47150"/>
    <s v="Central"/>
    <s v="OFF-LA-10002762"/>
    <s v="Office Supplies"/>
    <s v="Labels"/>
    <s v="Avery 485"/>
    <n v="75.179999999999993"/>
    <n v="6"/>
    <n v="0"/>
    <n v="35.334599999999995"/>
  </r>
  <r>
    <s v="Darren Powers"/>
    <x v="0"/>
    <s v="United States"/>
    <s v="New Albany"/>
    <s v="Indiana"/>
    <n v="47150"/>
    <s v="Central"/>
    <s v="FUR-FU-10001706"/>
    <s v="Furniture"/>
    <s v="Furnishings"/>
    <s v="Longer-Life Soft White Bulbs"/>
    <n v="6.16"/>
    <n v="2"/>
    <n v="0"/>
    <n v="2.9567999999999999"/>
  </r>
  <r>
    <s v="Darren Powers"/>
    <x v="0"/>
    <s v="United States"/>
    <s v="New Albany"/>
    <s v="Indiana"/>
    <n v="47150"/>
    <s v="Central"/>
    <s v="FUR-CH-10003061"/>
    <s v="Furniture"/>
    <s v="Chairs"/>
    <s v="Global Leather Task Chair, Black"/>
    <n v="89.99"/>
    <n v="1"/>
    <n v="0"/>
    <n v="17.098099999999988"/>
  </r>
  <r>
    <s v="Janet Molinari"/>
    <x v="2"/>
    <s v="United States"/>
    <s v="New York City"/>
    <s v="New York"/>
    <n v="10024"/>
    <s v="East"/>
    <s v="OFF-FA-10000304"/>
    <s v="Office Supplies"/>
    <s v="Fasteners"/>
    <s v="Advantus Push Pins"/>
    <n v="15.260000000000002"/>
    <n v="7"/>
    <n v="0"/>
    <n v="6.25660000000000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s v="Claire Gute"/>
    <s v="Consumer"/>
    <x v="0"/>
    <s v="Henderson"/>
    <x v="0"/>
    <n v="42420"/>
    <x v="0"/>
    <s v="FUR-BO-10001798"/>
    <x v="0"/>
    <s v="Bookcases"/>
    <s v="Bush Somerset Collection Bookcase"/>
    <x v="0"/>
    <x v="0"/>
    <n v="0"/>
    <n v="41.913600000000002"/>
  </r>
  <r>
    <s v="Claire Gute"/>
    <s v="Consumer"/>
    <x v="0"/>
    <s v="Henderson"/>
    <x v="0"/>
    <n v="42420"/>
    <x v="0"/>
    <s v="FUR-CH-10000454"/>
    <x v="0"/>
    <s v="Chairs"/>
    <s v="Hon Deluxe Fabric Upholstered Stacking Chairs, Rounded Back"/>
    <x v="1"/>
    <x v="1"/>
    <n v="0"/>
    <n v="219.58199999999997"/>
  </r>
  <r>
    <s v="Darrin Van Huff"/>
    <s v="Consumer"/>
    <x v="0"/>
    <s v="Los Angeles"/>
    <x v="1"/>
    <n v="90036"/>
    <x v="1"/>
    <s v="OFF-LA-10000240"/>
    <x v="1"/>
    <s v="Labels"/>
    <s v="Self-Adhesive Address Labels for Typewriters by Universal"/>
    <x v="2"/>
    <x v="0"/>
    <n v="0"/>
    <n v="6.8713999999999995"/>
  </r>
  <r>
    <s v="Sean O'Donnell"/>
    <s v="Consumer"/>
    <x v="0"/>
    <s v="Fort Lauderdale"/>
    <x v="2"/>
    <n v="33311"/>
    <x v="0"/>
    <s v="FUR-TA-10000577"/>
    <x v="0"/>
    <s v="Tables"/>
    <s v="Bretford CR4500 Series Slim Rectangular Table"/>
    <x v="3"/>
    <x v="2"/>
    <n v="0.45"/>
    <n v="-383.03100000000006"/>
  </r>
  <r>
    <s v="Sean O'Donnell"/>
    <s v="Consumer"/>
    <x v="0"/>
    <s v="Fort Lauderdale"/>
    <x v="2"/>
    <n v="33311"/>
    <x v="0"/>
    <s v="OFF-ST-10000760"/>
    <x v="1"/>
    <s v="Storage"/>
    <s v="Eldon Fold 'N Roll Cart System"/>
    <x v="4"/>
    <x v="0"/>
    <n v="0.2"/>
    <n v="2.5163999999999991"/>
  </r>
  <r>
    <s v="Brosina Hoffman"/>
    <s v="Consumer"/>
    <x v="0"/>
    <s v="Los Angeles"/>
    <x v="1"/>
    <n v="90032"/>
    <x v="1"/>
    <s v="FUR-FU-10001487"/>
    <x v="0"/>
    <s v="Furnishings"/>
    <s v="Eldon Expressions Wood and Plastic Desk Accessories, Cherry Wood"/>
    <x v="5"/>
    <x v="3"/>
    <n v="0"/>
    <n v="14.169399999999996"/>
  </r>
  <r>
    <s v="Brosina Hoffman"/>
    <s v="Consumer"/>
    <x v="0"/>
    <s v="Los Angeles"/>
    <x v="1"/>
    <n v="90032"/>
    <x v="1"/>
    <s v="OFF-AR-10002833"/>
    <x v="1"/>
    <s v="Art"/>
    <s v="Newell 322"/>
    <x v="6"/>
    <x v="4"/>
    <n v="0"/>
    <n v="1.9656000000000002"/>
  </r>
  <r>
    <s v="Brosina Hoffman"/>
    <s v="Consumer"/>
    <x v="0"/>
    <s v="Los Angeles"/>
    <x v="1"/>
    <n v="90032"/>
    <x v="1"/>
    <s v="TEC-PH-10002275"/>
    <x v="2"/>
    <s v="Phones"/>
    <s v="Mitel 5320 IP Phone VoIP phone"/>
    <x v="7"/>
    <x v="5"/>
    <n v="0.2"/>
    <n v="90.715200000000038"/>
  </r>
  <r>
    <s v="Brosina Hoffman"/>
    <s v="Consumer"/>
    <x v="0"/>
    <s v="Los Angeles"/>
    <x v="1"/>
    <n v="90032"/>
    <x v="1"/>
    <s v="OFF-BI-10003910"/>
    <x v="1"/>
    <s v="Binders"/>
    <s v="DXL Angle-View Binders with Locking Rings by Samsill"/>
    <x v="8"/>
    <x v="1"/>
    <n v="0.2"/>
    <n v="5.7824999999999998"/>
  </r>
  <r>
    <s v="Brosina Hoffman"/>
    <s v="Consumer"/>
    <x v="0"/>
    <s v="Los Angeles"/>
    <x v="1"/>
    <n v="90032"/>
    <x v="1"/>
    <s v="OFF-AP-10002892"/>
    <x v="1"/>
    <s v="Appliances"/>
    <s v="Belkin F5C206VTEL 6 Outlet Surge"/>
    <x v="9"/>
    <x v="2"/>
    <n v="0"/>
    <n v="34.469999999999992"/>
  </r>
  <r>
    <s v="Brosina Hoffman"/>
    <s v="Consumer"/>
    <x v="0"/>
    <s v="Los Angeles"/>
    <x v="1"/>
    <n v="90032"/>
    <x v="1"/>
    <s v="FUR-TA-10001539"/>
    <x v="0"/>
    <s v="Tables"/>
    <s v="Chromcraft Rectangular Conference Tables"/>
    <x v="10"/>
    <x v="6"/>
    <n v="0.2"/>
    <n v="85.309199999999805"/>
  </r>
  <r>
    <s v="Brosina Hoffman"/>
    <s v="Consumer"/>
    <x v="0"/>
    <s v="Los Angeles"/>
    <x v="1"/>
    <n v="90032"/>
    <x v="1"/>
    <s v="TEC-PH-10002033"/>
    <x v="2"/>
    <s v="Phones"/>
    <s v="Konftel 250 Conference phone - Charcoal black"/>
    <x v="11"/>
    <x v="4"/>
    <n v="0.2"/>
    <n v="68.356800000000021"/>
  </r>
  <r>
    <s v="Andrew Allen"/>
    <s v="Consumer"/>
    <x v="0"/>
    <s v="Concord"/>
    <x v="3"/>
    <n v="28027"/>
    <x v="0"/>
    <s v="OFF-PA-10002365"/>
    <x v="1"/>
    <s v="Paper"/>
    <s v="Xerox 1967"/>
    <x v="12"/>
    <x v="1"/>
    <n v="0.2"/>
    <n v="5.4432"/>
  </r>
  <r>
    <s v="Irene Maddox"/>
    <s v="Consumer"/>
    <x v="0"/>
    <s v="Seattle"/>
    <x v="4"/>
    <n v="98103"/>
    <x v="1"/>
    <s v="OFF-BI-10003656"/>
    <x v="1"/>
    <s v="Binders"/>
    <s v="Fellowes PB200 Plastic Comb Binding Machine"/>
    <x v="13"/>
    <x v="1"/>
    <n v="0.2"/>
    <n v="132.59219999999993"/>
  </r>
  <r>
    <s v="Harold Pawlan"/>
    <s v="Home Office"/>
    <x v="0"/>
    <s v="Fort Worth"/>
    <x v="5"/>
    <n v="76106"/>
    <x v="2"/>
    <s v="OFF-AP-10002311"/>
    <x v="1"/>
    <s v="Appliances"/>
    <s v="Holmes Replacement Filter for HEPA Air Cleaner, Very Large Room, HEPA Filter"/>
    <x v="14"/>
    <x v="2"/>
    <n v="0.8"/>
    <n v="-123.858"/>
  </r>
  <r>
    <s v="Harold Pawlan"/>
    <s v="Home Office"/>
    <x v="0"/>
    <s v="Fort Worth"/>
    <x v="5"/>
    <n v="76106"/>
    <x v="2"/>
    <s v="OFF-BI-10000756"/>
    <x v="1"/>
    <s v="Binders"/>
    <s v="Storex DuraTech Recycled Plastic Frosted Binders"/>
    <x v="15"/>
    <x v="1"/>
    <n v="0.8"/>
    <n v="-3.8160000000000016"/>
  </r>
  <r>
    <s v="Pete Kriz"/>
    <s v="Consumer"/>
    <x v="0"/>
    <s v="Madison"/>
    <x v="6"/>
    <n v="53711"/>
    <x v="2"/>
    <s v="OFF-ST-10004186"/>
    <x v="1"/>
    <s v="Storage"/>
    <s v="Stur-D-Stor Shelving, Vertical 5-Shelf: 72&quot;H x 36&quot;W x 18 1/2&quot;D"/>
    <x v="16"/>
    <x v="5"/>
    <n v="0"/>
    <n v="13.317599999999999"/>
  </r>
  <r>
    <s v="Alejandro Grove"/>
    <s v="Consumer"/>
    <x v="0"/>
    <s v="West Jordan"/>
    <x v="7"/>
    <n v="84084"/>
    <x v="1"/>
    <s v="OFF-ST-10000107"/>
    <x v="1"/>
    <s v="Storage"/>
    <s v="Fellowes Super Stor/Drawer"/>
    <x v="17"/>
    <x v="0"/>
    <n v="0"/>
    <n v="9.9899999999999949"/>
  </r>
  <r>
    <s v="Zuschuss Donatelli"/>
    <s v="Consumer"/>
    <x v="0"/>
    <s v="San Francisco"/>
    <x v="1"/>
    <n v="94109"/>
    <x v="1"/>
    <s v="OFF-AR-10003056"/>
    <x v="1"/>
    <s v="Art"/>
    <s v="Newell 341"/>
    <x v="18"/>
    <x v="0"/>
    <n v="0"/>
    <n v="2.4823999999999993"/>
  </r>
  <r>
    <s v="Zuschuss Donatelli"/>
    <s v="Consumer"/>
    <x v="0"/>
    <s v="San Francisco"/>
    <x v="1"/>
    <n v="94109"/>
    <x v="1"/>
    <s v="TEC-PH-10001949"/>
    <x v="2"/>
    <s v="Phones"/>
    <s v="Cisco SPA 501G IP Phone"/>
    <x v="19"/>
    <x v="1"/>
    <n v="0.2"/>
    <n v="16.010999999999981"/>
  </r>
  <r>
    <s v="Zuschuss Donatelli"/>
    <s v="Consumer"/>
    <x v="0"/>
    <s v="San Francisco"/>
    <x v="1"/>
    <n v="94109"/>
    <x v="1"/>
    <s v="OFF-BI-10002215"/>
    <x v="1"/>
    <s v="Binders"/>
    <s v="Wilson Jones Hanging View Binder, White, 1&quot;"/>
    <x v="20"/>
    <x v="4"/>
    <n v="0.2"/>
    <n v="7.3839999999999986"/>
  </r>
  <r>
    <s v="Ken Black"/>
    <s v="Corporate"/>
    <x v="0"/>
    <s v="Fremont"/>
    <x v="8"/>
    <n v="68025"/>
    <x v="2"/>
    <s v="OFF-AR-10000246"/>
    <x v="1"/>
    <s v="Art"/>
    <s v="Newell 318"/>
    <x v="21"/>
    <x v="3"/>
    <n v="0"/>
    <n v="5.0595999999999997"/>
  </r>
  <r>
    <s v="Ken Black"/>
    <s v="Corporate"/>
    <x v="0"/>
    <s v="Fremont"/>
    <x v="8"/>
    <n v="68025"/>
    <x v="2"/>
    <s v="OFF-AP-10001492"/>
    <x v="1"/>
    <s v="Appliances"/>
    <s v="Acco Six-Outlet Power Strip, 4' Cord Length"/>
    <x v="22"/>
    <x v="3"/>
    <n v="0"/>
    <n v="15.688400000000001"/>
  </r>
  <r>
    <s v="Sandra Flanagan"/>
    <s v="Consumer"/>
    <x v="0"/>
    <s v="Philadelphia"/>
    <x v="9"/>
    <n v="19140"/>
    <x v="3"/>
    <s v="FUR-CH-10002774"/>
    <x v="0"/>
    <s v="Chairs"/>
    <s v="Global Deluxe Stacking Chair, Gray"/>
    <x v="23"/>
    <x v="0"/>
    <n v="0.3"/>
    <n v="-1.0196000000000005"/>
  </r>
  <r>
    <s v="Emily Burns"/>
    <s v="Consumer"/>
    <x v="0"/>
    <s v="Orem"/>
    <x v="7"/>
    <n v="84057"/>
    <x v="1"/>
    <s v="FUR-TA-10000577"/>
    <x v="0"/>
    <s v="Tables"/>
    <s v="Bretford CR4500 Series Slim Rectangular Table"/>
    <x v="24"/>
    <x v="1"/>
    <n v="0"/>
    <n v="240.26490000000001"/>
  </r>
  <r>
    <s v="Eric Hoffmann"/>
    <s v="Consumer"/>
    <x v="0"/>
    <s v="Los Angeles"/>
    <x v="1"/>
    <n v="90049"/>
    <x v="1"/>
    <s v="OFF-BI-10001634"/>
    <x v="1"/>
    <s v="Binders"/>
    <s v="Wilson Jones Active Use Binders"/>
    <x v="25"/>
    <x v="0"/>
    <n v="0.2"/>
    <n v="4.2224000000000004"/>
  </r>
  <r>
    <s v="Eric Hoffmann"/>
    <s v="Consumer"/>
    <x v="0"/>
    <s v="Los Angeles"/>
    <x v="1"/>
    <n v="90049"/>
    <x v="1"/>
    <s v="TEC-AC-10003027"/>
    <x v="2"/>
    <s v="Accessories"/>
    <s v="Imation 8GB Mini TravelDrive USB 2.0 Flash Drive"/>
    <x v="26"/>
    <x v="1"/>
    <n v="0"/>
    <n v="11.774100000000004"/>
  </r>
  <r>
    <s v="Tracy Blumstein"/>
    <s v="Consumer"/>
    <x v="0"/>
    <s v="Philadelphia"/>
    <x v="9"/>
    <n v="19140"/>
    <x v="3"/>
    <s v="FUR-BO-10004834"/>
    <x v="0"/>
    <s v="Bookcases"/>
    <s v="Riverside Palais Royal Lawyers Bookcase, Royale Cherry Finish"/>
    <x v="27"/>
    <x v="3"/>
    <n v="0.5"/>
    <n v="-1665.0522000000001"/>
  </r>
  <r>
    <s v="Tracy Blumstein"/>
    <s v="Consumer"/>
    <x v="0"/>
    <s v="Philadelphia"/>
    <x v="9"/>
    <n v="19140"/>
    <x v="3"/>
    <s v="OFF-BI-10000474"/>
    <x v="1"/>
    <s v="Binders"/>
    <s v="Avery Recycled Flexi-View Covers for Binding Systems"/>
    <x v="28"/>
    <x v="0"/>
    <n v="0.7"/>
    <n v="-7.0532000000000004"/>
  </r>
  <r>
    <s v="Tracy Blumstein"/>
    <s v="Consumer"/>
    <x v="0"/>
    <s v="Philadelphia"/>
    <x v="9"/>
    <n v="19140"/>
    <x v="3"/>
    <s v="FUR-FU-10004848"/>
    <x v="0"/>
    <s v="Furnishings"/>
    <s v="Howard Miller 13-3/4&quot; Diameter Brushed Chrome Round Wall Clock"/>
    <x v="29"/>
    <x v="1"/>
    <n v="0.2"/>
    <n v="15.524999999999991"/>
  </r>
  <r>
    <s v="Tracy Blumstein"/>
    <s v="Consumer"/>
    <x v="0"/>
    <s v="Philadelphia"/>
    <x v="9"/>
    <n v="19140"/>
    <x v="3"/>
    <s v="OFF-EN-10001509"/>
    <x v="1"/>
    <s v="Envelopes"/>
    <s v="Poly String Tie Envelopes"/>
    <x v="30"/>
    <x v="0"/>
    <n v="0.2"/>
    <n v="1.1015999999999997"/>
  </r>
  <r>
    <s v="Tracy Blumstein"/>
    <s v="Consumer"/>
    <x v="0"/>
    <s v="Philadelphia"/>
    <x v="9"/>
    <n v="19140"/>
    <x v="3"/>
    <s v="OFF-AR-10004042"/>
    <x v="1"/>
    <s v="Art"/>
    <s v="BOSTON Model 1800 Electric Pencil Sharpeners, Putty/Woodgrain"/>
    <x v="31"/>
    <x v="5"/>
    <n v="0.2"/>
    <n v="9.7091999999999885"/>
  </r>
  <r>
    <s v="Tracy Blumstein"/>
    <s v="Consumer"/>
    <x v="0"/>
    <s v="Philadelphia"/>
    <x v="9"/>
    <n v="19140"/>
    <x v="3"/>
    <s v="OFF-BI-10001525"/>
    <x v="1"/>
    <s v="Binders"/>
    <s v="Acco Pressboard Covers with Storage Hooks, 14 7/8&quot; x 11&quot;, Executive Red"/>
    <x v="32"/>
    <x v="5"/>
    <n v="0.7"/>
    <n v="-5.7149999999999999"/>
  </r>
  <r>
    <s v="Tracy Blumstein"/>
    <s v="Consumer"/>
    <x v="0"/>
    <s v="Philadelphia"/>
    <x v="9"/>
    <n v="19140"/>
    <x v="3"/>
    <s v="OFF-AR-10001683"/>
    <x v="1"/>
    <s v="Art"/>
    <s v="Lumber Crayons"/>
    <x v="33"/>
    <x v="0"/>
    <n v="0.2"/>
    <n v="3.5460000000000007"/>
  </r>
  <r>
    <s v="Matt Abelman"/>
    <s v="Home Office"/>
    <x v="0"/>
    <s v="Houston"/>
    <x v="5"/>
    <n v="77095"/>
    <x v="2"/>
    <s v="OFF-PA-10000249"/>
    <x v="1"/>
    <s v="Paper"/>
    <s v="Easy-staple paper"/>
    <x v="34"/>
    <x v="1"/>
    <n v="0.2"/>
    <n v="9.9467999999999979"/>
  </r>
  <r>
    <s v="Gene Hale"/>
    <s v="Corporate"/>
    <x v="0"/>
    <s v="Richardson"/>
    <x v="5"/>
    <n v="75080"/>
    <x v="2"/>
    <s v="TEC-PH-10004977"/>
    <x v="2"/>
    <s v="Phones"/>
    <s v="GE 30524EE4"/>
    <x v="35"/>
    <x v="3"/>
    <n v="0.2"/>
    <n v="123.47369999999989"/>
  </r>
  <r>
    <s v="Gene Hale"/>
    <s v="Corporate"/>
    <x v="0"/>
    <s v="Richardson"/>
    <x v="5"/>
    <n v="75080"/>
    <x v="2"/>
    <s v="FUR-FU-10003664"/>
    <x v="0"/>
    <s v="Furnishings"/>
    <s v="Electrix Architect's Clamp-On Swing Arm Lamp, Black"/>
    <x v="36"/>
    <x v="2"/>
    <n v="0.6"/>
    <n v="-147.96300000000002"/>
  </r>
  <r>
    <s v="Steve Nguyen"/>
    <s v="Home Office"/>
    <x v="0"/>
    <s v="Houston"/>
    <x v="5"/>
    <n v="77041"/>
    <x v="2"/>
    <s v="OFF-EN-10002986"/>
    <x v="1"/>
    <s v="Envelopes"/>
    <s v="#10-4 1/8&quot; x 9 1/2&quot; Premium Diagonal Seam Envelopes"/>
    <x v="37"/>
    <x v="6"/>
    <n v="0.2"/>
    <n v="35.414999999999999"/>
  </r>
  <r>
    <s v="Steve Nguyen"/>
    <s v="Home Office"/>
    <x v="0"/>
    <s v="Houston"/>
    <x v="5"/>
    <n v="77041"/>
    <x v="2"/>
    <s v="FUR-BO-10002545"/>
    <x v="0"/>
    <s v="Bookcases"/>
    <s v="Atlantic Metals Mobile 3-Shelf Bookcases, Custom Colors"/>
    <x v="38"/>
    <x v="1"/>
    <n v="0.32"/>
    <n v="-46.976400000000012"/>
  </r>
  <r>
    <s v="Steve Nguyen"/>
    <s v="Home Office"/>
    <x v="0"/>
    <s v="Houston"/>
    <x v="5"/>
    <n v="77041"/>
    <x v="2"/>
    <s v="FUR-CH-10004218"/>
    <x v="0"/>
    <s v="Chairs"/>
    <s v="Global Fabric Manager's Chair, Dark Gray"/>
    <x v="39"/>
    <x v="1"/>
    <n v="0.3"/>
    <n v="-15.146999999999991"/>
  </r>
  <r>
    <s v="Steve Nguyen"/>
    <s v="Home Office"/>
    <x v="0"/>
    <s v="Houston"/>
    <x v="5"/>
    <n v="77041"/>
    <x v="2"/>
    <s v="TEC-PH-10000486"/>
    <x v="2"/>
    <s v="Phones"/>
    <s v="Plantronics HL10 Handset Lifter"/>
    <x v="40"/>
    <x v="4"/>
    <n v="0.2"/>
    <n v="41.756399999999957"/>
  </r>
  <r>
    <s v="Linda Cazamias"/>
    <s v="Corporate"/>
    <x v="0"/>
    <s v="Naperville"/>
    <x v="10"/>
    <n v="60540"/>
    <x v="2"/>
    <s v="TEC-PH-10004093"/>
    <x v="2"/>
    <s v="Phones"/>
    <s v="Panasonic Kx-TS550"/>
    <x v="41"/>
    <x v="4"/>
    <n v="0.2"/>
    <n v="16.556399999999996"/>
  </r>
  <r>
    <s v="Ruben Ausman"/>
    <s v="Corporate"/>
    <x v="0"/>
    <s v="Los Angeles"/>
    <x v="1"/>
    <n v="90049"/>
    <x v="1"/>
    <s v="OFF-ST-10003479"/>
    <x v="1"/>
    <s v="Storage"/>
    <s v="Eldon Base for stackable storage shelf, platinum"/>
    <x v="42"/>
    <x v="0"/>
    <n v="0"/>
    <n v="3.8939999999999912"/>
  </r>
  <r>
    <s v="Erin Smith"/>
    <s v="Corporate"/>
    <x v="0"/>
    <s v="Melbourne"/>
    <x v="2"/>
    <n v="32935"/>
    <x v="0"/>
    <s v="OFF-ST-10003282"/>
    <x v="1"/>
    <s v="Storage"/>
    <s v="Advantus 10-Drawer Portable Organizer, Chrome Metal Frame, Smoke Drawers"/>
    <x v="43"/>
    <x v="0"/>
    <n v="0.2"/>
    <n v="9.5616000000000092"/>
  </r>
  <r>
    <s v="Odella Nelson"/>
    <s v="Corporate"/>
    <x v="0"/>
    <s v="Eagan"/>
    <x v="11"/>
    <n v="55122"/>
    <x v="2"/>
    <s v="TEC-AC-10000171"/>
    <x v="2"/>
    <s v="Accessories"/>
    <s v="Verbatim 25 GB 6x Blu-ray Single Layer Recordable Disc, 25/Pack"/>
    <x v="44"/>
    <x v="0"/>
    <n v="0"/>
    <n v="19.7714"/>
  </r>
  <r>
    <s v="Odella Nelson"/>
    <s v="Corporate"/>
    <x v="0"/>
    <s v="Eagan"/>
    <x v="11"/>
    <n v="55122"/>
    <x v="2"/>
    <s v="OFF-BI-10003291"/>
    <x v="1"/>
    <s v="Binders"/>
    <s v="Wilson Jones Leather-Like Binders with DublLock Round Rings"/>
    <x v="45"/>
    <x v="0"/>
    <n v="0"/>
    <n v="8.2061999999999991"/>
  </r>
  <r>
    <s v="Patrick O'Donnell"/>
    <s v="Consumer"/>
    <x v="0"/>
    <s v="Westland"/>
    <x v="12"/>
    <n v="48185"/>
    <x v="2"/>
    <s v="OFF-ST-10001713"/>
    <x v="1"/>
    <s v="Storage"/>
    <s v="Gould Plastics 9-Pocket Panel Bin, 18-3/8w x 5-1/4d x 20-1/2h, Black"/>
    <x v="46"/>
    <x v="4"/>
    <n v="0"/>
    <n v="8.4783999999999935"/>
  </r>
  <r>
    <s v="Lena Hernandez"/>
    <s v="Consumer"/>
    <x v="0"/>
    <s v="Dover"/>
    <x v="13"/>
    <n v="19901"/>
    <x v="3"/>
    <s v="TEC-AC-10002167"/>
    <x v="2"/>
    <s v="Accessories"/>
    <s v="Imation 8gb Micro Traveldrive Usb 2.0 Flash Drive"/>
    <x v="47"/>
    <x v="1"/>
    <n v="0"/>
    <n v="4.9500000000000011"/>
  </r>
  <r>
    <s v="Lena Hernandez"/>
    <s v="Consumer"/>
    <x v="0"/>
    <s v="Dover"/>
    <x v="13"/>
    <n v="19901"/>
    <x v="3"/>
    <s v="TEC-PH-10003988"/>
    <x v="2"/>
    <s v="Phones"/>
    <s v="LF Elite 3D Dazzle Designer Hard Case Cover, Lf Stylus Pen and Wiper For Apple Iphone 5c Mini Lite"/>
    <x v="48"/>
    <x v="0"/>
    <n v="0"/>
    <n v="6.104000000000001"/>
  </r>
  <r>
    <s v="Darren Powers"/>
    <s v="Consumer"/>
    <x v="0"/>
    <s v="New Albany"/>
    <x v="14"/>
    <n v="47150"/>
    <x v="2"/>
    <s v="OFF-BI-10004410"/>
    <x v="1"/>
    <s v="Binders"/>
    <s v="C-Line Peel &amp; Stick Add-On Filing Pockets, 8-3/4 x 5-1/8, 10/Pack"/>
    <x v="49"/>
    <x v="5"/>
    <n v="0"/>
    <n v="17.9634"/>
  </r>
  <r>
    <s v="Darren Powers"/>
    <s v="Consumer"/>
    <x v="0"/>
    <s v="New Albany"/>
    <x v="14"/>
    <n v="47150"/>
    <x v="2"/>
    <s v="OFF-LA-10002762"/>
    <x v="1"/>
    <s v="Labels"/>
    <s v="Avery 485"/>
    <x v="50"/>
    <x v="5"/>
    <n v="0"/>
    <n v="35.334599999999995"/>
  </r>
  <r>
    <s v="Darren Powers"/>
    <s v="Consumer"/>
    <x v="0"/>
    <s v="New Albany"/>
    <x v="14"/>
    <n v="47150"/>
    <x v="2"/>
    <s v="FUR-FU-10001706"/>
    <x v="0"/>
    <s v="Furnishings"/>
    <s v="Longer-Life Soft White Bulbs"/>
    <x v="51"/>
    <x v="0"/>
    <n v="0"/>
    <n v="2.9567999999999999"/>
  </r>
  <r>
    <s v="Darren Powers"/>
    <s v="Consumer"/>
    <x v="0"/>
    <s v="New Albany"/>
    <x v="14"/>
    <n v="47150"/>
    <x v="2"/>
    <s v="FUR-CH-10003061"/>
    <x v="0"/>
    <s v="Chairs"/>
    <s v="Global Leather Task Chair, Black"/>
    <x v="52"/>
    <x v="7"/>
    <n v="0"/>
    <n v="17.098099999999988"/>
  </r>
  <r>
    <s v="Janet Molinari"/>
    <s v="Corporate"/>
    <x v="0"/>
    <s v="New York City"/>
    <x v="15"/>
    <n v="10024"/>
    <x v="3"/>
    <s v="OFF-FA-10000304"/>
    <x v="1"/>
    <s v="Fasteners"/>
    <s v="Advantus Push Pins"/>
    <x v="53"/>
    <x v="3"/>
    <n v="0"/>
    <n v="6.2566000000000006"/>
  </r>
  <r>
    <m/>
    <m/>
    <x v="1"/>
    <m/>
    <x v="16"/>
    <m/>
    <x v="4"/>
    <m/>
    <x v="3"/>
    <m/>
    <m/>
    <x v="54"/>
    <x v="8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n v="1"/>
    <s v="Raman"/>
    <s v="Sinha"/>
    <s v="Male"/>
    <s v="Raman@gmail.com"/>
    <s v="India"/>
    <n v="66"/>
    <n v="44"/>
    <n v="66"/>
    <n v="55"/>
    <n v="231"/>
    <n v="231"/>
    <n v="57.75"/>
    <n v="57.75"/>
    <n v="5.241660993873383E-2"/>
  </r>
  <r>
    <n v="2"/>
    <s v="Jatin"/>
    <s v="Sharma"/>
    <s v="Male"/>
    <s v="Jatin@gmail.com"/>
    <s v="India"/>
    <n v="77"/>
    <n v="55"/>
    <n v="77"/>
    <n v="88"/>
    <n v="297"/>
    <n v="297"/>
    <n v="74.25"/>
    <n v="74.25"/>
    <n v="6.7392784206943501E-2"/>
  </r>
  <r>
    <n v="3"/>
    <s v="Divya"/>
    <s v="Wadhwan"/>
    <s v="Female"/>
    <s v="Divya@gmail.com"/>
    <s v="India"/>
    <n v="88"/>
    <n v="66"/>
    <n v="88"/>
    <n v="99"/>
    <n v="341"/>
    <n v="341"/>
    <n v="85.25"/>
    <n v="85.25"/>
    <n v="7.7376900385749944E-2"/>
  </r>
  <r>
    <n v="4"/>
    <s v="Ayush"/>
    <s v="Kapoor"/>
    <s v="Male"/>
    <s v="Ayush@gmail.com"/>
    <s v="UK"/>
    <n v="78"/>
    <n v="78"/>
    <n v="78"/>
    <n v="78"/>
    <n v="312"/>
    <n v="312"/>
    <n v="78"/>
    <n v="78"/>
    <n v="7.0796460176991149E-2"/>
  </r>
  <r>
    <n v="5"/>
    <s v="Nitisha"/>
    <s v="Srivastava"/>
    <s v="Female"/>
    <s v="Nitisha@gmail.com"/>
    <s v="India"/>
    <n v="90"/>
    <n v="90"/>
    <n v="90"/>
    <n v="90"/>
    <n v="360"/>
    <n v="360"/>
    <n v="90"/>
    <n v="90"/>
    <n v="8.168822328114364E-2"/>
  </r>
  <r>
    <n v="6"/>
    <s v="Monika"/>
    <s v="Sharma"/>
    <s v="Female"/>
    <s v="Monika@gmail.com"/>
    <s v="US"/>
    <n v="56"/>
    <n v="56"/>
    <n v="56"/>
    <n v="56"/>
    <n v="224"/>
    <n v="224"/>
    <n v="56"/>
    <n v="56"/>
    <n v="5.0828227819378263E-2"/>
  </r>
  <r>
    <n v="7"/>
    <s v="Divya"/>
    <s v="Sinha"/>
    <s v="Female"/>
    <s v="Divya@gmail.com"/>
    <s v="India"/>
    <n v="78"/>
    <n v="78"/>
    <n v="78"/>
    <n v="33"/>
    <n v="267"/>
    <n v="267"/>
    <n v="66.75"/>
    <n v="66.75"/>
    <n v="6.0585432266848198E-2"/>
  </r>
  <r>
    <n v="8"/>
    <s v="Rohit"/>
    <s v="Kapoor"/>
    <s v="Male"/>
    <s v="Rohit@gmail.com"/>
    <s v="India"/>
    <n v="67"/>
    <n v="67"/>
    <n v="67"/>
    <n v="44"/>
    <n v="245"/>
    <n v="245"/>
    <n v="61.25"/>
    <n v="61.25"/>
    <n v="5.5593374177444976E-2"/>
  </r>
  <r>
    <n v="9"/>
    <s v="Kshitiz"/>
    <s v="Johar"/>
    <s v="Male"/>
    <s v="Kshitiz@gmail.com"/>
    <s v="UK"/>
    <n v="81"/>
    <n v="81"/>
    <n v="81"/>
    <n v="55"/>
    <n v="298"/>
    <n v="298"/>
    <n v="74.5"/>
    <n v="74.5"/>
    <n v="6.7619695938280003E-2"/>
  </r>
  <r>
    <n v="10"/>
    <s v="Jyoti"/>
    <s v="Pandey"/>
    <s v="Female"/>
    <s v="Jyoti@gmail.com"/>
    <s v="India"/>
    <n v="67"/>
    <n v="67"/>
    <n v="77"/>
    <n v="67"/>
    <n v="278"/>
    <n v="278"/>
    <n v="69.5"/>
    <n v="69.5"/>
    <n v="6.3081461311549805E-2"/>
  </r>
  <r>
    <n v="11"/>
    <s v="Mahima"/>
    <s v="Singh"/>
    <s v="Female"/>
    <s v="Mahima@gmail.com"/>
    <s v="India"/>
    <n v="78"/>
    <n v="78"/>
    <n v="78"/>
    <n v="78"/>
    <n v="312"/>
    <n v="312"/>
    <n v="78"/>
    <n v="78"/>
    <n v="7.0796460176991149E-2"/>
  </r>
  <r>
    <n v="12"/>
    <s v="Ayush"/>
    <s v="Kumar"/>
    <s v="Male"/>
    <s v="Ayush@gmail.com"/>
    <s v="UK"/>
    <n v="90"/>
    <n v="90"/>
    <n v="55"/>
    <n v="90"/>
    <n v="325"/>
    <n v="325"/>
    <n v="81.25"/>
    <n v="81.25"/>
    <n v="7.3746312684365781E-2"/>
  </r>
  <r>
    <n v="13"/>
    <s v="Nitisha"/>
    <s v="Gaur"/>
    <s v="Female"/>
    <s v="Nitisha@gmail.com"/>
    <s v="India"/>
    <n v="67"/>
    <n v="67"/>
    <n v="67"/>
    <n v="67"/>
    <n v="268"/>
    <n v="268"/>
    <n v="67"/>
    <n v="67"/>
    <n v="6.0812343998184706E-2"/>
  </r>
  <r>
    <n v="14"/>
    <s v="Ridhi"/>
    <s v="Bansal"/>
    <s v="Female"/>
    <s v="Ridhi@gmail.com"/>
    <s v="US"/>
    <n v="93"/>
    <n v="93"/>
    <n v="66"/>
    <n v="93"/>
    <n v="345"/>
    <n v="345"/>
    <n v="86.25"/>
    <n v="86.25"/>
    <n v="7.8284547311095978E-2"/>
  </r>
  <r>
    <n v="15"/>
    <s v="Vidhi"/>
    <s v="Agarwal"/>
    <s v="Female"/>
    <s v="Vidhi@gmail.com"/>
    <s v="India"/>
    <n v="76"/>
    <n v="76"/>
    <n v="76"/>
    <n v="76"/>
    <n v="304"/>
    <n v="304"/>
    <n v="76"/>
    <n v="76"/>
    <n v="6.898116632629906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5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5"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>
      <items count="56">
        <item x="15"/>
        <item x="30"/>
        <item x="51"/>
        <item x="32"/>
        <item x="6"/>
        <item x="18"/>
        <item x="28"/>
        <item x="25"/>
        <item x="2"/>
        <item x="53"/>
        <item x="12"/>
        <item x="33"/>
        <item x="45"/>
        <item x="8"/>
        <item x="21"/>
        <item x="48"/>
        <item x="4"/>
        <item x="20"/>
        <item x="34"/>
        <item x="49"/>
        <item x="47"/>
        <item x="44"/>
        <item x="5"/>
        <item x="17"/>
        <item x="22"/>
        <item x="14"/>
        <item x="23"/>
        <item x="50"/>
        <item x="42"/>
        <item x="31"/>
        <item x="52"/>
        <item x="26"/>
        <item x="43"/>
        <item x="37"/>
        <item x="9"/>
        <item x="29"/>
        <item x="41"/>
        <item x="36"/>
        <item x="46"/>
        <item x="39"/>
        <item x="19"/>
        <item x="0"/>
        <item x="40"/>
        <item x="13"/>
        <item x="38"/>
        <item x="16"/>
        <item x="1"/>
        <item x="7"/>
        <item x="11"/>
        <item x="3"/>
        <item x="24"/>
        <item x="35"/>
        <item x="10"/>
        <item x="27"/>
        <item x="54"/>
        <item t="default"/>
      </items>
    </pivotField>
    <pivotField dataField="1" showAll="0">
      <items count="10">
        <item x="7"/>
        <item x="0"/>
        <item x="1"/>
        <item x="4"/>
        <item x="2"/>
        <item x="5"/>
        <item x="3"/>
        <item x="6"/>
        <item x="8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Quantity" fld="1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15">
    <pivotField showAll="0"/>
    <pivotField showAll="0"/>
    <pivotField showAll="0"/>
    <pivotField showAll="0"/>
    <pivotField axis="axisRow" showAll="0">
      <items count="18">
        <item x="1"/>
        <item x="13"/>
        <item x="2"/>
        <item x="10"/>
        <item x="14"/>
        <item x="0"/>
        <item x="12"/>
        <item x="11"/>
        <item x="8"/>
        <item x="15"/>
        <item x="3"/>
        <item x="9"/>
        <item x="5"/>
        <item x="7"/>
        <item x="4"/>
        <item x="6"/>
        <item x="16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es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9"/>
      <c r="B3" s="10"/>
      <c r="C3" s="11"/>
    </row>
    <row r="4" spans="1:3" x14ac:dyDescent="0.25">
      <c r="A4" s="12"/>
      <c r="B4" s="13"/>
      <c r="C4" s="14"/>
    </row>
    <row r="5" spans="1:3" x14ac:dyDescent="0.25">
      <c r="A5" s="12"/>
      <c r="B5" s="13"/>
      <c r="C5" s="14"/>
    </row>
    <row r="6" spans="1:3" x14ac:dyDescent="0.25">
      <c r="A6" s="12"/>
      <c r="B6" s="13"/>
      <c r="C6" s="14"/>
    </row>
    <row r="7" spans="1:3" x14ac:dyDescent="0.25">
      <c r="A7" s="12"/>
      <c r="B7" s="13"/>
      <c r="C7" s="14"/>
    </row>
    <row r="8" spans="1:3" x14ac:dyDescent="0.25">
      <c r="A8" s="12"/>
      <c r="B8" s="13"/>
      <c r="C8" s="14"/>
    </row>
    <row r="9" spans="1:3" x14ac:dyDescent="0.25">
      <c r="A9" s="12"/>
      <c r="B9" s="13"/>
      <c r="C9" s="14"/>
    </row>
    <row r="10" spans="1:3" x14ac:dyDescent="0.25">
      <c r="A10" s="12"/>
      <c r="B10" s="13"/>
      <c r="C10" s="14"/>
    </row>
    <row r="11" spans="1:3" x14ac:dyDescent="0.25">
      <c r="A11" s="12"/>
      <c r="B11" s="13"/>
      <c r="C11" s="14"/>
    </row>
    <row r="12" spans="1:3" x14ac:dyDescent="0.25">
      <c r="A12" s="12"/>
      <c r="B12" s="13"/>
      <c r="C12" s="14"/>
    </row>
    <row r="13" spans="1:3" x14ac:dyDescent="0.25">
      <c r="A13" s="12"/>
      <c r="B13" s="13"/>
      <c r="C13" s="14"/>
    </row>
    <row r="14" spans="1:3" x14ac:dyDescent="0.25">
      <c r="A14" s="12"/>
      <c r="B14" s="13"/>
      <c r="C14" s="14"/>
    </row>
    <row r="15" spans="1:3" x14ac:dyDescent="0.25">
      <c r="A15" s="12"/>
      <c r="B15" s="13"/>
      <c r="C15" s="14"/>
    </row>
    <row r="16" spans="1:3" x14ac:dyDescent="0.25">
      <c r="A16" s="12"/>
      <c r="B16" s="13"/>
      <c r="C16" s="14"/>
    </row>
    <row r="17" spans="1:3" x14ac:dyDescent="0.25">
      <c r="A17" s="12"/>
      <c r="B17" s="13"/>
      <c r="C17" s="14"/>
    </row>
    <row r="18" spans="1:3" x14ac:dyDescent="0.25">
      <c r="A18" s="12"/>
      <c r="B18" s="13"/>
      <c r="C18" s="14"/>
    </row>
    <row r="19" spans="1:3" x14ac:dyDescent="0.25">
      <c r="A19" s="12"/>
      <c r="B19" s="13"/>
      <c r="C19" s="14"/>
    </row>
    <row r="20" spans="1:3" x14ac:dyDescent="0.25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R1" zoomScale="130" zoomScaleNormal="130" workbookViewId="0">
      <selection activeCell="C21" sqref="C21"/>
    </sheetView>
  </sheetViews>
  <sheetFormatPr defaultRowHeight="15" x14ac:dyDescent="0.25"/>
  <cols>
    <col min="4" max="4" width="17.7109375" customWidth="1"/>
    <col min="8" max="8" width="12.85546875" bestFit="1" customWidth="1"/>
    <col min="11" max="11" width="12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  <c r="L1" t="s">
        <v>52</v>
      </c>
      <c r="M1" t="s">
        <v>54</v>
      </c>
      <c r="N1" t="s">
        <v>55</v>
      </c>
      <c r="O1" t="s">
        <v>71</v>
      </c>
      <c r="Q1" t="s">
        <v>74</v>
      </c>
      <c r="R1" t="s">
        <v>75</v>
      </c>
    </row>
    <row r="2" spans="1:18" x14ac:dyDescent="0.25">
      <c r="A2">
        <v>1</v>
      </c>
      <c r="B2" t="s">
        <v>10</v>
      </c>
      <c r="C2" t="s">
        <v>22</v>
      </c>
      <c r="D2" t="s">
        <v>34</v>
      </c>
      <c r="E2" t="str">
        <f>B2&amp;"@gmail.com"</f>
        <v>Raman@gmail.com</v>
      </c>
      <c r="F2" t="s">
        <v>36</v>
      </c>
      <c r="G2">
        <v>66</v>
      </c>
      <c r="H2">
        <v>44</v>
      </c>
      <c r="I2">
        <v>66</v>
      </c>
      <c r="J2">
        <v>55</v>
      </c>
      <c r="K2">
        <f>G2+H2+I2+J2</f>
        <v>231</v>
      </c>
      <c r="L2">
        <f>SUM(G2:J2)</f>
        <v>231</v>
      </c>
      <c r="M2">
        <f>K2/4</f>
        <v>57.75</v>
      </c>
      <c r="N2">
        <f>AVERAGE(G2:J2)</f>
        <v>57.75</v>
      </c>
      <c r="O2">
        <f>K2/$P$2</f>
        <v>5.241660993873383E-2</v>
      </c>
      <c r="P2">
        <f>SUM(K2:K16)</f>
        <v>4407</v>
      </c>
      <c r="Q2">
        <f>IF(D2="Male",1,0)</f>
        <v>1</v>
      </c>
      <c r="R2" t="str">
        <f>IF(N2&gt;=80,"A",IF(N2&gt;=60,"B",IF(N2&gt;=40,"C","F")))</f>
        <v>C</v>
      </c>
    </row>
    <row r="3" spans="1:18" x14ac:dyDescent="0.25">
      <c r="A3">
        <v>2</v>
      </c>
      <c r="B3" t="s">
        <v>11</v>
      </c>
      <c r="C3" t="s">
        <v>23</v>
      </c>
      <c r="D3" t="s">
        <v>34</v>
      </c>
      <c r="E3" t="str">
        <f t="shared" ref="E3:E16" si="0">B3&amp;"@gmail.com"</f>
        <v>Jatin@gmail.com</v>
      </c>
      <c r="F3" t="s">
        <v>36</v>
      </c>
      <c r="G3">
        <v>77</v>
      </c>
      <c r="H3">
        <v>55</v>
      </c>
      <c r="I3">
        <v>77</v>
      </c>
      <c r="J3">
        <v>88</v>
      </c>
      <c r="K3">
        <f t="shared" ref="K3:K16" si="1">G3+H3+I3+J3</f>
        <v>297</v>
      </c>
      <c r="L3">
        <f t="shared" ref="L3:L16" si="2">SUM(G3:J3)</f>
        <v>297</v>
      </c>
      <c r="M3">
        <f t="shared" ref="M3:M16" si="3">K3/4</f>
        <v>74.25</v>
      </c>
      <c r="N3">
        <f t="shared" ref="N3:N16" si="4">AVERAGE(G3:J3)</f>
        <v>74.25</v>
      </c>
      <c r="O3">
        <f t="shared" ref="O3:O16" si="5">K3/$P$2</f>
        <v>6.7392784206943501E-2</v>
      </c>
      <c r="Q3">
        <f t="shared" ref="Q3:Q16" si="6">IF(D3="Male",1,0)</f>
        <v>1</v>
      </c>
      <c r="R3" t="str">
        <f t="shared" ref="R3:R16" si="7">IF(N3&gt;=80,"A",IF(N3&gt;=60,"B",IF(N3&gt;=40,"C","F")))</f>
        <v>B</v>
      </c>
    </row>
    <row r="4" spans="1:18" x14ac:dyDescent="0.25">
      <c r="A4">
        <v>3</v>
      </c>
      <c r="B4" t="s">
        <v>12</v>
      </c>
      <c r="C4" t="s">
        <v>24</v>
      </c>
      <c r="D4" t="s">
        <v>35</v>
      </c>
      <c r="E4" t="str">
        <f t="shared" si="0"/>
        <v>Divya@gmail.com</v>
      </c>
      <c r="F4" t="s">
        <v>36</v>
      </c>
      <c r="G4">
        <v>88</v>
      </c>
      <c r="H4">
        <v>66</v>
      </c>
      <c r="I4">
        <v>88</v>
      </c>
      <c r="J4">
        <v>99</v>
      </c>
      <c r="K4">
        <f t="shared" si="1"/>
        <v>341</v>
      </c>
      <c r="L4">
        <f t="shared" si="2"/>
        <v>341</v>
      </c>
      <c r="M4">
        <f t="shared" si="3"/>
        <v>85.25</v>
      </c>
      <c r="N4">
        <f t="shared" si="4"/>
        <v>85.25</v>
      </c>
      <c r="O4">
        <f t="shared" si="5"/>
        <v>7.7376900385749944E-2</v>
      </c>
      <c r="Q4">
        <f t="shared" si="6"/>
        <v>0</v>
      </c>
      <c r="R4" t="str">
        <f t="shared" si="7"/>
        <v>A</v>
      </c>
    </row>
    <row r="5" spans="1:18" x14ac:dyDescent="0.25">
      <c r="A5">
        <v>4</v>
      </c>
      <c r="B5" t="s">
        <v>13</v>
      </c>
      <c r="C5" t="s">
        <v>25</v>
      </c>
      <c r="D5" t="s">
        <v>34</v>
      </c>
      <c r="E5" t="str">
        <f t="shared" si="0"/>
        <v>Ayush@gmail.com</v>
      </c>
      <c r="F5" t="s">
        <v>37</v>
      </c>
      <c r="G5">
        <v>78</v>
      </c>
      <c r="H5">
        <v>78</v>
      </c>
      <c r="I5">
        <v>78</v>
      </c>
      <c r="J5">
        <v>78</v>
      </c>
      <c r="K5">
        <f t="shared" si="1"/>
        <v>312</v>
      </c>
      <c r="L5">
        <f t="shared" si="2"/>
        <v>312</v>
      </c>
      <c r="M5">
        <f t="shared" si="3"/>
        <v>78</v>
      </c>
      <c r="N5">
        <f t="shared" si="4"/>
        <v>78</v>
      </c>
      <c r="O5">
        <f t="shared" si="5"/>
        <v>7.0796460176991149E-2</v>
      </c>
      <c r="Q5">
        <f t="shared" si="6"/>
        <v>1</v>
      </c>
      <c r="R5" t="str">
        <f t="shared" si="7"/>
        <v>B</v>
      </c>
    </row>
    <row r="6" spans="1:18" x14ac:dyDescent="0.25">
      <c r="A6">
        <v>5</v>
      </c>
      <c r="B6" t="s">
        <v>14</v>
      </c>
      <c r="C6" t="s">
        <v>26</v>
      </c>
      <c r="D6" t="s">
        <v>35</v>
      </c>
      <c r="E6" t="str">
        <f t="shared" si="0"/>
        <v>Nitisha@gmail.com</v>
      </c>
      <c r="F6" t="s">
        <v>36</v>
      </c>
      <c r="G6">
        <v>90</v>
      </c>
      <c r="H6">
        <v>90</v>
      </c>
      <c r="I6">
        <v>90</v>
      </c>
      <c r="J6">
        <v>90</v>
      </c>
      <c r="K6">
        <f t="shared" si="1"/>
        <v>360</v>
      </c>
      <c r="L6">
        <f t="shared" si="2"/>
        <v>360</v>
      </c>
      <c r="M6">
        <f t="shared" si="3"/>
        <v>90</v>
      </c>
      <c r="N6">
        <f t="shared" si="4"/>
        <v>90</v>
      </c>
      <c r="O6">
        <f t="shared" si="5"/>
        <v>8.168822328114364E-2</v>
      </c>
      <c r="Q6">
        <f t="shared" si="6"/>
        <v>0</v>
      </c>
      <c r="R6" t="str">
        <f t="shared" si="7"/>
        <v>A</v>
      </c>
    </row>
    <row r="7" spans="1:18" x14ac:dyDescent="0.25">
      <c r="A7">
        <v>6</v>
      </c>
      <c r="B7" t="s">
        <v>15</v>
      </c>
      <c r="C7" t="s">
        <v>23</v>
      </c>
      <c r="D7" t="s">
        <v>35</v>
      </c>
      <c r="E7" t="str">
        <f t="shared" si="0"/>
        <v>Monika@gmail.com</v>
      </c>
      <c r="F7" t="s">
        <v>38</v>
      </c>
      <c r="G7">
        <v>56</v>
      </c>
      <c r="H7">
        <v>56</v>
      </c>
      <c r="I7">
        <v>56</v>
      </c>
      <c r="J7">
        <v>56</v>
      </c>
      <c r="K7">
        <f t="shared" si="1"/>
        <v>224</v>
      </c>
      <c r="L7">
        <f t="shared" si="2"/>
        <v>224</v>
      </c>
      <c r="M7">
        <f t="shared" si="3"/>
        <v>56</v>
      </c>
      <c r="N7">
        <f t="shared" si="4"/>
        <v>56</v>
      </c>
      <c r="O7">
        <f t="shared" si="5"/>
        <v>5.0828227819378263E-2</v>
      </c>
      <c r="Q7">
        <f t="shared" si="6"/>
        <v>0</v>
      </c>
      <c r="R7" t="str">
        <f t="shared" si="7"/>
        <v>C</v>
      </c>
    </row>
    <row r="8" spans="1:18" x14ac:dyDescent="0.25">
      <c r="A8">
        <v>7</v>
      </c>
      <c r="B8" t="s">
        <v>12</v>
      </c>
      <c r="C8" t="s">
        <v>22</v>
      </c>
      <c r="D8" t="s">
        <v>35</v>
      </c>
      <c r="E8" t="str">
        <f t="shared" si="0"/>
        <v>Divya@gmail.com</v>
      </c>
      <c r="F8" t="s">
        <v>36</v>
      </c>
      <c r="G8">
        <v>78</v>
      </c>
      <c r="H8">
        <v>78</v>
      </c>
      <c r="I8">
        <v>78</v>
      </c>
      <c r="J8">
        <v>33</v>
      </c>
      <c r="K8">
        <f t="shared" si="1"/>
        <v>267</v>
      </c>
      <c r="L8">
        <f t="shared" si="2"/>
        <v>267</v>
      </c>
      <c r="M8">
        <f t="shared" si="3"/>
        <v>66.75</v>
      </c>
      <c r="N8">
        <f t="shared" si="4"/>
        <v>66.75</v>
      </c>
      <c r="O8">
        <f t="shared" si="5"/>
        <v>6.0585432266848198E-2</v>
      </c>
      <c r="Q8">
        <f t="shared" si="6"/>
        <v>0</v>
      </c>
      <c r="R8" t="str">
        <f t="shared" si="7"/>
        <v>B</v>
      </c>
    </row>
    <row r="9" spans="1:18" x14ac:dyDescent="0.25">
      <c r="A9">
        <v>8</v>
      </c>
      <c r="B9" t="s">
        <v>16</v>
      </c>
      <c r="C9" t="s">
        <v>25</v>
      </c>
      <c r="D9" t="s">
        <v>34</v>
      </c>
      <c r="E9" t="str">
        <f t="shared" si="0"/>
        <v>Rohit@gmail.com</v>
      </c>
      <c r="F9" t="s">
        <v>36</v>
      </c>
      <c r="G9">
        <v>67</v>
      </c>
      <c r="H9">
        <v>67</v>
      </c>
      <c r="I9">
        <v>67</v>
      </c>
      <c r="J9">
        <v>44</v>
      </c>
      <c r="K9">
        <f t="shared" si="1"/>
        <v>245</v>
      </c>
      <c r="L9">
        <f t="shared" si="2"/>
        <v>245</v>
      </c>
      <c r="M9">
        <f t="shared" si="3"/>
        <v>61.25</v>
      </c>
      <c r="N9">
        <f t="shared" si="4"/>
        <v>61.25</v>
      </c>
      <c r="O9">
        <f t="shared" si="5"/>
        <v>5.5593374177444976E-2</v>
      </c>
      <c r="Q9">
        <f t="shared" si="6"/>
        <v>1</v>
      </c>
      <c r="R9" t="str">
        <f t="shared" si="7"/>
        <v>B</v>
      </c>
    </row>
    <row r="10" spans="1:18" x14ac:dyDescent="0.25">
      <c r="A10">
        <v>9</v>
      </c>
      <c r="B10" t="s">
        <v>17</v>
      </c>
      <c r="C10" t="s">
        <v>27</v>
      </c>
      <c r="D10" t="s">
        <v>34</v>
      </c>
      <c r="E10" t="str">
        <f t="shared" si="0"/>
        <v>Kshitiz@gmail.com</v>
      </c>
      <c r="F10" t="s">
        <v>37</v>
      </c>
      <c r="G10">
        <v>81</v>
      </c>
      <c r="H10">
        <v>81</v>
      </c>
      <c r="I10">
        <v>81</v>
      </c>
      <c r="J10">
        <v>55</v>
      </c>
      <c r="K10">
        <f t="shared" si="1"/>
        <v>298</v>
      </c>
      <c r="L10">
        <f t="shared" si="2"/>
        <v>298</v>
      </c>
      <c r="M10">
        <f t="shared" si="3"/>
        <v>74.5</v>
      </c>
      <c r="N10">
        <f t="shared" si="4"/>
        <v>74.5</v>
      </c>
      <c r="O10">
        <f t="shared" si="5"/>
        <v>6.7619695938280003E-2</v>
      </c>
      <c r="Q10">
        <f t="shared" si="6"/>
        <v>1</v>
      </c>
      <c r="R10" t="str">
        <f t="shared" si="7"/>
        <v>B</v>
      </c>
    </row>
    <row r="11" spans="1:18" x14ac:dyDescent="0.25">
      <c r="A11">
        <v>10</v>
      </c>
      <c r="B11" t="s">
        <v>18</v>
      </c>
      <c r="C11" t="s">
        <v>28</v>
      </c>
      <c r="D11" t="s">
        <v>35</v>
      </c>
      <c r="E11" t="str">
        <f t="shared" si="0"/>
        <v>Jyoti@gmail.com</v>
      </c>
      <c r="F11" t="s">
        <v>36</v>
      </c>
      <c r="G11">
        <v>67</v>
      </c>
      <c r="H11">
        <v>67</v>
      </c>
      <c r="I11">
        <v>77</v>
      </c>
      <c r="J11">
        <v>67</v>
      </c>
      <c r="K11">
        <f t="shared" si="1"/>
        <v>278</v>
      </c>
      <c r="L11">
        <f t="shared" si="2"/>
        <v>278</v>
      </c>
      <c r="M11">
        <f t="shared" si="3"/>
        <v>69.5</v>
      </c>
      <c r="N11">
        <f t="shared" si="4"/>
        <v>69.5</v>
      </c>
      <c r="O11">
        <f t="shared" si="5"/>
        <v>6.3081461311549805E-2</v>
      </c>
      <c r="Q11">
        <f t="shared" si="6"/>
        <v>0</v>
      </c>
      <c r="R11" t="str">
        <f t="shared" si="7"/>
        <v>B</v>
      </c>
    </row>
    <row r="12" spans="1:18" x14ac:dyDescent="0.25">
      <c r="A12">
        <v>11</v>
      </c>
      <c r="B12" t="s">
        <v>19</v>
      </c>
      <c r="C12" t="s">
        <v>29</v>
      </c>
      <c r="D12" t="s">
        <v>35</v>
      </c>
      <c r="E12" t="str">
        <f t="shared" si="0"/>
        <v>Mahima@gmail.com</v>
      </c>
      <c r="F12" t="s">
        <v>36</v>
      </c>
      <c r="G12">
        <v>78</v>
      </c>
      <c r="H12">
        <v>78</v>
      </c>
      <c r="I12">
        <v>78</v>
      </c>
      <c r="J12">
        <v>78</v>
      </c>
      <c r="K12">
        <f t="shared" si="1"/>
        <v>312</v>
      </c>
      <c r="L12">
        <f t="shared" si="2"/>
        <v>312</v>
      </c>
      <c r="M12">
        <f t="shared" si="3"/>
        <v>78</v>
      </c>
      <c r="N12">
        <f t="shared" si="4"/>
        <v>78</v>
      </c>
      <c r="O12">
        <f t="shared" si="5"/>
        <v>7.0796460176991149E-2</v>
      </c>
      <c r="Q12">
        <f t="shared" si="6"/>
        <v>0</v>
      </c>
      <c r="R12" t="str">
        <f t="shared" si="7"/>
        <v>B</v>
      </c>
    </row>
    <row r="13" spans="1:18" x14ac:dyDescent="0.25">
      <c r="A13">
        <v>12</v>
      </c>
      <c r="B13" t="s">
        <v>13</v>
      </c>
      <c r="C13" t="s">
        <v>30</v>
      </c>
      <c r="D13" t="s">
        <v>34</v>
      </c>
      <c r="E13" t="str">
        <f t="shared" si="0"/>
        <v>Ayush@gmail.com</v>
      </c>
      <c r="F13" t="s">
        <v>37</v>
      </c>
      <c r="G13">
        <v>90</v>
      </c>
      <c r="H13">
        <v>90</v>
      </c>
      <c r="I13">
        <v>55</v>
      </c>
      <c r="J13">
        <v>90</v>
      </c>
      <c r="K13">
        <f t="shared" si="1"/>
        <v>325</v>
      </c>
      <c r="L13">
        <f t="shared" si="2"/>
        <v>325</v>
      </c>
      <c r="M13">
        <f t="shared" si="3"/>
        <v>81.25</v>
      </c>
      <c r="N13">
        <f t="shared" si="4"/>
        <v>81.25</v>
      </c>
      <c r="O13">
        <f t="shared" si="5"/>
        <v>7.3746312684365781E-2</v>
      </c>
      <c r="Q13">
        <f t="shared" si="6"/>
        <v>1</v>
      </c>
      <c r="R13" t="str">
        <f t="shared" si="7"/>
        <v>A</v>
      </c>
    </row>
    <row r="14" spans="1:18" x14ac:dyDescent="0.25">
      <c r="A14">
        <v>13</v>
      </c>
      <c r="B14" t="s">
        <v>14</v>
      </c>
      <c r="C14" t="s">
        <v>31</v>
      </c>
      <c r="D14" t="s">
        <v>35</v>
      </c>
      <c r="E14" t="str">
        <f t="shared" si="0"/>
        <v>Nitisha@gmail.com</v>
      </c>
      <c r="F14" t="s">
        <v>36</v>
      </c>
      <c r="G14">
        <v>67</v>
      </c>
      <c r="H14">
        <v>67</v>
      </c>
      <c r="I14">
        <v>67</v>
      </c>
      <c r="J14">
        <v>67</v>
      </c>
      <c r="K14">
        <f t="shared" si="1"/>
        <v>268</v>
      </c>
      <c r="L14">
        <f t="shared" si="2"/>
        <v>268</v>
      </c>
      <c r="M14">
        <f t="shared" si="3"/>
        <v>67</v>
      </c>
      <c r="N14">
        <f t="shared" si="4"/>
        <v>67</v>
      </c>
      <c r="O14">
        <f t="shared" si="5"/>
        <v>6.0812343998184706E-2</v>
      </c>
      <c r="Q14">
        <f t="shared" si="6"/>
        <v>0</v>
      </c>
      <c r="R14" t="str">
        <f t="shared" si="7"/>
        <v>B</v>
      </c>
    </row>
    <row r="15" spans="1:18" x14ac:dyDescent="0.25">
      <c r="A15">
        <v>14</v>
      </c>
      <c r="B15" t="s">
        <v>20</v>
      </c>
      <c r="C15" t="s">
        <v>32</v>
      </c>
      <c r="D15" t="s">
        <v>35</v>
      </c>
      <c r="E15" t="str">
        <f t="shared" si="0"/>
        <v>Ridhi@gmail.com</v>
      </c>
      <c r="F15" t="s">
        <v>38</v>
      </c>
      <c r="G15">
        <v>93</v>
      </c>
      <c r="H15">
        <v>93</v>
      </c>
      <c r="I15">
        <v>66</v>
      </c>
      <c r="J15">
        <v>93</v>
      </c>
      <c r="K15">
        <f t="shared" si="1"/>
        <v>345</v>
      </c>
      <c r="L15">
        <f t="shared" si="2"/>
        <v>345</v>
      </c>
      <c r="M15">
        <f t="shared" si="3"/>
        <v>86.25</v>
      </c>
      <c r="N15">
        <f t="shared" si="4"/>
        <v>86.25</v>
      </c>
      <c r="O15">
        <f t="shared" si="5"/>
        <v>7.8284547311095978E-2</v>
      </c>
      <c r="Q15">
        <f t="shared" si="6"/>
        <v>0</v>
      </c>
      <c r="R15" t="str">
        <f t="shared" si="7"/>
        <v>A</v>
      </c>
    </row>
    <row r="16" spans="1:18" x14ac:dyDescent="0.25">
      <c r="A16">
        <v>15</v>
      </c>
      <c r="B16" t="s">
        <v>21</v>
      </c>
      <c r="C16" t="s">
        <v>33</v>
      </c>
      <c r="D16" t="s">
        <v>35</v>
      </c>
      <c r="E16" t="str">
        <f t="shared" si="0"/>
        <v>Vidhi@gmail.com</v>
      </c>
      <c r="F16" t="s">
        <v>36</v>
      </c>
      <c r="G16">
        <v>76</v>
      </c>
      <c r="H16">
        <v>76</v>
      </c>
      <c r="I16">
        <v>76</v>
      </c>
      <c r="J16">
        <v>76</v>
      </c>
      <c r="K16">
        <f t="shared" si="1"/>
        <v>304</v>
      </c>
      <c r="L16">
        <f t="shared" si="2"/>
        <v>304</v>
      </c>
      <c r="M16">
        <f t="shared" si="3"/>
        <v>76</v>
      </c>
      <c r="N16">
        <f t="shared" si="4"/>
        <v>76</v>
      </c>
      <c r="O16">
        <f t="shared" si="5"/>
        <v>6.8981166326299068E-2</v>
      </c>
      <c r="Q16">
        <f t="shared" si="6"/>
        <v>0</v>
      </c>
      <c r="R16" t="str">
        <f t="shared" si="7"/>
        <v>B</v>
      </c>
    </row>
    <row r="19" spans="3:14" x14ac:dyDescent="0.25">
      <c r="C19" t="s">
        <v>39</v>
      </c>
      <c r="J19" t="s">
        <v>56</v>
      </c>
      <c r="L19">
        <f>MAX(L2:L16)</f>
        <v>360</v>
      </c>
      <c r="N19">
        <f t="shared" ref="N19" si="8">MAX(N2:N16)</f>
        <v>90</v>
      </c>
    </row>
    <row r="20" spans="3:14" x14ac:dyDescent="0.25">
      <c r="D20" t="s">
        <v>40</v>
      </c>
      <c r="E20" t="s">
        <v>47</v>
      </c>
      <c r="J20" t="s">
        <v>57</v>
      </c>
      <c r="L20">
        <f>MIN(L2:L16)</f>
        <v>224</v>
      </c>
      <c r="N20">
        <f t="shared" ref="N20" si="9">MIN(N2:N16)</f>
        <v>56</v>
      </c>
    </row>
    <row r="21" spans="3:14" x14ac:dyDescent="0.25">
      <c r="D21" t="s">
        <v>41</v>
      </c>
      <c r="E21" t="s">
        <v>42</v>
      </c>
      <c r="J21">
        <v>3</v>
      </c>
      <c r="K21" t="s">
        <v>58</v>
      </c>
      <c r="L21">
        <f>SMALL(L2:L16,J21)</f>
        <v>245</v>
      </c>
      <c r="N21">
        <f>SMALL(N2:N16,J21)</f>
        <v>61.25</v>
      </c>
    </row>
    <row r="22" spans="3:14" x14ac:dyDescent="0.25">
      <c r="D22" t="s">
        <v>43</v>
      </c>
      <c r="E22" t="s">
        <v>44</v>
      </c>
      <c r="J22">
        <v>2</v>
      </c>
      <c r="K22" t="s">
        <v>60</v>
      </c>
      <c r="L22">
        <f>LARGE(L2:L16,J22)</f>
        <v>345</v>
      </c>
      <c r="N22">
        <f>LARGE(N2:N16,J22)</f>
        <v>86.25</v>
      </c>
    </row>
    <row r="23" spans="3:14" x14ac:dyDescent="0.25">
      <c r="D23" t="s">
        <v>45</v>
      </c>
      <c r="E23" t="s">
        <v>46</v>
      </c>
    </row>
    <row r="24" spans="3:14" x14ac:dyDescent="0.25">
      <c r="D24" t="s">
        <v>48</v>
      </c>
      <c r="E24" t="s">
        <v>51</v>
      </c>
      <c r="H24" t="s">
        <v>59</v>
      </c>
    </row>
    <row r="25" spans="3:14" x14ac:dyDescent="0.25">
      <c r="D25" t="s">
        <v>49</v>
      </c>
      <c r="E25" t="s">
        <v>50</v>
      </c>
    </row>
    <row r="27" spans="3:14" x14ac:dyDescent="0.25">
      <c r="D27" t="s">
        <v>63</v>
      </c>
      <c r="J27" t="s">
        <v>35</v>
      </c>
      <c r="K27">
        <f>SUMIF(D2:D16,J27,G2:G16)</f>
        <v>693</v>
      </c>
    </row>
    <row r="28" spans="3:14" x14ac:dyDescent="0.25">
      <c r="D28" t="s">
        <v>61</v>
      </c>
      <c r="J28" t="s">
        <v>35</v>
      </c>
      <c r="K28" t="s">
        <v>36</v>
      </c>
      <c r="L28">
        <f>SUMIFS(G2:G16,D2:D16,J28,F2:F16,K28)</f>
        <v>544</v>
      </c>
    </row>
    <row r="29" spans="3:14" x14ac:dyDescent="0.25">
      <c r="D29" t="s">
        <v>62</v>
      </c>
      <c r="E29" t="s">
        <v>65</v>
      </c>
      <c r="J29" t="s">
        <v>34</v>
      </c>
      <c r="K29">
        <f>COUNTIF(D2:D16,J29)</f>
        <v>6</v>
      </c>
    </row>
    <row r="30" spans="3:14" x14ac:dyDescent="0.25">
      <c r="D30" t="s">
        <v>64</v>
      </c>
      <c r="E30" t="s">
        <v>66</v>
      </c>
      <c r="J30" t="s">
        <v>35</v>
      </c>
      <c r="K30" t="s">
        <v>38</v>
      </c>
      <c r="L30">
        <f>COUNTIFS(D2:D16,J30,F2:F16,K30)</f>
        <v>2</v>
      </c>
    </row>
    <row r="32" spans="3:14" x14ac:dyDescent="0.25">
      <c r="D32" t="s">
        <v>67</v>
      </c>
      <c r="F32" t="s">
        <v>70</v>
      </c>
      <c r="G32">
        <f>MAX(G2:G16)-MIN(G2:G16)</f>
        <v>37</v>
      </c>
    </row>
    <row r="33" spans="4:10" x14ac:dyDescent="0.25">
      <c r="D33" t="s">
        <v>68</v>
      </c>
      <c r="G33">
        <f>FACT(8)</f>
        <v>40320</v>
      </c>
      <c r="I33">
        <v>5</v>
      </c>
      <c r="J33">
        <f>5*4*3*2*1</f>
        <v>120</v>
      </c>
    </row>
    <row r="34" spans="4:10" x14ac:dyDescent="0.25">
      <c r="D34" t="s">
        <v>69</v>
      </c>
    </row>
    <row r="36" spans="4:10" x14ac:dyDescent="0.25">
      <c r="D36" t="s">
        <v>72</v>
      </c>
      <c r="E3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D6" sqref="D6"/>
    </sheetView>
  </sheetViews>
  <sheetFormatPr defaultRowHeight="15" x14ac:dyDescent="0.25"/>
  <cols>
    <col min="1" max="1" width="13.140625" customWidth="1"/>
    <col min="2" max="2" width="23.7109375" bestFit="1" customWidth="1"/>
    <col min="3" max="3" width="16.28515625" bestFit="1" customWidth="1"/>
    <col min="4" max="4" width="19.140625" customWidth="1"/>
    <col min="5" max="5" width="20.42578125" customWidth="1"/>
  </cols>
  <sheetData>
    <row r="2" spans="1:5" x14ac:dyDescent="0.25">
      <c r="B2" t="s">
        <v>305</v>
      </c>
    </row>
    <row r="3" spans="1:5" x14ac:dyDescent="0.25">
      <c r="A3" s="18" t="s">
        <v>302</v>
      </c>
      <c r="B3" t="s">
        <v>304</v>
      </c>
      <c r="C3" t="s">
        <v>306</v>
      </c>
      <c r="D3" t="s">
        <v>307</v>
      </c>
      <c r="E3" t="s">
        <v>308</v>
      </c>
    </row>
    <row r="4" spans="1:5" x14ac:dyDescent="0.25">
      <c r="A4" s="19" t="s">
        <v>92</v>
      </c>
      <c r="B4" s="20">
        <v>37</v>
      </c>
      <c r="C4" s="21">
        <f>GETPIVOTDATA("Customer Name",$A$3,"Segment","Consumer")/54</f>
        <v>0.68518518518518523</v>
      </c>
      <c r="D4">
        <f>SUM(GETPIVOTDATA("Customer Name",$A$3,"Segment","Consumer"))</f>
        <v>37</v>
      </c>
      <c r="E4" s="21">
        <f>SUM(C4)</f>
        <v>0.68518518518518523</v>
      </c>
    </row>
    <row r="5" spans="1:5" x14ac:dyDescent="0.25">
      <c r="A5" s="19" t="s">
        <v>105</v>
      </c>
      <c r="B5" s="20">
        <v>10</v>
      </c>
      <c r="C5" s="21">
        <f>GETPIVOTDATA("Customer Name",$A$3,"Segment","Corporate")/54</f>
        <v>0.18518518518518517</v>
      </c>
      <c r="D5">
        <f>SUM(B4:B5)</f>
        <v>47</v>
      </c>
      <c r="E5" s="21">
        <f>SUM(C4:C5)</f>
        <v>0.87037037037037046</v>
      </c>
    </row>
    <row r="6" spans="1:5" x14ac:dyDescent="0.25">
      <c r="A6" s="19" t="s">
        <v>155</v>
      </c>
      <c r="B6" s="20">
        <v>7</v>
      </c>
      <c r="C6" s="21">
        <f>GETPIVOTDATA("Customer Name",$A$3,"Segment","Home Office")/54</f>
        <v>0.12962962962962962</v>
      </c>
      <c r="D6">
        <f>SUM(B4:B6)</f>
        <v>54</v>
      </c>
      <c r="E6" s="21">
        <f>SUM(C4:C6)</f>
        <v>1</v>
      </c>
    </row>
    <row r="7" spans="1:5" x14ac:dyDescent="0.25">
      <c r="A7" s="19" t="s">
        <v>303</v>
      </c>
      <c r="B7" s="20">
        <v>54</v>
      </c>
    </row>
    <row r="11" spans="1:5" x14ac:dyDescent="0.25">
      <c r="C11" t="s">
        <v>309</v>
      </c>
      <c r="D11">
        <v>37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A6" sqref="A6"/>
    </sheetView>
  </sheetViews>
  <sheetFormatPr defaultRowHeight="15" x14ac:dyDescent="0.25"/>
  <cols>
    <col min="1" max="1" width="13.140625" customWidth="1"/>
    <col min="2" max="2" width="16.85546875" bestFit="1" customWidth="1"/>
    <col min="3" max="3" width="13" customWidth="1"/>
    <col min="4" max="4" width="17.5703125" customWidth="1"/>
    <col min="5" max="5" width="14.140625" customWidth="1"/>
    <col min="6" max="7" width="5" customWidth="1"/>
    <col min="8" max="8" width="6" customWidth="1"/>
    <col min="9" max="9" width="7" customWidth="1"/>
    <col min="10" max="11" width="6" customWidth="1"/>
    <col min="12" max="12" width="7" customWidth="1"/>
    <col min="13" max="14" width="6" customWidth="1"/>
    <col min="15" max="15" width="7" customWidth="1"/>
    <col min="16" max="16" width="6" customWidth="1"/>
    <col min="17" max="17" width="5" customWidth="1"/>
    <col min="18" max="18" width="7" customWidth="1"/>
    <col min="19" max="19" width="6" customWidth="1"/>
    <col min="20" max="20" width="7" customWidth="1"/>
    <col min="21" max="21" width="6" customWidth="1"/>
    <col min="22" max="22" width="3" customWidth="1"/>
    <col min="23" max="24" width="6" customWidth="1"/>
    <col min="25" max="25" width="5" customWidth="1"/>
    <col min="26" max="27" width="6" customWidth="1"/>
    <col min="28" max="28" width="7" customWidth="1"/>
    <col min="29" max="30" width="6" customWidth="1"/>
    <col min="31" max="31" width="7" customWidth="1"/>
    <col min="32" max="33" width="6" customWidth="1"/>
    <col min="34" max="34" width="7" customWidth="1"/>
    <col min="35" max="35" width="8" customWidth="1"/>
    <col min="36" max="37" width="6" customWidth="1"/>
    <col min="38" max="38" width="8" customWidth="1"/>
    <col min="39" max="40" width="7" customWidth="1"/>
    <col min="41" max="41" width="8" customWidth="1"/>
    <col min="42" max="43" width="7" customWidth="1"/>
    <col min="44" max="45" width="8" customWidth="1"/>
    <col min="46" max="46" width="9" customWidth="1"/>
    <col min="47" max="48" width="7" customWidth="1"/>
    <col min="49" max="50" width="8" customWidth="1"/>
    <col min="51" max="51" width="9" customWidth="1"/>
    <col min="52" max="52" width="8" customWidth="1"/>
    <col min="53" max="54" width="9" customWidth="1"/>
    <col min="55" max="55" width="8" customWidth="1"/>
    <col min="56" max="56" width="11" bestFit="1" customWidth="1"/>
    <col min="57" max="57" width="11.28515625" customWidth="1"/>
    <col min="58" max="58" width="11.28515625" bestFit="1" customWidth="1"/>
  </cols>
  <sheetData>
    <row r="3" spans="1:5" x14ac:dyDescent="0.25">
      <c r="A3" s="18" t="s">
        <v>302</v>
      </c>
      <c r="B3" t="s">
        <v>312</v>
      </c>
      <c r="C3" t="s">
        <v>313</v>
      </c>
      <c r="D3" t="s">
        <v>314</v>
      </c>
      <c r="E3" t="s">
        <v>315</v>
      </c>
    </row>
    <row r="4" spans="1:5" x14ac:dyDescent="0.25">
      <c r="A4" s="19" t="s">
        <v>158</v>
      </c>
      <c r="B4" s="20">
        <v>20</v>
      </c>
      <c r="C4" s="21">
        <f>GETPIVOTDATA("Quantity",$A$3,"Region","Central")/54</f>
        <v>0.37037037037037035</v>
      </c>
      <c r="D4">
        <f>SUM(GETPIVOTDATA("Quantity",$A$3,"Region","Central"))</f>
        <v>20</v>
      </c>
      <c r="E4" s="21">
        <f>SUM(C4)</f>
        <v>0.37037037037037035</v>
      </c>
    </row>
    <row r="5" spans="1:5" x14ac:dyDescent="0.25">
      <c r="A5" s="19" t="s">
        <v>191</v>
      </c>
      <c r="B5" s="20">
        <v>11</v>
      </c>
      <c r="C5" s="21">
        <f>GETPIVOTDATA("Quantity",$A$3,"Region","East")/54</f>
        <v>0.20370370370370369</v>
      </c>
      <c r="D5">
        <f>SUM(B4:B5)</f>
        <v>31</v>
      </c>
      <c r="E5" s="21">
        <f>SUM(C4:C5)</f>
        <v>0.57407407407407407</v>
      </c>
    </row>
    <row r="6" spans="1:5" x14ac:dyDescent="0.25">
      <c r="A6" s="19" t="s">
        <v>96</v>
      </c>
      <c r="B6" s="20">
        <v>6</v>
      </c>
      <c r="C6" s="21">
        <f>GETPIVOTDATA("Quantity",$A$3,"Region","South")/54</f>
        <v>0.1111111111111111</v>
      </c>
      <c r="D6">
        <f>SUM(B5:B6)</f>
        <v>17</v>
      </c>
      <c r="E6" s="21">
        <f>SUM(C4:C6)</f>
        <v>0.68518518518518512</v>
      </c>
    </row>
    <row r="7" spans="1:5" x14ac:dyDescent="0.25">
      <c r="A7" s="19" t="s">
        <v>108</v>
      </c>
      <c r="B7" s="20">
        <v>17</v>
      </c>
      <c r="C7" s="21">
        <f>GETPIVOTDATA("Quantity",$A$3,"Region","West")/54</f>
        <v>0.31481481481481483</v>
      </c>
      <c r="D7">
        <f>SUM(B6:B7)</f>
        <v>23</v>
      </c>
      <c r="E7" s="21">
        <f>SUM(C4:C7)</f>
        <v>1</v>
      </c>
    </row>
    <row r="8" spans="1:5" x14ac:dyDescent="0.25">
      <c r="A8" s="19" t="s">
        <v>310</v>
      </c>
      <c r="B8" s="20"/>
    </row>
    <row r="9" spans="1:5" x14ac:dyDescent="0.25">
      <c r="A9" s="19" t="s">
        <v>303</v>
      </c>
      <c r="B9" s="20">
        <v>54</v>
      </c>
    </row>
    <row r="11" spans="1:5" x14ac:dyDescent="0.25">
      <c r="C11" t="s">
        <v>300</v>
      </c>
      <c r="D1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I4" sqref="I4:K4"/>
    </sheetView>
  </sheetViews>
  <sheetFormatPr defaultRowHeight="15" x14ac:dyDescent="0.25"/>
  <cols>
    <col min="1" max="1" width="14" bestFit="1" customWidth="1"/>
    <col min="2" max="2" width="12.140625" customWidth="1"/>
    <col min="4" max="4" width="12.85546875" customWidth="1"/>
    <col min="5" max="5" width="15.5703125" customWidth="1"/>
  </cols>
  <sheetData>
    <row r="3" spans="1:9" x14ac:dyDescent="0.25">
      <c r="A3" s="18" t="s">
        <v>302</v>
      </c>
      <c r="B3" t="s">
        <v>311</v>
      </c>
      <c r="C3" t="s">
        <v>316</v>
      </c>
      <c r="D3" t="s">
        <v>317</v>
      </c>
      <c r="E3" t="s">
        <v>318</v>
      </c>
      <c r="G3" t="s">
        <v>302</v>
      </c>
      <c r="H3" t="s">
        <v>311</v>
      </c>
    </row>
    <row r="4" spans="1:9" x14ac:dyDescent="0.25">
      <c r="A4" s="19" t="s">
        <v>107</v>
      </c>
      <c r="B4" s="20">
        <v>4153.7820000000002</v>
      </c>
      <c r="C4" s="21">
        <f>GETPIVOTDATA("Sales",$A$3,"State","California")/30451.6174</f>
        <v>0.13640595655191701</v>
      </c>
      <c r="D4">
        <f>SUM(B4)</f>
        <v>4153.7820000000002</v>
      </c>
      <c r="E4" s="21">
        <f>SUM(C4)</f>
        <v>0.13640595655191701</v>
      </c>
      <c r="G4" t="s">
        <v>107</v>
      </c>
      <c r="H4">
        <v>4153.7820000000002</v>
      </c>
      <c r="I4" s="21">
        <f>H4/$H$20</f>
        <v>0.27281191310383412</v>
      </c>
    </row>
    <row r="5" spans="1:9" x14ac:dyDescent="0.25">
      <c r="A5" s="19" t="s">
        <v>263</v>
      </c>
      <c r="B5" s="20">
        <v>66.8</v>
      </c>
      <c r="C5" s="21">
        <f t="shared" ref="C5:C20" si="0">GETPIVOTDATA("Sales",$A$3,"State","California")/30451.6174</f>
        <v>0.13640595655191701</v>
      </c>
      <c r="D5">
        <f>SUM(B4:B5)</f>
        <v>4220.5820000000003</v>
      </c>
      <c r="E5" s="21">
        <f>SUM(C4:C5)</f>
        <v>0.27281191310383401</v>
      </c>
      <c r="G5" t="s">
        <v>263</v>
      </c>
      <c r="H5">
        <v>66.8</v>
      </c>
      <c r="I5" s="21">
        <f t="shared" ref="I5:I20" si="1">H5/$H$20</f>
        <v>4.3872874877247088E-3</v>
      </c>
    </row>
    <row r="6" spans="1:9" x14ac:dyDescent="0.25">
      <c r="A6" s="19" t="s">
        <v>115</v>
      </c>
      <c r="B6" s="20">
        <v>1075.5615</v>
      </c>
      <c r="C6" s="21">
        <f t="shared" si="0"/>
        <v>0.13640595655191701</v>
      </c>
      <c r="D6">
        <f>SUM(B4:B6)</f>
        <v>5296.1435000000001</v>
      </c>
      <c r="G6" t="s">
        <v>115</v>
      </c>
      <c r="H6">
        <v>1075.5615</v>
      </c>
      <c r="I6" s="21">
        <f t="shared" si="1"/>
        <v>7.0640681305814662E-2</v>
      </c>
    </row>
    <row r="7" spans="1:9" x14ac:dyDescent="0.25">
      <c r="A7" s="19" t="s">
        <v>239</v>
      </c>
      <c r="B7" s="20">
        <v>147.16800000000001</v>
      </c>
      <c r="C7" s="21">
        <f t="shared" si="0"/>
        <v>0.13640595655191701</v>
      </c>
      <c r="D7">
        <f>SUM(B4:B7)</f>
        <v>5443.3114999999998</v>
      </c>
      <c r="G7" t="s">
        <v>239</v>
      </c>
      <c r="H7">
        <v>147.16800000000001</v>
      </c>
      <c r="I7" s="21">
        <f t="shared" si="1"/>
        <v>9.6656934879261972E-3</v>
      </c>
    </row>
    <row r="8" spans="1:9" x14ac:dyDescent="0.25">
      <c r="A8" s="19" t="s">
        <v>270</v>
      </c>
      <c r="B8" s="20">
        <v>209.54999999999998</v>
      </c>
      <c r="C8" s="21">
        <f t="shared" si="0"/>
        <v>0.13640595655191701</v>
      </c>
      <c r="D8">
        <f>SUM(B4:B8)</f>
        <v>5652.8615</v>
      </c>
      <c r="G8" t="s">
        <v>270</v>
      </c>
      <c r="H8">
        <v>209.54999999999998</v>
      </c>
      <c r="I8" s="21">
        <f t="shared" si="1"/>
        <v>1.3762815764262167E-2</v>
      </c>
    </row>
    <row r="9" spans="1:9" x14ac:dyDescent="0.25">
      <c r="A9" s="19" t="s">
        <v>95</v>
      </c>
      <c r="B9" s="20">
        <v>993.89999999999986</v>
      </c>
      <c r="C9" s="21">
        <f t="shared" si="0"/>
        <v>0.13640595655191701</v>
      </c>
      <c r="D9">
        <f>SUM(B4:B9)</f>
        <v>6646.7614999999996</v>
      </c>
      <c r="G9" t="s">
        <v>95</v>
      </c>
      <c r="H9">
        <v>993.89999999999986</v>
      </c>
      <c r="I9" s="21">
        <f t="shared" si="1"/>
        <v>6.5277320869005798E-2</v>
      </c>
    </row>
    <row r="10" spans="1:9" x14ac:dyDescent="0.25">
      <c r="A10" s="19" t="s">
        <v>258</v>
      </c>
      <c r="B10" s="20">
        <v>211.96</v>
      </c>
      <c r="C10" s="21">
        <f t="shared" si="0"/>
        <v>0.13640595655191701</v>
      </c>
      <c r="G10" t="s">
        <v>258</v>
      </c>
      <c r="H10">
        <v>211.96</v>
      </c>
      <c r="I10" s="21">
        <f t="shared" si="1"/>
        <v>1.3921099639193553E-2</v>
      </c>
    </row>
    <row r="11" spans="1:9" x14ac:dyDescent="0.25">
      <c r="A11" s="19" t="s">
        <v>251</v>
      </c>
      <c r="B11" s="20">
        <v>63.44</v>
      </c>
      <c r="C11" s="21">
        <f t="shared" si="0"/>
        <v>0.13640595655191701</v>
      </c>
      <c r="G11" t="s">
        <v>251</v>
      </c>
      <c r="H11">
        <v>63.44</v>
      </c>
      <c r="I11" s="21">
        <f t="shared" si="1"/>
        <v>4.1666095542104119E-3</v>
      </c>
    </row>
    <row r="12" spans="1:9" x14ac:dyDescent="0.25">
      <c r="A12" s="19" t="s">
        <v>183</v>
      </c>
      <c r="B12" s="20">
        <v>79.8</v>
      </c>
      <c r="C12" s="21">
        <f t="shared" si="0"/>
        <v>0.13640595655191701</v>
      </c>
      <c r="G12" t="s">
        <v>183</v>
      </c>
      <c r="H12">
        <v>79.8</v>
      </c>
      <c r="I12" s="21">
        <f t="shared" si="1"/>
        <v>5.2411009209645471E-3</v>
      </c>
    </row>
    <row r="13" spans="1:9" x14ac:dyDescent="0.25">
      <c r="A13" s="19" t="s">
        <v>281</v>
      </c>
      <c r="B13" s="20">
        <v>15.260000000000002</v>
      </c>
      <c r="C13" s="21">
        <f t="shared" si="0"/>
        <v>0.13640595655191701</v>
      </c>
      <c r="G13" t="s">
        <v>281</v>
      </c>
      <c r="H13">
        <v>15.260000000000002</v>
      </c>
      <c r="I13" s="21">
        <f t="shared" si="1"/>
        <v>1.0022456147107644E-3</v>
      </c>
    </row>
    <row r="14" spans="1:9" x14ac:dyDescent="0.25">
      <c r="A14" s="19" t="s">
        <v>145</v>
      </c>
      <c r="B14" s="20">
        <v>15.552000000000003</v>
      </c>
      <c r="C14" s="21">
        <f t="shared" si="0"/>
        <v>0.13640595655191701</v>
      </c>
      <c r="G14" t="s">
        <v>145</v>
      </c>
      <c r="H14">
        <v>15.552000000000003</v>
      </c>
      <c r="I14" s="21">
        <f t="shared" si="1"/>
        <v>1.0214235779804593E-3</v>
      </c>
    </row>
    <row r="15" spans="1:9" x14ac:dyDescent="0.25">
      <c r="A15" s="19" t="s">
        <v>190</v>
      </c>
      <c r="B15" s="20">
        <v>3400.8060000000005</v>
      </c>
      <c r="C15" s="21">
        <f t="shared" si="0"/>
        <v>0.13640595655191701</v>
      </c>
      <c r="G15" t="s">
        <v>190</v>
      </c>
      <c r="H15">
        <v>3400.8060000000005</v>
      </c>
      <c r="I15" s="21">
        <f t="shared" si="1"/>
        <v>0.22335798820328023</v>
      </c>
    </row>
    <row r="16" spans="1:9" x14ac:dyDescent="0.25">
      <c r="A16" s="19" t="s">
        <v>157</v>
      </c>
      <c r="B16" s="20">
        <v>2618.2432000000003</v>
      </c>
      <c r="C16" s="21">
        <f t="shared" si="0"/>
        <v>0.13640595655191701</v>
      </c>
      <c r="G16" t="s">
        <v>157</v>
      </c>
      <c r="H16">
        <v>2618.2432000000003</v>
      </c>
      <c r="I16" s="21">
        <f t="shared" si="1"/>
        <v>0.17196086274222014</v>
      </c>
    </row>
    <row r="17" spans="1:9" x14ac:dyDescent="0.25">
      <c r="A17" s="19" t="s">
        <v>170</v>
      </c>
      <c r="B17" s="20">
        <v>1100.1299999999999</v>
      </c>
      <c r="C17" s="21">
        <f t="shared" si="0"/>
        <v>0.13640595655191701</v>
      </c>
      <c r="G17" t="s">
        <v>170</v>
      </c>
      <c r="H17">
        <v>1100.1299999999999</v>
      </c>
      <c r="I17" s="21">
        <f t="shared" si="1"/>
        <v>7.2254290177703351E-2</v>
      </c>
    </row>
    <row r="18" spans="1:9" x14ac:dyDescent="0.25">
      <c r="A18" s="19" t="s">
        <v>151</v>
      </c>
      <c r="B18" s="20">
        <v>407.97600000000006</v>
      </c>
      <c r="C18" s="21">
        <f t="shared" si="0"/>
        <v>0.13640595655191701</v>
      </c>
      <c r="G18" t="s">
        <v>151</v>
      </c>
      <c r="H18">
        <v>407.97600000000006</v>
      </c>
      <c r="I18" s="21">
        <f t="shared" si="1"/>
        <v>2.6795029941496649E-2</v>
      </c>
    </row>
    <row r="19" spans="1:9" x14ac:dyDescent="0.25">
      <c r="A19" s="19" t="s">
        <v>165</v>
      </c>
      <c r="B19" s="20">
        <v>665.88</v>
      </c>
      <c r="C19" s="21">
        <f t="shared" si="0"/>
        <v>0.13640595655191701</v>
      </c>
      <c r="G19" t="s">
        <v>165</v>
      </c>
      <c r="H19">
        <v>665.88</v>
      </c>
      <c r="I19" s="21">
        <f t="shared" si="1"/>
        <v>4.3733637609672596E-2</v>
      </c>
    </row>
    <row r="20" spans="1:9" x14ac:dyDescent="0.25">
      <c r="A20" s="19" t="s">
        <v>310</v>
      </c>
      <c r="B20" s="20">
        <v>15225.808699999996</v>
      </c>
      <c r="C20" s="21">
        <f t="shared" si="0"/>
        <v>0.13640595655191701</v>
      </c>
      <c r="G20" t="s">
        <v>310</v>
      </c>
      <c r="H20">
        <v>15225.808699999996</v>
      </c>
      <c r="I20">
        <f t="shared" si="1"/>
        <v>1</v>
      </c>
    </row>
    <row r="21" spans="1:9" x14ac:dyDescent="0.25">
      <c r="A21" s="19" t="s">
        <v>303</v>
      </c>
      <c r="B21" s="20">
        <v>30451.617399999996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zoomScale="90" zoomScaleNormal="90" workbookViewId="0">
      <selection activeCell="H19" sqref="H19"/>
    </sheetView>
  </sheetViews>
  <sheetFormatPr defaultRowHeight="15" x14ac:dyDescent="0.25"/>
  <cols>
    <col min="2" max="2" width="16.7109375" customWidth="1"/>
    <col min="7" max="7" width="12.7109375" customWidth="1"/>
    <col min="9" max="9" width="21.28515625" customWidth="1"/>
  </cols>
  <sheetData>
    <row r="1" spans="1:22" ht="15.75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S1" s="1" t="s">
        <v>82</v>
      </c>
      <c r="T1" s="1" t="s">
        <v>77</v>
      </c>
      <c r="U1" s="1" t="s">
        <v>84</v>
      </c>
    </row>
    <row r="2" spans="1:22" x14ac:dyDescent="0.25">
      <c r="A2" s="2" t="s">
        <v>91</v>
      </c>
      <c r="B2" s="2" t="s">
        <v>92</v>
      </c>
      <c r="C2" s="2" t="s">
        <v>93</v>
      </c>
      <c r="D2" s="2" t="s">
        <v>94</v>
      </c>
      <c r="E2" s="2" t="s">
        <v>95</v>
      </c>
      <c r="F2" s="2">
        <v>42420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>
        <v>261.95999999999998</v>
      </c>
      <c r="M2" s="2">
        <v>2</v>
      </c>
      <c r="N2" s="2">
        <v>0</v>
      </c>
      <c r="O2" s="2">
        <v>41.913600000000002</v>
      </c>
      <c r="P2">
        <f>L2/$Q$2</f>
        <v>8.6024987296733878E-3</v>
      </c>
      <c r="Q2">
        <f>SUM(L2:L56)</f>
        <v>30451.617399999992</v>
      </c>
    </row>
    <row r="3" spans="1:22" x14ac:dyDescent="0.25">
      <c r="A3" s="3" t="s">
        <v>91</v>
      </c>
      <c r="B3" s="3" t="s">
        <v>92</v>
      </c>
      <c r="C3" s="3" t="s">
        <v>93</v>
      </c>
      <c r="D3" s="3" t="s">
        <v>94</v>
      </c>
      <c r="E3" s="3" t="s">
        <v>95</v>
      </c>
      <c r="F3" s="3">
        <v>42420</v>
      </c>
      <c r="G3" s="3" t="s">
        <v>96</v>
      </c>
      <c r="H3" s="3" t="s">
        <v>101</v>
      </c>
      <c r="I3" s="3" t="s">
        <v>98</v>
      </c>
      <c r="J3" s="3" t="s">
        <v>102</v>
      </c>
      <c r="K3" s="3" t="s">
        <v>103</v>
      </c>
      <c r="L3" s="3">
        <v>731.93999999999994</v>
      </c>
      <c r="M3" s="3">
        <v>3</v>
      </c>
      <c r="N3" s="3">
        <v>0</v>
      </c>
      <c r="O3" s="3">
        <v>219.58199999999997</v>
      </c>
      <c r="P3">
        <f t="shared" ref="P3:P55" si="0">L3/$Q$2</f>
        <v>2.4036161704829515E-2</v>
      </c>
    </row>
    <row r="4" spans="1:22" x14ac:dyDescent="0.25">
      <c r="A4" s="2" t="s">
        <v>104</v>
      </c>
      <c r="B4" s="3" t="s">
        <v>92</v>
      </c>
      <c r="C4" s="2" t="s">
        <v>93</v>
      </c>
      <c r="D4" s="2" t="s">
        <v>106</v>
      </c>
      <c r="E4" s="2" t="s">
        <v>107</v>
      </c>
      <c r="F4" s="2">
        <v>90036</v>
      </c>
      <c r="G4" s="2" t="s">
        <v>108</v>
      </c>
      <c r="H4" s="2" t="s">
        <v>109</v>
      </c>
      <c r="I4" s="2" t="s">
        <v>110</v>
      </c>
      <c r="J4" s="2" t="s">
        <v>111</v>
      </c>
      <c r="K4" s="2" t="s">
        <v>112</v>
      </c>
      <c r="L4" s="2">
        <v>14.62</v>
      </c>
      <c r="M4" s="2">
        <v>2</v>
      </c>
      <c r="N4" s="2">
        <v>0</v>
      </c>
      <c r="O4" s="2">
        <v>6.8713999999999995</v>
      </c>
      <c r="P4">
        <f t="shared" si="0"/>
        <v>4.8010586130640151E-4</v>
      </c>
      <c r="S4" t="s">
        <v>285</v>
      </c>
    </row>
    <row r="5" spans="1:22" x14ac:dyDescent="0.25">
      <c r="A5" s="3" t="s">
        <v>113</v>
      </c>
      <c r="B5" s="3" t="s">
        <v>92</v>
      </c>
      <c r="C5" s="3" t="s">
        <v>93</v>
      </c>
      <c r="D5" s="3" t="s">
        <v>114</v>
      </c>
      <c r="E5" s="3" t="s">
        <v>115</v>
      </c>
      <c r="F5" s="3">
        <v>33311</v>
      </c>
      <c r="G5" s="3" t="s">
        <v>96</v>
      </c>
      <c r="H5" s="3" t="s">
        <v>116</v>
      </c>
      <c r="I5" s="3" t="s">
        <v>98</v>
      </c>
      <c r="J5" s="3" t="s">
        <v>117</v>
      </c>
      <c r="K5" s="3" t="s">
        <v>118</v>
      </c>
      <c r="L5" s="3">
        <v>957.57749999999999</v>
      </c>
      <c r="M5" s="3">
        <v>5</v>
      </c>
      <c r="N5" s="3">
        <v>0.45</v>
      </c>
      <c r="O5" s="3">
        <v>-383.03100000000006</v>
      </c>
      <c r="P5">
        <f t="shared" si="0"/>
        <v>3.144586664877775E-2</v>
      </c>
      <c r="S5" t="s">
        <v>286</v>
      </c>
    </row>
    <row r="6" spans="1:22" x14ac:dyDescent="0.25">
      <c r="A6" s="2" t="s">
        <v>113</v>
      </c>
      <c r="B6" s="2" t="s">
        <v>92</v>
      </c>
      <c r="C6" s="2" t="s">
        <v>93</v>
      </c>
      <c r="D6" s="2" t="s">
        <v>114</v>
      </c>
      <c r="E6" s="2" t="s">
        <v>115</v>
      </c>
      <c r="F6" s="2">
        <v>33311</v>
      </c>
      <c r="G6" s="2" t="s">
        <v>96</v>
      </c>
      <c r="H6" s="2" t="s">
        <v>119</v>
      </c>
      <c r="I6" s="2" t="s">
        <v>110</v>
      </c>
      <c r="J6" s="2" t="s">
        <v>120</v>
      </c>
      <c r="K6" s="2" t="s">
        <v>121</v>
      </c>
      <c r="L6" s="2">
        <v>22.368000000000002</v>
      </c>
      <c r="M6" s="2">
        <v>2</v>
      </c>
      <c r="N6" s="2">
        <v>0.2</v>
      </c>
      <c r="O6" s="2">
        <v>2.5163999999999991</v>
      </c>
      <c r="P6">
        <f t="shared" si="0"/>
        <v>7.345422644118735E-4</v>
      </c>
    </row>
    <row r="7" spans="1:22" x14ac:dyDescent="0.25">
      <c r="A7" s="3" t="s">
        <v>122</v>
      </c>
      <c r="B7" s="3" t="s">
        <v>92</v>
      </c>
      <c r="C7" s="3" t="s">
        <v>93</v>
      </c>
      <c r="D7" s="3" t="s">
        <v>106</v>
      </c>
      <c r="E7" s="3" t="s">
        <v>107</v>
      </c>
      <c r="F7" s="3">
        <v>90032</v>
      </c>
      <c r="G7" s="3" t="s">
        <v>108</v>
      </c>
      <c r="H7" s="3" t="s">
        <v>123</v>
      </c>
      <c r="I7" s="3" t="s">
        <v>98</v>
      </c>
      <c r="J7" s="3" t="s">
        <v>124</v>
      </c>
      <c r="K7" s="3" t="s">
        <v>125</v>
      </c>
      <c r="L7" s="3">
        <v>48.86</v>
      </c>
      <c r="M7" s="3">
        <v>7</v>
      </c>
      <c r="N7" s="3">
        <v>0</v>
      </c>
      <c r="O7" s="3">
        <v>14.169399999999996</v>
      </c>
      <c r="P7">
        <f t="shared" si="0"/>
        <v>1.6045124749268658E-3</v>
      </c>
      <c r="R7" t="s">
        <v>289</v>
      </c>
      <c r="S7">
        <f>COUNTIF(G2:G55,R7)</f>
        <v>17</v>
      </c>
    </row>
    <row r="8" spans="1:22" x14ac:dyDescent="0.25">
      <c r="A8" s="2" t="s">
        <v>122</v>
      </c>
      <c r="B8" s="2" t="s">
        <v>92</v>
      </c>
      <c r="C8" s="2" t="s">
        <v>93</v>
      </c>
      <c r="D8" s="2" t="s">
        <v>106</v>
      </c>
      <c r="E8" s="2" t="s">
        <v>107</v>
      </c>
      <c r="F8" s="2">
        <v>90032</v>
      </c>
      <c r="G8" s="2" t="s">
        <v>108</v>
      </c>
      <c r="H8" s="2" t="s">
        <v>126</v>
      </c>
      <c r="I8" s="2" t="s">
        <v>110</v>
      </c>
      <c r="J8" s="2" t="s">
        <v>127</v>
      </c>
      <c r="K8" s="2" t="s">
        <v>128</v>
      </c>
      <c r="L8" s="2">
        <v>7.28</v>
      </c>
      <c r="M8" s="2">
        <v>4</v>
      </c>
      <c r="N8" s="2">
        <v>0</v>
      </c>
      <c r="O8" s="2">
        <v>1.9656000000000002</v>
      </c>
      <c r="P8">
        <f t="shared" si="0"/>
        <v>2.390677613071548E-4</v>
      </c>
      <c r="S8" t="s">
        <v>96</v>
      </c>
      <c r="T8" t="s">
        <v>87</v>
      </c>
      <c r="V8">
        <f>COUNTIFS(G2:G55,S8, L2:L55,T8)</f>
        <v>0</v>
      </c>
    </row>
    <row r="9" spans="1:22" x14ac:dyDescent="0.25">
      <c r="A9" s="3" t="s">
        <v>122</v>
      </c>
      <c r="B9" s="3" t="s">
        <v>92</v>
      </c>
      <c r="C9" s="3" t="s">
        <v>93</v>
      </c>
      <c r="D9" s="3" t="s">
        <v>106</v>
      </c>
      <c r="E9" s="3" t="s">
        <v>107</v>
      </c>
      <c r="F9" s="3">
        <v>90032</v>
      </c>
      <c r="G9" s="3" t="s">
        <v>108</v>
      </c>
      <c r="H9" s="3" t="s">
        <v>129</v>
      </c>
      <c r="I9" s="3" t="s">
        <v>130</v>
      </c>
      <c r="J9" s="3" t="s">
        <v>131</v>
      </c>
      <c r="K9" s="3" t="s">
        <v>132</v>
      </c>
      <c r="L9" s="3">
        <v>907.15200000000004</v>
      </c>
      <c r="M9" s="3">
        <v>6</v>
      </c>
      <c r="N9" s="3">
        <v>0.2</v>
      </c>
      <c r="O9" s="3">
        <v>90.715200000000038</v>
      </c>
      <c r="P9">
        <f t="shared" si="0"/>
        <v>2.9789944753476388E-2</v>
      </c>
    </row>
    <row r="10" spans="1:22" x14ac:dyDescent="0.25">
      <c r="A10" s="2" t="s">
        <v>122</v>
      </c>
      <c r="B10" s="2" t="s">
        <v>92</v>
      </c>
      <c r="C10" s="2" t="s">
        <v>93</v>
      </c>
      <c r="D10" s="2" t="s">
        <v>106</v>
      </c>
      <c r="E10" s="2" t="s">
        <v>107</v>
      </c>
      <c r="F10" s="2">
        <v>90032</v>
      </c>
      <c r="G10" s="2" t="s">
        <v>108</v>
      </c>
      <c r="H10" s="2" t="s">
        <v>133</v>
      </c>
      <c r="I10" s="2" t="s">
        <v>110</v>
      </c>
      <c r="J10" s="2" t="s">
        <v>134</v>
      </c>
      <c r="K10" s="2" t="s">
        <v>135</v>
      </c>
      <c r="L10" s="2">
        <v>18.504000000000001</v>
      </c>
      <c r="M10" s="2">
        <v>3</v>
      </c>
      <c r="N10" s="2">
        <v>0.2</v>
      </c>
      <c r="O10" s="2">
        <v>5.7824999999999998</v>
      </c>
      <c r="P10">
        <f t="shared" si="0"/>
        <v>6.0765245264115283E-4</v>
      </c>
    </row>
    <row r="11" spans="1:22" x14ac:dyDescent="0.25">
      <c r="A11" s="3" t="s">
        <v>122</v>
      </c>
      <c r="B11" s="3" t="s">
        <v>92</v>
      </c>
      <c r="C11" s="3" t="s">
        <v>93</v>
      </c>
      <c r="D11" s="3" t="s">
        <v>106</v>
      </c>
      <c r="E11" s="3" t="s">
        <v>107</v>
      </c>
      <c r="F11" s="3">
        <v>90032</v>
      </c>
      <c r="G11" s="3" t="s">
        <v>108</v>
      </c>
      <c r="H11" s="3" t="s">
        <v>136</v>
      </c>
      <c r="I11" s="3" t="s">
        <v>110</v>
      </c>
      <c r="J11" s="3" t="s">
        <v>137</v>
      </c>
      <c r="K11" s="3" t="s">
        <v>138</v>
      </c>
      <c r="L11" s="3">
        <v>114.9</v>
      </c>
      <c r="M11" s="3">
        <v>5</v>
      </c>
      <c r="N11" s="3">
        <v>0</v>
      </c>
      <c r="O11" s="3">
        <v>34.469999999999992</v>
      </c>
      <c r="P11">
        <f t="shared" si="0"/>
        <v>3.7731985953560559E-3</v>
      </c>
      <c r="R11" s="5">
        <v>2</v>
      </c>
      <c r="S11" s="4" t="s">
        <v>287</v>
      </c>
      <c r="T11">
        <f>LARGE(O2:O55,R11)</f>
        <v>219.58199999999997</v>
      </c>
    </row>
    <row r="12" spans="1:22" x14ac:dyDescent="0.25">
      <c r="A12" s="2" t="s">
        <v>122</v>
      </c>
      <c r="B12" s="2" t="s">
        <v>92</v>
      </c>
      <c r="C12" s="2" t="s">
        <v>93</v>
      </c>
      <c r="D12" s="2" t="s">
        <v>106</v>
      </c>
      <c r="E12" s="2" t="s">
        <v>107</v>
      </c>
      <c r="F12" s="2">
        <v>90032</v>
      </c>
      <c r="G12" s="2" t="s">
        <v>108</v>
      </c>
      <c r="H12" s="2" t="s">
        <v>139</v>
      </c>
      <c r="I12" s="2" t="s">
        <v>98</v>
      </c>
      <c r="J12" s="2" t="s">
        <v>117</v>
      </c>
      <c r="K12" s="2" t="s">
        <v>140</v>
      </c>
      <c r="L12" s="2">
        <v>1706.1840000000002</v>
      </c>
      <c r="M12" s="2">
        <v>9</v>
      </c>
      <c r="N12" s="2">
        <v>0.2</v>
      </c>
      <c r="O12" s="2">
        <v>85.309199999999805</v>
      </c>
      <c r="P12">
        <f t="shared" si="0"/>
        <v>5.6029339183803109E-2</v>
      </c>
      <c r="R12" s="5">
        <v>3</v>
      </c>
      <c r="S12" s="4" t="s">
        <v>288</v>
      </c>
      <c r="T12">
        <f>SMALL(O2:O55,R12)</f>
        <v>-147.96300000000002</v>
      </c>
    </row>
    <row r="13" spans="1:22" x14ac:dyDescent="0.25">
      <c r="A13" s="3" t="s">
        <v>122</v>
      </c>
      <c r="B13" s="3" t="s">
        <v>92</v>
      </c>
      <c r="C13" s="3" t="s">
        <v>93</v>
      </c>
      <c r="D13" s="3" t="s">
        <v>106</v>
      </c>
      <c r="E13" s="3" t="s">
        <v>107</v>
      </c>
      <c r="F13" s="3">
        <v>90032</v>
      </c>
      <c r="G13" s="3" t="s">
        <v>108</v>
      </c>
      <c r="H13" s="3" t="s">
        <v>141</v>
      </c>
      <c r="I13" s="3" t="s">
        <v>130</v>
      </c>
      <c r="J13" s="3" t="s">
        <v>131</v>
      </c>
      <c r="K13" s="3" t="s">
        <v>142</v>
      </c>
      <c r="L13" s="3">
        <v>911.42399999999998</v>
      </c>
      <c r="M13" s="3">
        <v>4</v>
      </c>
      <c r="N13" s="3">
        <v>0.2</v>
      </c>
      <c r="O13" s="3">
        <v>68.356800000000021</v>
      </c>
      <c r="P13">
        <f t="shared" si="0"/>
        <v>2.9930232868353331E-2</v>
      </c>
    </row>
    <row r="14" spans="1:22" x14ac:dyDescent="0.25">
      <c r="A14" s="2" t="s">
        <v>143</v>
      </c>
      <c r="B14" s="2" t="s">
        <v>92</v>
      </c>
      <c r="C14" s="2" t="s">
        <v>93</v>
      </c>
      <c r="D14" s="2" t="s">
        <v>144</v>
      </c>
      <c r="E14" s="2" t="s">
        <v>145</v>
      </c>
      <c r="F14" s="2">
        <v>28027</v>
      </c>
      <c r="G14" s="2" t="s">
        <v>96</v>
      </c>
      <c r="H14" s="2" t="s">
        <v>146</v>
      </c>
      <c r="I14" s="2" t="s">
        <v>110</v>
      </c>
      <c r="J14" s="2" t="s">
        <v>147</v>
      </c>
      <c r="K14" s="2" t="s">
        <v>148</v>
      </c>
      <c r="L14" s="2">
        <v>15.552000000000003</v>
      </c>
      <c r="M14" s="2">
        <v>3</v>
      </c>
      <c r="N14" s="2">
        <v>0.2</v>
      </c>
      <c r="O14" s="2">
        <v>5.4432</v>
      </c>
      <c r="P14">
        <f t="shared" si="0"/>
        <v>5.1071178899022966E-4</v>
      </c>
    </row>
    <row r="15" spans="1:22" x14ac:dyDescent="0.25">
      <c r="A15" s="3" t="s">
        <v>149</v>
      </c>
      <c r="B15" s="3" t="s">
        <v>92</v>
      </c>
      <c r="C15" s="3" t="s">
        <v>93</v>
      </c>
      <c r="D15" s="3" t="s">
        <v>150</v>
      </c>
      <c r="E15" s="3" t="s">
        <v>151</v>
      </c>
      <c r="F15" s="3">
        <v>98103</v>
      </c>
      <c r="G15" s="3" t="s">
        <v>108</v>
      </c>
      <c r="H15" s="3" t="s">
        <v>152</v>
      </c>
      <c r="I15" s="3" t="s">
        <v>110</v>
      </c>
      <c r="J15" s="3" t="s">
        <v>134</v>
      </c>
      <c r="K15" s="3" t="s">
        <v>153</v>
      </c>
      <c r="L15" s="3">
        <v>407.97600000000006</v>
      </c>
      <c r="M15" s="3">
        <v>3</v>
      </c>
      <c r="N15" s="3">
        <v>0.2</v>
      </c>
      <c r="O15" s="3">
        <v>132.59219999999993</v>
      </c>
      <c r="P15">
        <f t="shared" si="0"/>
        <v>1.3397514970748325E-2</v>
      </c>
    </row>
    <row r="16" spans="1:22" x14ac:dyDescent="0.25">
      <c r="A16" s="2" t="s">
        <v>154</v>
      </c>
      <c r="B16" s="2" t="s">
        <v>155</v>
      </c>
      <c r="C16" s="2" t="s">
        <v>93</v>
      </c>
      <c r="D16" s="2" t="s">
        <v>156</v>
      </c>
      <c r="E16" s="2" t="s">
        <v>157</v>
      </c>
      <c r="F16" s="2">
        <v>76106</v>
      </c>
      <c r="G16" s="2" t="s">
        <v>158</v>
      </c>
      <c r="H16" s="2" t="s">
        <v>159</v>
      </c>
      <c r="I16" s="2" t="s">
        <v>110</v>
      </c>
      <c r="J16" s="2" t="s">
        <v>137</v>
      </c>
      <c r="K16" s="2" t="s">
        <v>160</v>
      </c>
      <c r="L16" s="2">
        <v>68.809999999999988</v>
      </c>
      <c r="M16" s="2">
        <v>5</v>
      </c>
      <c r="N16" s="2">
        <v>0.8</v>
      </c>
      <c r="O16" s="2">
        <v>-123.858</v>
      </c>
      <c r="P16">
        <f t="shared" si="0"/>
        <v>2.2596500900474341E-3</v>
      </c>
      <c r="R16" s="4" t="s">
        <v>290</v>
      </c>
      <c r="S16" s="4" t="s">
        <v>77</v>
      </c>
      <c r="T16" s="4" t="s">
        <v>291</v>
      </c>
      <c r="U16" s="5" t="s">
        <v>293</v>
      </c>
      <c r="V16" s="5" t="s">
        <v>292</v>
      </c>
    </row>
    <row r="17" spans="1:22" x14ac:dyDescent="0.25">
      <c r="A17" s="3" t="s">
        <v>154</v>
      </c>
      <c r="B17" s="3" t="s">
        <v>155</v>
      </c>
      <c r="C17" s="3" t="s">
        <v>93</v>
      </c>
      <c r="D17" s="3" t="s">
        <v>156</v>
      </c>
      <c r="E17" s="3" t="s">
        <v>157</v>
      </c>
      <c r="F17" s="3">
        <v>76106</v>
      </c>
      <c r="G17" s="3" t="s">
        <v>158</v>
      </c>
      <c r="H17" s="3" t="s">
        <v>161</v>
      </c>
      <c r="I17" s="3" t="s">
        <v>110</v>
      </c>
      <c r="J17" s="3" t="s">
        <v>134</v>
      </c>
      <c r="K17" s="3" t="s">
        <v>162</v>
      </c>
      <c r="L17" s="3">
        <v>2.5439999999999996</v>
      </c>
      <c r="M17" s="3">
        <v>3</v>
      </c>
      <c r="N17" s="3">
        <v>0.8</v>
      </c>
      <c r="O17" s="3">
        <v>-3.8160000000000016</v>
      </c>
      <c r="P17">
        <f t="shared" si="0"/>
        <v>8.3542360544698041E-5</v>
      </c>
      <c r="R17" t="s">
        <v>108</v>
      </c>
      <c r="S17" s="3" t="s">
        <v>92</v>
      </c>
      <c r="T17" s="2" t="s">
        <v>98</v>
      </c>
      <c r="U17">
        <f>SUMIFS(L2:L55,G2:G55,R17,B2:B55,S17,I2:I55,T17)</f>
        <v>2799.674</v>
      </c>
      <c r="V17">
        <f>SUMIFS(O2:O55,G2:G55,R17,B2:B55,S17,I2:I55,T17)</f>
        <v>339.74349999999981</v>
      </c>
    </row>
    <row r="18" spans="1:22" x14ac:dyDescent="0.25">
      <c r="A18" s="2" t="s">
        <v>163</v>
      </c>
      <c r="B18" s="2" t="s">
        <v>92</v>
      </c>
      <c r="C18" s="2" t="s">
        <v>93</v>
      </c>
      <c r="D18" s="2" t="s">
        <v>164</v>
      </c>
      <c r="E18" s="2" t="s">
        <v>165</v>
      </c>
      <c r="F18" s="2">
        <v>53711</v>
      </c>
      <c r="G18" s="2" t="s">
        <v>158</v>
      </c>
      <c r="H18" s="2" t="s">
        <v>166</v>
      </c>
      <c r="I18" s="2" t="s">
        <v>110</v>
      </c>
      <c r="J18" s="2" t="s">
        <v>120</v>
      </c>
      <c r="K18" s="2" t="s">
        <v>167</v>
      </c>
      <c r="L18" s="2">
        <v>665.88</v>
      </c>
      <c r="M18" s="2">
        <v>6</v>
      </c>
      <c r="N18" s="2">
        <v>0</v>
      </c>
      <c r="O18" s="2">
        <v>13.317599999999999</v>
      </c>
      <c r="P18">
        <f t="shared" si="0"/>
        <v>2.1866818804836298E-2</v>
      </c>
    </row>
    <row r="19" spans="1:22" x14ac:dyDescent="0.25">
      <c r="A19" s="3" t="s">
        <v>168</v>
      </c>
      <c r="B19" s="3" t="s">
        <v>92</v>
      </c>
      <c r="C19" s="3" t="s">
        <v>93</v>
      </c>
      <c r="D19" s="3" t="s">
        <v>169</v>
      </c>
      <c r="E19" s="3" t="s">
        <v>170</v>
      </c>
      <c r="F19" s="3">
        <v>84084</v>
      </c>
      <c r="G19" s="3" t="s">
        <v>108</v>
      </c>
      <c r="H19" s="3" t="s">
        <v>171</v>
      </c>
      <c r="I19" s="3" t="s">
        <v>110</v>
      </c>
      <c r="J19" s="3" t="s">
        <v>120</v>
      </c>
      <c r="K19" s="3" t="s">
        <v>172</v>
      </c>
      <c r="L19" s="3">
        <v>55.5</v>
      </c>
      <c r="M19" s="3">
        <v>2</v>
      </c>
      <c r="N19" s="3">
        <v>0</v>
      </c>
      <c r="O19" s="3">
        <v>9.9899999999999949</v>
      </c>
      <c r="P19">
        <f t="shared" si="0"/>
        <v>1.82256329018504E-3</v>
      </c>
    </row>
    <row r="20" spans="1:22" x14ac:dyDescent="0.25">
      <c r="A20" s="2" t="s">
        <v>173</v>
      </c>
      <c r="B20" s="2" t="s">
        <v>92</v>
      </c>
      <c r="C20" s="2" t="s">
        <v>93</v>
      </c>
      <c r="D20" s="2" t="s">
        <v>174</v>
      </c>
      <c r="E20" s="2" t="s">
        <v>107</v>
      </c>
      <c r="F20" s="2">
        <v>94109</v>
      </c>
      <c r="G20" s="2" t="s">
        <v>108</v>
      </c>
      <c r="H20" s="2" t="s">
        <v>175</v>
      </c>
      <c r="I20" s="2" t="s">
        <v>110</v>
      </c>
      <c r="J20" s="2" t="s">
        <v>127</v>
      </c>
      <c r="K20" s="2" t="s">
        <v>176</v>
      </c>
      <c r="L20" s="2">
        <v>8.56</v>
      </c>
      <c r="M20" s="2">
        <v>2</v>
      </c>
      <c r="N20" s="2">
        <v>0</v>
      </c>
      <c r="O20" s="2">
        <v>2.4823999999999993</v>
      </c>
      <c r="P20">
        <f t="shared" si="0"/>
        <v>2.8110165340511611E-4</v>
      </c>
    </row>
    <row r="21" spans="1:22" x14ac:dyDescent="0.25">
      <c r="A21" s="3" t="s">
        <v>173</v>
      </c>
      <c r="B21" s="3" t="s">
        <v>92</v>
      </c>
      <c r="C21" s="3" t="s">
        <v>93</v>
      </c>
      <c r="D21" s="3" t="s">
        <v>174</v>
      </c>
      <c r="E21" s="3" t="s">
        <v>107</v>
      </c>
      <c r="F21" s="3">
        <v>94109</v>
      </c>
      <c r="G21" s="3" t="s">
        <v>108</v>
      </c>
      <c r="H21" s="3" t="s">
        <v>177</v>
      </c>
      <c r="I21" s="3" t="s">
        <v>130</v>
      </c>
      <c r="J21" s="3" t="s">
        <v>131</v>
      </c>
      <c r="K21" s="3" t="s">
        <v>178</v>
      </c>
      <c r="L21" s="3">
        <v>213.48000000000002</v>
      </c>
      <c r="M21" s="3">
        <v>3</v>
      </c>
      <c r="N21" s="3">
        <v>0.2</v>
      </c>
      <c r="O21" s="3">
        <v>16.010999999999981</v>
      </c>
      <c r="P21">
        <f t="shared" si="0"/>
        <v>7.0104650664631063E-3</v>
      </c>
    </row>
    <row r="22" spans="1:22" x14ac:dyDescent="0.25">
      <c r="A22" s="2" t="s">
        <v>173</v>
      </c>
      <c r="B22" s="2" t="s">
        <v>92</v>
      </c>
      <c r="C22" s="2" t="s">
        <v>93</v>
      </c>
      <c r="D22" s="2" t="s">
        <v>174</v>
      </c>
      <c r="E22" s="2" t="s">
        <v>107</v>
      </c>
      <c r="F22" s="2">
        <v>94109</v>
      </c>
      <c r="G22" s="2" t="s">
        <v>108</v>
      </c>
      <c r="H22" s="2" t="s">
        <v>179</v>
      </c>
      <c r="I22" s="2" t="s">
        <v>110</v>
      </c>
      <c r="J22" s="2" t="s">
        <v>134</v>
      </c>
      <c r="K22" s="2" t="s">
        <v>180</v>
      </c>
      <c r="L22" s="2">
        <v>22.72</v>
      </c>
      <c r="M22" s="2">
        <v>4</v>
      </c>
      <c r="N22" s="2">
        <v>0.2</v>
      </c>
      <c r="O22" s="2">
        <v>7.3839999999999986</v>
      </c>
      <c r="P22">
        <f t="shared" si="0"/>
        <v>7.4610158473881281E-4</v>
      </c>
    </row>
    <row r="23" spans="1:22" x14ac:dyDescent="0.25">
      <c r="A23" s="3" t="s">
        <v>181</v>
      </c>
      <c r="B23" s="3" t="s">
        <v>105</v>
      </c>
      <c r="C23" s="3" t="s">
        <v>93</v>
      </c>
      <c r="D23" s="3" t="s">
        <v>182</v>
      </c>
      <c r="E23" s="3" t="s">
        <v>183</v>
      </c>
      <c r="F23" s="3">
        <v>68025</v>
      </c>
      <c r="G23" s="3" t="s">
        <v>158</v>
      </c>
      <c r="H23" s="3" t="s">
        <v>184</v>
      </c>
      <c r="I23" s="3" t="s">
        <v>110</v>
      </c>
      <c r="J23" s="3" t="s">
        <v>127</v>
      </c>
      <c r="K23" s="3" t="s">
        <v>185</v>
      </c>
      <c r="L23" s="3">
        <v>19.459999999999997</v>
      </c>
      <c r="M23" s="3">
        <v>7</v>
      </c>
      <c r="N23" s="3">
        <v>0</v>
      </c>
      <c r="O23" s="3">
        <v>5.0595999999999997</v>
      </c>
      <c r="P23">
        <f t="shared" si="0"/>
        <v>6.3904651580181759E-4</v>
      </c>
    </row>
    <row r="24" spans="1:22" x14ac:dyDescent="0.25">
      <c r="A24" s="2" t="s">
        <v>181</v>
      </c>
      <c r="B24" s="2" t="s">
        <v>105</v>
      </c>
      <c r="C24" s="2" t="s">
        <v>93</v>
      </c>
      <c r="D24" s="2" t="s">
        <v>182</v>
      </c>
      <c r="E24" s="2" t="s">
        <v>183</v>
      </c>
      <c r="F24" s="2">
        <v>68025</v>
      </c>
      <c r="G24" s="2" t="s">
        <v>158</v>
      </c>
      <c r="H24" s="2" t="s">
        <v>186</v>
      </c>
      <c r="I24" s="2" t="s">
        <v>110</v>
      </c>
      <c r="J24" s="2" t="s">
        <v>137</v>
      </c>
      <c r="K24" s="2" t="s">
        <v>187</v>
      </c>
      <c r="L24" s="2">
        <v>60.339999999999996</v>
      </c>
      <c r="M24" s="2">
        <v>7</v>
      </c>
      <c r="N24" s="2">
        <v>0</v>
      </c>
      <c r="O24" s="2">
        <v>15.688400000000001</v>
      </c>
      <c r="P24">
        <f t="shared" si="0"/>
        <v>1.9815039446804562E-3</v>
      </c>
    </row>
    <row r="25" spans="1:22" x14ac:dyDescent="0.25">
      <c r="A25" s="3" t="s">
        <v>188</v>
      </c>
      <c r="B25" s="3" t="s">
        <v>92</v>
      </c>
      <c r="C25" s="3" t="s">
        <v>93</v>
      </c>
      <c r="D25" s="3" t="s">
        <v>189</v>
      </c>
      <c r="E25" s="3" t="s">
        <v>190</v>
      </c>
      <c r="F25" s="3">
        <v>19140</v>
      </c>
      <c r="G25" s="3" t="s">
        <v>191</v>
      </c>
      <c r="H25" s="3" t="s">
        <v>192</v>
      </c>
      <c r="I25" s="3" t="s">
        <v>98</v>
      </c>
      <c r="J25" s="3" t="s">
        <v>102</v>
      </c>
      <c r="K25" s="3" t="s">
        <v>193</v>
      </c>
      <c r="L25" s="3">
        <v>71.371999999999986</v>
      </c>
      <c r="M25" s="3">
        <v>2</v>
      </c>
      <c r="N25" s="3">
        <v>0.3</v>
      </c>
      <c r="O25" s="3">
        <v>-1.0196000000000005</v>
      </c>
      <c r="P25">
        <f t="shared" si="0"/>
        <v>2.3437835521997593E-3</v>
      </c>
    </row>
    <row r="26" spans="1:22" x14ac:dyDescent="0.25">
      <c r="A26" s="2" t="s">
        <v>194</v>
      </c>
      <c r="B26" s="2" t="s">
        <v>92</v>
      </c>
      <c r="C26" s="2" t="s">
        <v>93</v>
      </c>
      <c r="D26" s="2" t="s">
        <v>195</v>
      </c>
      <c r="E26" s="2" t="s">
        <v>170</v>
      </c>
      <c r="F26" s="2">
        <v>84057</v>
      </c>
      <c r="G26" s="2" t="s">
        <v>108</v>
      </c>
      <c r="H26" s="2" t="s">
        <v>116</v>
      </c>
      <c r="I26" s="2" t="s">
        <v>98</v>
      </c>
      <c r="J26" s="2" t="s">
        <v>117</v>
      </c>
      <c r="K26" s="2" t="s">
        <v>118</v>
      </c>
      <c r="L26" s="2">
        <v>1044.6299999999999</v>
      </c>
      <c r="M26" s="2">
        <v>3</v>
      </c>
      <c r="N26" s="2">
        <v>0</v>
      </c>
      <c r="O26" s="2">
        <v>240.26490000000001</v>
      </c>
      <c r="P26">
        <f t="shared" si="0"/>
        <v>3.4304581798666633E-2</v>
      </c>
    </row>
    <row r="27" spans="1:22" x14ac:dyDescent="0.25">
      <c r="A27" s="3" t="s">
        <v>196</v>
      </c>
      <c r="B27" s="3" t="s">
        <v>92</v>
      </c>
      <c r="C27" s="3" t="s">
        <v>93</v>
      </c>
      <c r="D27" s="3" t="s">
        <v>106</v>
      </c>
      <c r="E27" s="3" t="s">
        <v>107</v>
      </c>
      <c r="F27" s="3">
        <v>90049</v>
      </c>
      <c r="G27" s="3" t="s">
        <v>108</v>
      </c>
      <c r="H27" s="3" t="s">
        <v>197</v>
      </c>
      <c r="I27" s="3" t="s">
        <v>110</v>
      </c>
      <c r="J27" s="3" t="s">
        <v>134</v>
      </c>
      <c r="K27" s="3" t="s">
        <v>198</v>
      </c>
      <c r="L27" s="3">
        <v>11.648000000000001</v>
      </c>
      <c r="M27" s="3">
        <v>2</v>
      </c>
      <c r="N27" s="3">
        <v>0.2</v>
      </c>
      <c r="O27" s="3">
        <v>4.2224000000000004</v>
      </c>
      <c r="P27">
        <f t="shared" si="0"/>
        <v>3.8250841809144774E-4</v>
      </c>
    </row>
    <row r="28" spans="1:22" x14ac:dyDescent="0.25">
      <c r="A28" s="2" t="s">
        <v>196</v>
      </c>
      <c r="B28" s="2" t="s">
        <v>92</v>
      </c>
      <c r="C28" s="2" t="s">
        <v>93</v>
      </c>
      <c r="D28" s="2" t="s">
        <v>106</v>
      </c>
      <c r="E28" s="2" t="s">
        <v>107</v>
      </c>
      <c r="F28" s="2">
        <v>90049</v>
      </c>
      <c r="G28" s="2" t="s">
        <v>108</v>
      </c>
      <c r="H28" s="2" t="s">
        <v>199</v>
      </c>
      <c r="I28" s="2" t="s">
        <v>130</v>
      </c>
      <c r="J28" s="2" t="s">
        <v>200</v>
      </c>
      <c r="K28" s="2" t="s">
        <v>201</v>
      </c>
      <c r="L28" s="2">
        <v>90.570000000000007</v>
      </c>
      <c r="M28" s="2">
        <v>3</v>
      </c>
      <c r="N28" s="2">
        <v>0</v>
      </c>
      <c r="O28" s="2">
        <v>11.774100000000004</v>
      </c>
      <c r="P28">
        <f t="shared" si="0"/>
        <v>2.9742262557127764E-3</v>
      </c>
    </row>
    <row r="29" spans="1:22" x14ac:dyDescent="0.25">
      <c r="A29" s="3" t="s">
        <v>202</v>
      </c>
      <c r="B29" s="3" t="s">
        <v>92</v>
      </c>
      <c r="C29" s="3" t="s">
        <v>93</v>
      </c>
      <c r="D29" s="3" t="s">
        <v>189</v>
      </c>
      <c r="E29" s="3" t="s">
        <v>190</v>
      </c>
      <c r="F29" s="3">
        <v>19140</v>
      </c>
      <c r="G29" s="3" t="s">
        <v>191</v>
      </c>
      <c r="H29" s="3" t="s">
        <v>203</v>
      </c>
      <c r="I29" s="3" t="s">
        <v>98</v>
      </c>
      <c r="J29" s="3" t="s">
        <v>99</v>
      </c>
      <c r="K29" s="3" t="s">
        <v>204</v>
      </c>
      <c r="L29" s="3">
        <v>3083.4300000000003</v>
      </c>
      <c r="M29" s="3">
        <v>7</v>
      </c>
      <c r="N29" s="3">
        <v>0.5</v>
      </c>
      <c r="O29" s="3">
        <v>-1665.0522000000001</v>
      </c>
      <c r="P29">
        <f t="shared" si="0"/>
        <v>0.1012566905559506</v>
      </c>
    </row>
    <row r="30" spans="1:22" x14ac:dyDescent="0.25">
      <c r="A30" s="2" t="s">
        <v>202</v>
      </c>
      <c r="B30" s="2" t="s">
        <v>92</v>
      </c>
      <c r="C30" s="2" t="s">
        <v>93</v>
      </c>
      <c r="D30" s="2" t="s">
        <v>189</v>
      </c>
      <c r="E30" s="2" t="s">
        <v>190</v>
      </c>
      <c r="F30" s="2">
        <v>19140</v>
      </c>
      <c r="G30" s="2" t="s">
        <v>191</v>
      </c>
      <c r="H30" s="2" t="s">
        <v>205</v>
      </c>
      <c r="I30" s="2" t="s">
        <v>110</v>
      </c>
      <c r="J30" s="2" t="s">
        <v>134</v>
      </c>
      <c r="K30" s="2" t="s">
        <v>206</v>
      </c>
      <c r="L30" s="2">
        <v>9.6180000000000021</v>
      </c>
      <c r="M30" s="2">
        <v>2</v>
      </c>
      <c r="N30" s="2">
        <v>0.7</v>
      </c>
      <c r="O30" s="2">
        <v>-7.0532000000000004</v>
      </c>
      <c r="P30">
        <f t="shared" si="0"/>
        <v>3.1584529234233728E-4</v>
      </c>
    </row>
    <row r="31" spans="1:22" x14ac:dyDescent="0.25">
      <c r="A31" s="3" t="s">
        <v>202</v>
      </c>
      <c r="B31" s="3" t="s">
        <v>92</v>
      </c>
      <c r="C31" s="3" t="s">
        <v>93</v>
      </c>
      <c r="D31" s="3" t="s">
        <v>189</v>
      </c>
      <c r="E31" s="3" t="s">
        <v>190</v>
      </c>
      <c r="F31" s="3">
        <v>19140</v>
      </c>
      <c r="G31" s="3" t="s">
        <v>191</v>
      </c>
      <c r="H31" s="3" t="s">
        <v>207</v>
      </c>
      <c r="I31" s="3" t="s">
        <v>98</v>
      </c>
      <c r="J31" s="3" t="s">
        <v>124</v>
      </c>
      <c r="K31" s="3" t="s">
        <v>208</v>
      </c>
      <c r="L31" s="3">
        <v>124.20000000000002</v>
      </c>
      <c r="M31" s="3">
        <v>3</v>
      </c>
      <c r="N31" s="3">
        <v>0.2</v>
      </c>
      <c r="O31" s="3">
        <v>15.524999999999991</v>
      </c>
      <c r="P31">
        <f t="shared" si="0"/>
        <v>4.0786010926303065E-3</v>
      </c>
    </row>
    <row r="32" spans="1:22" x14ac:dyDescent="0.25">
      <c r="A32" s="2" t="s">
        <v>202</v>
      </c>
      <c r="B32" s="2" t="s">
        <v>92</v>
      </c>
      <c r="C32" s="2" t="s">
        <v>93</v>
      </c>
      <c r="D32" s="2" t="s">
        <v>189</v>
      </c>
      <c r="E32" s="2" t="s">
        <v>190</v>
      </c>
      <c r="F32" s="2">
        <v>19140</v>
      </c>
      <c r="G32" s="2" t="s">
        <v>191</v>
      </c>
      <c r="H32" s="2" t="s">
        <v>209</v>
      </c>
      <c r="I32" s="2" t="s">
        <v>110</v>
      </c>
      <c r="J32" s="2" t="s">
        <v>210</v>
      </c>
      <c r="K32" s="2" t="s">
        <v>211</v>
      </c>
      <c r="L32" s="2">
        <v>3.2640000000000002</v>
      </c>
      <c r="M32" s="2">
        <v>2</v>
      </c>
      <c r="N32" s="2">
        <v>0.2</v>
      </c>
      <c r="O32" s="2">
        <v>1.1015999999999997</v>
      </c>
      <c r="P32">
        <f t="shared" si="0"/>
        <v>1.0718642484980128E-4</v>
      </c>
    </row>
    <row r="33" spans="1:16" x14ac:dyDescent="0.25">
      <c r="A33" s="3" t="s">
        <v>202</v>
      </c>
      <c r="B33" s="3" t="s">
        <v>92</v>
      </c>
      <c r="C33" s="3" t="s">
        <v>93</v>
      </c>
      <c r="D33" s="3" t="s">
        <v>189</v>
      </c>
      <c r="E33" s="3" t="s">
        <v>190</v>
      </c>
      <c r="F33" s="3">
        <v>19140</v>
      </c>
      <c r="G33" s="3" t="s">
        <v>191</v>
      </c>
      <c r="H33" s="3" t="s">
        <v>212</v>
      </c>
      <c r="I33" s="3" t="s">
        <v>110</v>
      </c>
      <c r="J33" s="3" t="s">
        <v>127</v>
      </c>
      <c r="K33" s="3" t="s">
        <v>213</v>
      </c>
      <c r="L33" s="3">
        <v>86.304000000000002</v>
      </c>
      <c r="M33" s="3">
        <v>6</v>
      </c>
      <c r="N33" s="3">
        <v>0.2</v>
      </c>
      <c r="O33" s="3">
        <v>9.7091999999999885</v>
      </c>
      <c r="P33">
        <f t="shared" si="0"/>
        <v>2.8341351747050397E-3</v>
      </c>
    </row>
    <row r="34" spans="1:16" x14ac:dyDescent="0.25">
      <c r="A34" s="2" t="s">
        <v>202</v>
      </c>
      <c r="B34" s="2" t="s">
        <v>92</v>
      </c>
      <c r="C34" s="2" t="s">
        <v>93</v>
      </c>
      <c r="D34" s="2" t="s">
        <v>189</v>
      </c>
      <c r="E34" s="2" t="s">
        <v>190</v>
      </c>
      <c r="F34" s="2">
        <v>19140</v>
      </c>
      <c r="G34" s="2" t="s">
        <v>191</v>
      </c>
      <c r="H34" s="2" t="s">
        <v>214</v>
      </c>
      <c r="I34" s="2" t="s">
        <v>110</v>
      </c>
      <c r="J34" s="2" t="s">
        <v>134</v>
      </c>
      <c r="K34" s="2" t="s">
        <v>215</v>
      </c>
      <c r="L34" s="2">
        <v>6.8580000000000014</v>
      </c>
      <c r="M34" s="2">
        <v>6</v>
      </c>
      <c r="N34" s="2">
        <v>0.7</v>
      </c>
      <c r="O34" s="2">
        <v>-5.7149999999999999</v>
      </c>
      <c r="P34">
        <f t="shared" si="0"/>
        <v>2.2520971250610824E-4</v>
      </c>
    </row>
    <row r="35" spans="1:16" x14ac:dyDescent="0.25">
      <c r="A35" s="3" t="s">
        <v>202</v>
      </c>
      <c r="B35" s="3" t="s">
        <v>92</v>
      </c>
      <c r="C35" s="3" t="s">
        <v>93</v>
      </c>
      <c r="D35" s="3" t="s">
        <v>189</v>
      </c>
      <c r="E35" s="3" t="s">
        <v>190</v>
      </c>
      <c r="F35" s="3">
        <v>19140</v>
      </c>
      <c r="G35" s="3" t="s">
        <v>191</v>
      </c>
      <c r="H35" s="3" t="s">
        <v>216</v>
      </c>
      <c r="I35" s="3" t="s">
        <v>110</v>
      </c>
      <c r="J35" s="3" t="s">
        <v>127</v>
      </c>
      <c r="K35" s="3" t="s">
        <v>217</v>
      </c>
      <c r="L35" s="3">
        <v>15.76</v>
      </c>
      <c r="M35" s="3">
        <v>2</v>
      </c>
      <c r="N35" s="3">
        <v>0.2</v>
      </c>
      <c r="O35" s="3">
        <v>3.5460000000000007</v>
      </c>
      <c r="P35">
        <f t="shared" si="0"/>
        <v>5.1754229645614833E-4</v>
      </c>
    </row>
    <row r="36" spans="1:16" x14ac:dyDescent="0.25">
      <c r="A36" s="2" t="s">
        <v>218</v>
      </c>
      <c r="B36" s="2" t="s">
        <v>155</v>
      </c>
      <c r="C36" s="2" t="s">
        <v>93</v>
      </c>
      <c r="D36" s="2" t="s">
        <v>219</v>
      </c>
      <c r="E36" s="2" t="s">
        <v>157</v>
      </c>
      <c r="F36" s="2">
        <v>77095</v>
      </c>
      <c r="G36" s="2" t="s">
        <v>158</v>
      </c>
      <c r="H36" s="2" t="s">
        <v>220</v>
      </c>
      <c r="I36" s="2" t="s">
        <v>110</v>
      </c>
      <c r="J36" s="2" t="s">
        <v>147</v>
      </c>
      <c r="K36" s="2" t="s">
        <v>221</v>
      </c>
      <c r="L36" s="2">
        <v>29.472000000000001</v>
      </c>
      <c r="M36" s="2">
        <v>3</v>
      </c>
      <c r="N36" s="2">
        <v>0.2</v>
      </c>
      <c r="O36" s="2">
        <v>9.9467999999999979</v>
      </c>
      <c r="P36">
        <f t="shared" si="0"/>
        <v>9.6783036555555862E-4</v>
      </c>
    </row>
    <row r="37" spans="1:16" x14ac:dyDescent="0.25">
      <c r="A37" s="3" t="s">
        <v>222</v>
      </c>
      <c r="B37" s="3" t="s">
        <v>105</v>
      </c>
      <c r="C37" s="3" t="s">
        <v>93</v>
      </c>
      <c r="D37" s="3" t="s">
        <v>223</v>
      </c>
      <c r="E37" s="3" t="s">
        <v>157</v>
      </c>
      <c r="F37" s="3">
        <v>75080</v>
      </c>
      <c r="G37" s="3" t="s">
        <v>158</v>
      </c>
      <c r="H37" s="3" t="s">
        <v>224</v>
      </c>
      <c r="I37" s="3" t="s">
        <v>130</v>
      </c>
      <c r="J37" s="3" t="s">
        <v>131</v>
      </c>
      <c r="K37" s="3" t="s">
        <v>225</v>
      </c>
      <c r="L37" s="3">
        <v>1097.5440000000003</v>
      </c>
      <c r="M37" s="3">
        <v>7</v>
      </c>
      <c r="N37" s="3">
        <v>0.2</v>
      </c>
      <c r="O37" s="3">
        <v>123.47369999999989</v>
      </c>
      <c r="P37">
        <f t="shared" si="0"/>
        <v>3.6042223491222526E-2</v>
      </c>
    </row>
    <row r="38" spans="1:16" x14ac:dyDescent="0.25">
      <c r="A38" s="2" t="s">
        <v>222</v>
      </c>
      <c r="B38" s="2" t="s">
        <v>105</v>
      </c>
      <c r="C38" s="2" t="s">
        <v>93</v>
      </c>
      <c r="D38" s="2" t="s">
        <v>223</v>
      </c>
      <c r="E38" s="2" t="s">
        <v>157</v>
      </c>
      <c r="F38" s="2">
        <v>75080</v>
      </c>
      <c r="G38" s="2" t="s">
        <v>158</v>
      </c>
      <c r="H38" s="2" t="s">
        <v>226</v>
      </c>
      <c r="I38" s="2" t="s">
        <v>98</v>
      </c>
      <c r="J38" s="2" t="s">
        <v>124</v>
      </c>
      <c r="K38" s="2" t="s">
        <v>227</v>
      </c>
      <c r="L38" s="2">
        <v>190.92</v>
      </c>
      <c r="M38" s="2">
        <v>5</v>
      </c>
      <c r="N38" s="2">
        <v>0.6</v>
      </c>
      <c r="O38" s="2">
        <v>-147.96300000000002</v>
      </c>
      <c r="P38">
        <f t="shared" si="0"/>
        <v>6.269617718236537E-3</v>
      </c>
    </row>
    <row r="39" spans="1:16" x14ac:dyDescent="0.25">
      <c r="A39" s="3" t="s">
        <v>228</v>
      </c>
      <c r="B39" s="3" t="s">
        <v>155</v>
      </c>
      <c r="C39" s="3" t="s">
        <v>93</v>
      </c>
      <c r="D39" s="3" t="s">
        <v>219</v>
      </c>
      <c r="E39" s="3" t="s">
        <v>157</v>
      </c>
      <c r="F39" s="3">
        <v>77041</v>
      </c>
      <c r="G39" s="3" t="s">
        <v>158</v>
      </c>
      <c r="H39" s="3" t="s">
        <v>229</v>
      </c>
      <c r="I39" s="3" t="s">
        <v>110</v>
      </c>
      <c r="J39" s="3" t="s">
        <v>210</v>
      </c>
      <c r="K39" s="3" t="s">
        <v>230</v>
      </c>
      <c r="L39" s="3">
        <v>113.328</v>
      </c>
      <c r="M39" s="3">
        <v>9</v>
      </c>
      <c r="N39" s="3">
        <v>0.2</v>
      </c>
      <c r="O39" s="3">
        <v>35.414999999999999</v>
      </c>
      <c r="P39">
        <f t="shared" si="0"/>
        <v>3.7215757216232472E-3</v>
      </c>
    </row>
    <row r="40" spans="1:16" x14ac:dyDescent="0.25">
      <c r="A40" s="2" t="s">
        <v>228</v>
      </c>
      <c r="B40" s="2" t="s">
        <v>155</v>
      </c>
      <c r="C40" s="2" t="s">
        <v>93</v>
      </c>
      <c r="D40" s="2" t="s">
        <v>219</v>
      </c>
      <c r="E40" s="2" t="s">
        <v>157</v>
      </c>
      <c r="F40" s="2">
        <v>77041</v>
      </c>
      <c r="G40" s="2" t="s">
        <v>158</v>
      </c>
      <c r="H40" s="2" t="s">
        <v>231</v>
      </c>
      <c r="I40" s="2" t="s">
        <v>98</v>
      </c>
      <c r="J40" s="2" t="s">
        <v>99</v>
      </c>
      <c r="K40" s="2" t="s">
        <v>232</v>
      </c>
      <c r="L40" s="2">
        <v>532.39919999999995</v>
      </c>
      <c r="M40" s="2">
        <v>3</v>
      </c>
      <c r="N40" s="2">
        <v>0.32</v>
      </c>
      <c r="O40" s="2">
        <v>-46.976400000000012</v>
      </c>
      <c r="P40">
        <f t="shared" si="0"/>
        <v>1.7483445723313208E-2</v>
      </c>
    </row>
    <row r="41" spans="1:16" x14ac:dyDescent="0.25">
      <c r="A41" s="3" t="s">
        <v>228</v>
      </c>
      <c r="B41" s="3" t="s">
        <v>155</v>
      </c>
      <c r="C41" s="3" t="s">
        <v>93</v>
      </c>
      <c r="D41" s="3" t="s">
        <v>219</v>
      </c>
      <c r="E41" s="3" t="s">
        <v>157</v>
      </c>
      <c r="F41" s="3">
        <v>77041</v>
      </c>
      <c r="G41" s="3" t="s">
        <v>158</v>
      </c>
      <c r="H41" s="3" t="s">
        <v>233</v>
      </c>
      <c r="I41" s="3" t="s">
        <v>98</v>
      </c>
      <c r="J41" s="3" t="s">
        <v>102</v>
      </c>
      <c r="K41" s="3" t="s">
        <v>234</v>
      </c>
      <c r="L41" s="3">
        <v>212.05799999999999</v>
      </c>
      <c r="M41" s="3">
        <v>3</v>
      </c>
      <c r="N41" s="3">
        <v>0.3</v>
      </c>
      <c r="O41" s="3">
        <v>-15.146999999999991</v>
      </c>
      <c r="P41">
        <f t="shared" si="0"/>
        <v>6.9637680394605264E-3</v>
      </c>
    </row>
    <row r="42" spans="1:16" x14ac:dyDescent="0.25">
      <c r="A42" s="2" t="s">
        <v>228</v>
      </c>
      <c r="B42" s="2" t="s">
        <v>155</v>
      </c>
      <c r="C42" s="2" t="s">
        <v>93</v>
      </c>
      <c r="D42" s="2" t="s">
        <v>219</v>
      </c>
      <c r="E42" s="2" t="s">
        <v>157</v>
      </c>
      <c r="F42" s="2">
        <v>77041</v>
      </c>
      <c r="G42" s="2" t="s">
        <v>158</v>
      </c>
      <c r="H42" s="2" t="s">
        <v>235</v>
      </c>
      <c r="I42" s="2" t="s">
        <v>130</v>
      </c>
      <c r="J42" s="2" t="s">
        <v>131</v>
      </c>
      <c r="K42" s="2" t="s">
        <v>236</v>
      </c>
      <c r="L42" s="2">
        <v>371.16800000000001</v>
      </c>
      <c r="M42" s="2">
        <v>4</v>
      </c>
      <c r="N42" s="2">
        <v>0.2</v>
      </c>
      <c r="O42" s="2">
        <v>41.756399999999957</v>
      </c>
      <c r="P42">
        <f t="shared" si="0"/>
        <v>1.2188777861106323E-2</v>
      </c>
    </row>
    <row r="43" spans="1:16" x14ac:dyDescent="0.25">
      <c r="A43" s="3" t="s">
        <v>237</v>
      </c>
      <c r="B43" s="3" t="s">
        <v>105</v>
      </c>
      <c r="C43" s="3" t="s">
        <v>93</v>
      </c>
      <c r="D43" s="3" t="s">
        <v>238</v>
      </c>
      <c r="E43" s="3" t="s">
        <v>239</v>
      </c>
      <c r="F43" s="3">
        <v>60540</v>
      </c>
      <c r="G43" s="3" t="s">
        <v>158</v>
      </c>
      <c r="H43" s="3" t="s">
        <v>240</v>
      </c>
      <c r="I43" s="3" t="s">
        <v>130</v>
      </c>
      <c r="J43" s="3" t="s">
        <v>131</v>
      </c>
      <c r="K43" s="3" t="s">
        <v>241</v>
      </c>
      <c r="L43" s="3">
        <v>147.16800000000001</v>
      </c>
      <c r="M43" s="3">
        <v>4</v>
      </c>
      <c r="N43" s="3">
        <v>0.2</v>
      </c>
      <c r="O43" s="3">
        <v>16.556399999999996</v>
      </c>
      <c r="P43">
        <f t="shared" si="0"/>
        <v>4.8328467439630986E-3</v>
      </c>
    </row>
    <row r="44" spans="1:16" x14ac:dyDescent="0.25">
      <c r="A44" s="2" t="s">
        <v>242</v>
      </c>
      <c r="B44" s="2" t="s">
        <v>105</v>
      </c>
      <c r="C44" s="2" t="s">
        <v>93</v>
      </c>
      <c r="D44" s="2" t="s">
        <v>106</v>
      </c>
      <c r="E44" s="2" t="s">
        <v>107</v>
      </c>
      <c r="F44" s="2">
        <v>90049</v>
      </c>
      <c r="G44" s="2" t="s">
        <v>108</v>
      </c>
      <c r="H44" s="2" t="s">
        <v>243</v>
      </c>
      <c r="I44" s="2" t="s">
        <v>110</v>
      </c>
      <c r="J44" s="2" t="s">
        <v>120</v>
      </c>
      <c r="K44" s="2" t="s">
        <v>244</v>
      </c>
      <c r="L44" s="2">
        <v>77.88</v>
      </c>
      <c r="M44" s="2">
        <v>2</v>
      </c>
      <c r="N44" s="2">
        <v>0</v>
      </c>
      <c r="O44" s="2">
        <v>3.8939999999999912</v>
      </c>
      <c r="P44">
        <f t="shared" si="0"/>
        <v>2.5574996223353317E-3</v>
      </c>
    </row>
    <row r="45" spans="1:16" x14ac:dyDescent="0.25">
      <c r="A45" s="3" t="s">
        <v>245</v>
      </c>
      <c r="B45" s="3" t="s">
        <v>105</v>
      </c>
      <c r="C45" s="3" t="s">
        <v>93</v>
      </c>
      <c r="D45" s="3" t="s">
        <v>246</v>
      </c>
      <c r="E45" s="3" t="s">
        <v>115</v>
      </c>
      <c r="F45" s="3">
        <v>32935</v>
      </c>
      <c r="G45" s="3" t="s">
        <v>96</v>
      </c>
      <c r="H45" s="3" t="s">
        <v>247</v>
      </c>
      <c r="I45" s="3" t="s">
        <v>110</v>
      </c>
      <c r="J45" s="3" t="s">
        <v>120</v>
      </c>
      <c r="K45" s="3" t="s">
        <v>248</v>
      </c>
      <c r="L45" s="3">
        <v>95.616</v>
      </c>
      <c r="M45" s="3">
        <v>2</v>
      </c>
      <c r="N45" s="3">
        <v>0.2</v>
      </c>
      <c r="O45" s="3">
        <v>9.5616000000000092</v>
      </c>
      <c r="P45">
        <f t="shared" si="0"/>
        <v>3.139931739717708E-3</v>
      </c>
    </row>
    <row r="46" spans="1:16" x14ac:dyDescent="0.25">
      <c r="A46" s="2" t="s">
        <v>249</v>
      </c>
      <c r="B46" s="2" t="s">
        <v>105</v>
      </c>
      <c r="C46" s="2" t="s">
        <v>93</v>
      </c>
      <c r="D46" s="2" t="s">
        <v>250</v>
      </c>
      <c r="E46" s="2" t="s">
        <v>251</v>
      </c>
      <c r="F46" s="2">
        <v>55122</v>
      </c>
      <c r="G46" s="2" t="s">
        <v>158</v>
      </c>
      <c r="H46" s="2" t="s">
        <v>252</v>
      </c>
      <c r="I46" s="2" t="s">
        <v>130</v>
      </c>
      <c r="J46" s="2" t="s">
        <v>200</v>
      </c>
      <c r="K46" s="2" t="s">
        <v>253</v>
      </c>
      <c r="L46" s="2">
        <v>45.98</v>
      </c>
      <c r="M46" s="2">
        <v>2</v>
      </c>
      <c r="N46" s="2">
        <v>0</v>
      </c>
      <c r="O46" s="2">
        <v>19.7714</v>
      </c>
      <c r="P46">
        <f t="shared" si="0"/>
        <v>1.5099362177064528E-3</v>
      </c>
    </row>
    <row r="47" spans="1:16" x14ac:dyDescent="0.25">
      <c r="A47" s="3" t="s">
        <v>249</v>
      </c>
      <c r="B47" s="3" t="s">
        <v>105</v>
      </c>
      <c r="C47" s="3" t="s">
        <v>93</v>
      </c>
      <c r="D47" s="3" t="s">
        <v>250</v>
      </c>
      <c r="E47" s="3" t="s">
        <v>251</v>
      </c>
      <c r="F47" s="3">
        <v>55122</v>
      </c>
      <c r="G47" s="3" t="s">
        <v>158</v>
      </c>
      <c r="H47" s="3" t="s">
        <v>254</v>
      </c>
      <c r="I47" s="3" t="s">
        <v>110</v>
      </c>
      <c r="J47" s="3" t="s">
        <v>134</v>
      </c>
      <c r="K47" s="3" t="s">
        <v>255</v>
      </c>
      <c r="L47" s="3">
        <v>17.46</v>
      </c>
      <c r="M47" s="3">
        <v>2</v>
      </c>
      <c r="N47" s="3">
        <v>0</v>
      </c>
      <c r="O47" s="3">
        <v>8.2061999999999991</v>
      </c>
      <c r="P47">
        <f t="shared" si="0"/>
        <v>5.7336855939875322E-4</v>
      </c>
    </row>
    <row r="48" spans="1:16" x14ac:dyDescent="0.25">
      <c r="A48" s="2" t="s">
        <v>256</v>
      </c>
      <c r="B48" s="2" t="s">
        <v>92</v>
      </c>
      <c r="C48" s="2" t="s">
        <v>93</v>
      </c>
      <c r="D48" s="2" t="s">
        <v>257</v>
      </c>
      <c r="E48" s="2" t="s">
        <v>258</v>
      </c>
      <c r="F48" s="2">
        <v>48185</v>
      </c>
      <c r="G48" s="2" t="s">
        <v>158</v>
      </c>
      <c r="H48" s="2" t="s">
        <v>259</v>
      </c>
      <c r="I48" s="2" t="s">
        <v>110</v>
      </c>
      <c r="J48" s="2" t="s">
        <v>120</v>
      </c>
      <c r="K48" s="2" t="s">
        <v>260</v>
      </c>
      <c r="L48" s="2">
        <v>211.96</v>
      </c>
      <c r="M48" s="2">
        <v>4</v>
      </c>
      <c r="N48" s="2">
        <v>0</v>
      </c>
      <c r="O48" s="2">
        <v>8.4783999999999935</v>
      </c>
      <c r="P48">
        <f t="shared" si="0"/>
        <v>6.9605498195967766E-3</v>
      </c>
    </row>
    <row r="49" spans="1:16" x14ac:dyDescent="0.25">
      <c r="A49" s="3" t="s">
        <v>261</v>
      </c>
      <c r="B49" s="3" t="s">
        <v>92</v>
      </c>
      <c r="C49" s="3" t="s">
        <v>93</v>
      </c>
      <c r="D49" s="3" t="s">
        <v>262</v>
      </c>
      <c r="E49" s="3" t="s">
        <v>263</v>
      </c>
      <c r="F49" s="3">
        <v>19901</v>
      </c>
      <c r="G49" s="3" t="s">
        <v>191</v>
      </c>
      <c r="H49" s="3" t="s">
        <v>264</v>
      </c>
      <c r="I49" s="3" t="s">
        <v>130</v>
      </c>
      <c r="J49" s="3" t="s">
        <v>200</v>
      </c>
      <c r="K49" s="3" t="s">
        <v>265</v>
      </c>
      <c r="L49" s="3">
        <v>45</v>
      </c>
      <c r="M49" s="3">
        <v>3</v>
      </c>
      <c r="N49" s="3">
        <v>0</v>
      </c>
      <c r="O49" s="3">
        <v>4.9500000000000011</v>
      </c>
      <c r="P49">
        <f t="shared" si="0"/>
        <v>1.4777540190689515E-3</v>
      </c>
    </row>
    <row r="50" spans="1:16" x14ac:dyDescent="0.25">
      <c r="A50" s="2" t="s">
        <v>261</v>
      </c>
      <c r="B50" s="2" t="s">
        <v>92</v>
      </c>
      <c r="C50" s="2" t="s">
        <v>93</v>
      </c>
      <c r="D50" s="2" t="s">
        <v>262</v>
      </c>
      <c r="E50" s="2" t="s">
        <v>263</v>
      </c>
      <c r="F50" s="2">
        <v>19901</v>
      </c>
      <c r="G50" s="2" t="s">
        <v>191</v>
      </c>
      <c r="H50" s="2" t="s">
        <v>266</v>
      </c>
      <c r="I50" s="2" t="s">
        <v>130</v>
      </c>
      <c r="J50" s="2" t="s">
        <v>131</v>
      </c>
      <c r="K50" s="2" t="s">
        <v>267</v>
      </c>
      <c r="L50" s="2">
        <v>21.8</v>
      </c>
      <c r="M50" s="2">
        <v>2</v>
      </c>
      <c r="N50" s="2">
        <v>0</v>
      </c>
      <c r="O50" s="2">
        <v>6.104000000000001</v>
      </c>
      <c r="P50">
        <f t="shared" si="0"/>
        <v>7.1588972479340318E-4</v>
      </c>
    </row>
    <row r="51" spans="1:16" x14ac:dyDescent="0.25">
      <c r="A51" s="3" t="s">
        <v>268</v>
      </c>
      <c r="B51" s="3" t="s">
        <v>92</v>
      </c>
      <c r="C51" s="3" t="s">
        <v>93</v>
      </c>
      <c r="D51" s="3" t="s">
        <v>269</v>
      </c>
      <c r="E51" s="3" t="s">
        <v>270</v>
      </c>
      <c r="F51" s="3">
        <v>47150</v>
      </c>
      <c r="G51" s="3" t="s">
        <v>158</v>
      </c>
      <c r="H51" s="3" t="s">
        <v>271</v>
      </c>
      <c r="I51" s="3" t="s">
        <v>110</v>
      </c>
      <c r="J51" s="3" t="s">
        <v>134</v>
      </c>
      <c r="K51" s="3" t="s">
        <v>272</v>
      </c>
      <c r="L51" s="3">
        <v>38.22</v>
      </c>
      <c r="M51" s="3">
        <v>6</v>
      </c>
      <c r="N51" s="3">
        <v>0</v>
      </c>
      <c r="O51" s="3">
        <v>17.9634</v>
      </c>
      <c r="P51">
        <f t="shared" si="0"/>
        <v>1.2551057468625627E-3</v>
      </c>
    </row>
    <row r="52" spans="1:16" x14ac:dyDescent="0.25">
      <c r="A52" s="2" t="s">
        <v>268</v>
      </c>
      <c r="B52" s="2" t="s">
        <v>92</v>
      </c>
      <c r="C52" s="2" t="s">
        <v>93</v>
      </c>
      <c r="D52" s="2" t="s">
        <v>269</v>
      </c>
      <c r="E52" s="2" t="s">
        <v>270</v>
      </c>
      <c r="F52" s="2">
        <v>47150</v>
      </c>
      <c r="G52" s="2" t="s">
        <v>158</v>
      </c>
      <c r="H52" s="2" t="s">
        <v>273</v>
      </c>
      <c r="I52" s="2" t="s">
        <v>110</v>
      </c>
      <c r="J52" s="2" t="s">
        <v>111</v>
      </c>
      <c r="K52" s="2" t="s">
        <v>274</v>
      </c>
      <c r="L52" s="2">
        <v>75.179999999999993</v>
      </c>
      <c r="M52" s="2">
        <v>6</v>
      </c>
      <c r="N52" s="2">
        <v>0</v>
      </c>
      <c r="O52" s="2">
        <v>35.334599999999995</v>
      </c>
      <c r="P52">
        <f t="shared" si="0"/>
        <v>2.4688343811911945E-3</v>
      </c>
    </row>
    <row r="53" spans="1:16" x14ac:dyDescent="0.25">
      <c r="A53" s="3" t="s">
        <v>268</v>
      </c>
      <c r="B53" s="3" t="s">
        <v>92</v>
      </c>
      <c r="C53" s="3" t="s">
        <v>93</v>
      </c>
      <c r="D53" s="3" t="s">
        <v>269</v>
      </c>
      <c r="E53" s="3" t="s">
        <v>270</v>
      </c>
      <c r="F53" s="3">
        <v>47150</v>
      </c>
      <c r="G53" s="3" t="s">
        <v>158</v>
      </c>
      <c r="H53" s="3" t="s">
        <v>275</v>
      </c>
      <c r="I53" s="3" t="s">
        <v>98</v>
      </c>
      <c r="J53" s="3" t="s">
        <v>124</v>
      </c>
      <c r="K53" s="3" t="s">
        <v>276</v>
      </c>
      <c r="L53" s="3">
        <v>6.16</v>
      </c>
      <c r="M53" s="3">
        <v>2</v>
      </c>
      <c r="N53" s="3">
        <v>0</v>
      </c>
      <c r="O53" s="3">
        <v>2.9567999999999999</v>
      </c>
      <c r="P53">
        <f t="shared" si="0"/>
        <v>2.022881057214387E-4</v>
      </c>
    </row>
    <row r="54" spans="1:16" x14ac:dyDescent="0.25">
      <c r="A54" s="2" t="s">
        <v>268</v>
      </c>
      <c r="B54" s="2" t="s">
        <v>92</v>
      </c>
      <c r="C54" s="2" t="s">
        <v>93</v>
      </c>
      <c r="D54" s="2" t="s">
        <v>269</v>
      </c>
      <c r="E54" s="2" t="s">
        <v>270</v>
      </c>
      <c r="F54" s="2">
        <v>47150</v>
      </c>
      <c r="G54" s="2" t="s">
        <v>158</v>
      </c>
      <c r="H54" s="2" t="s">
        <v>277</v>
      </c>
      <c r="I54" s="2" t="s">
        <v>98</v>
      </c>
      <c r="J54" s="2" t="s">
        <v>102</v>
      </c>
      <c r="K54" s="2" t="s">
        <v>278</v>
      </c>
      <c r="L54" s="2">
        <v>89.99</v>
      </c>
      <c r="M54" s="2">
        <v>1</v>
      </c>
      <c r="N54" s="2">
        <v>0</v>
      </c>
      <c r="O54" s="2">
        <v>17.098099999999988</v>
      </c>
      <c r="P54">
        <f t="shared" si="0"/>
        <v>2.9551796483558873E-3</v>
      </c>
    </row>
    <row r="55" spans="1:16" x14ac:dyDescent="0.25">
      <c r="A55" s="3" t="s">
        <v>279</v>
      </c>
      <c r="B55" s="3" t="s">
        <v>105</v>
      </c>
      <c r="C55" s="3" t="s">
        <v>93</v>
      </c>
      <c r="D55" s="3" t="s">
        <v>280</v>
      </c>
      <c r="E55" s="3" t="s">
        <v>281</v>
      </c>
      <c r="F55" s="3">
        <v>10024</v>
      </c>
      <c r="G55" s="3" t="s">
        <v>191</v>
      </c>
      <c r="H55" s="3" t="s">
        <v>282</v>
      </c>
      <c r="I55" s="3" t="s">
        <v>110</v>
      </c>
      <c r="J55" s="3" t="s">
        <v>283</v>
      </c>
      <c r="K55" s="3" t="s">
        <v>284</v>
      </c>
      <c r="L55" s="3">
        <v>15.260000000000002</v>
      </c>
      <c r="M55" s="3">
        <v>7</v>
      </c>
      <c r="N55" s="3">
        <v>0</v>
      </c>
      <c r="O55" s="3">
        <v>6.2566000000000006</v>
      </c>
      <c r="P55">
        <f t="shared" si="0"/>
        <v>5.0112280735538221E-4</v>
      </c>
    </row>
    <row r="56" spans="1:16" x14ac:dyDescent="0.25">
      <c r="L56">
        <f>SUM(L2:L55)</f>
        <v>15225.808699999996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J1" zoomScale="120" zoomScaleNormal="120" workbookViewId="0">
      <selection activeCell="R26" sqref="R26"/>
    </sheetView>
  </sheetViews>
  <sheetFormatPr defaultRowHeight="15" x14ac:dyDescent="0.25"/>
  <cols>
    <col min="2" max="2" width="13.85546875" customWidth="1"/>
    <col min="3" max="3" width="22.140625" customWidth="1"/>
    <col min="10" max="10" width="15.7109375" customWidth="1"/>
    <col min="17" max="17" width="12.28515625" customWidth="1"/>
    <col min="18" max="18" width="17" customWidth="1"/>
    <col min="19" max="19" width="13.85546875" customWidth="1"/>
    <col min="20" max="20" width="14.7109375" customWidth="1"/>
    <col min="21" max="21" width="12.85546875" customWidth="1"/>
  </cols>
  <sheetData>
    <row r="1" spans="1:22" ht="15.75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</row>
    <row r="2" spans="1:22" ht="15.75" x14ac:dyDescent="0.25">
      <c r="A2" s="2" t="s">
        <v>91</v>
      </c>
      <c r="B2" s="2" t="s">
        <v>92</v>
      </c>
      <c r="C2" s="2" t="s">
        <v>93</v>
      </c>
      <c r="D2" s="2" t="s">
        <v>94</v>
      </c>
      <c r="E2" s="2" t="s">
        <v>95</v>
      </c>
      <c r="F2" s="2">
        <v>42420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>
        <v>261.95999999999998</v>
      </c>
      <c r="M2" s="2">
        <v>2</v>
      </c>
      <c r="N2" s="2">
        <v>0</v>
      </c>
      <c r="O2" s="2">
        <v>41.913600000000002</v>
      </c>
      <c r="P2" s="1" t="s">
        <v>82</v>
      </c>
      <c r="Q2" s="1" t="s">
        <v>77</v>
      </c>
      <c r="R2" s="1" t="s">
        <v>84</v>
      </c>
    </row>
    <row r="3" spans="1:22" x14ac:dyDescent="0.25">
      <c r="A3" s="3" t="s">
        <v>91</v>
      </c>
      <c r="B3" s="3" t="s">
        <v>92</v>
      </c>
      <c r="C3" s="3" t="s">
        <v>93</v>
      </c>
      <c r="D3" s="3" t="s">
        <v>94</v>
      </c>
      <c r="E3" s="3" t="s">
        <v>95</v>
      </c>
      <c r="F3" s="3">
        <v>42420</v>
      </c>
      <c r="G3" s="3" t="s">
        <v>96</v>
      </c>
      <c r="H3" s="3" t="s">
        <v>101</v>
      </c>
      <c r="I3" s="3" t="s">
        <v>98</v>
      </c>
      <c r="J3" s="3" t="s">
        <v>102</v>
      </c>
      <c r="K3" s="3" t="s">
        <v>103</v>
      </c>
      <c r="L3" s="3">
        <v>731.93999999999994</v>
      </c>
      <c r="M3" s="3">
        <v>3</v>
      </c>
      <c r="N3" s="3">
        <v>0</v>
      </c>
      <c r="O3" s="3">
        <v>219.58199999999997</v>
      </c>
    </row>
    <row r="4" spans="1:22" x14ac:dyDescent="0.25">
      <c r="A4" s="2" t="s">
        <v>104</v>
      </c>
      <c r="B4" s="2" t="s">
        <v>105</v>
      </c>
      <c r="C4" s="2" t="s">
        <v>93</v>
      </c>
      <c r="D4" s="2" t="s">
        <v>106</v>
      </c>
      <c r="E4" s="2" t="s">
        <v>107</v>
      </c>
      <c r="F4" s="2">
        <v>90036</v>
      </c>
      <c r="G4" s="2" t="s">
        <v>108</v>
      </c>
      <c r="H4" s="2" t="s">
        <v>109</v>
      </c>
      <c r="I4" s="2" t="s">
        <v>110</v>
      </c>
      <c r="J4" s="2" t="s">
        <v>111</v>
      </c>
      <c r="K4" s="2" t="s">
        <v>112</v>
      </c>
      <c r="L4" s="2">
        <v>14.62</v>
      </c>
      <c r="M4" s="2">
        <v>2</v>
      </c>
      <c r="N4" s="2">
        <v>0</v>
      </c>
      <c r="O4" s="2">
        <v>6.8713999999999995</v>
      </c>
    </row>
    <row r="5" spans="1:22" x14ac:dyDescent="0.25">
      <c r="A5" s="3" t="s">
        <v>113</v>
      </c>
      <c r="B5" s="3" t="s">
        <v>92</v>
      </c>
      <c r="C5" s="3" t="s">
        <v>93</v>
      </c>
      <c r="D5" s="3" t="s">
        <v>114</v>
      </c>
      <c r="E5" s="3" t="s">
        <v>115</v>
      </c>
      <c r="F5" s="3">
        <v>33311</v>
      </c>
      <c r="G5" s="3" t="s">
        <v>96</v>
      </c>
      <c r="H5" s="3" t="s">
        <v>116</v>
      </c>
      <c r="I5" s="3" t="s">
        <v>98</v>
      </c>
      <c r="J5" s="3" t="s">
        <v>117</v>
      </c>
      <c r="K5" s="3" t="s">
        <v>118</v>
      </c>
      <c r="L5" s="3">
        <v>957.57749999999999</v>
      </c>
      <c r="M5" s="3">
        <v>5</v>
      </c>
      <c r="N5" s="3">
        <v>0.45</v>
      </c>
      <c r="O5" s="3">
        <v>-383.03100000000006</v>
      </c>
      <c r="P5" t="s">
        <v>285</v>
      </c>
    </row>
    <row r="6" spans="1:22" x14ac:dyDescent="0.25">
      <c r="A6" s="2" t="s">
        <v>113</v>
      </c>
      <c r="B6" s="2" t="s">
        <v>92</v>
      </c>
      <c r="C6" s="2" t="s">
        <v>93</v>
      </c>
      <c r="D6" s="2" t="s">
        <v>114</v>
      </c>
      <c r="E6" s="2" t="s">
        <v>115</v>
      </c>
      <c r="F6" s="2">
        <v>33311</v>
      </c>
      <c r="G6" s="2" t="s">
        <v>96</v>
      </c>
      <c r="H6" s="2" t="s">
        <v>119</v>
      </c>
      <c r="I6" s="2" t="s">
        <v>110</v>
      </c>
      <c r="J6" s="2" t="s">
        <v>120</v>
      </c>
      <c r="K6" s="2" t="s">
        <v>121</v>
      </c>
      <c r="L6" s="2">
        <v>22.368000000000002</v>
      </c>
      <c r="M6" s="2">
        <v>2</v>
      </c>
      <c r="N6" s="2">
        <v>0.2</v>
      </c>
      <c r="O6" s="2">
        <v>2.5163999999999991</v>
      </c>
      <c r="P6" t="s">
        <v>286</v>
      </c>
    </row>
    <row r="7" spans="1:22" x14ac:dyDescent="0.25">
      <c r="A7" s="3" t="s">
        <v>122</v>
      </c>
      <c r="B7" s="3" t="s">
        <v>92</v>
      </c>
      <c r="C7" s="3" t="s">
        <v>93</v>
      </c>
      <c r="D7" s="3" t="s">
        <v>106</v>
      </c>
      <c r="E7" s="3" t="s">
        <v>107</v>
      </c>
      <c r="F7" s="3">
        <v>90032</v>
      </c>
      <c r="G7" s="3" t="s">
        <v>108</v>
      </c>
      <c r="H7" s="3" t="s">
        <v>123</v>
      </c>
      <c r="I7" s="3" t="s">
        <v>98</v>
      </c>
      <c r="J7" s="3" t="s">
        <v>124</v>
      </c>
      <c r="K7" s="3" t="s">
        <v>125</v>
      </c>
      <c r="L7" s="3">
        <v>48.86</v>
      </c>
      <c r="M7" s="3">
        <v>7</v>
      </c>
      <c r="N7" s="3">
        <v>0</v>
      </c>
      <c r="O7" s="3">
        <v>14.169399999999996</v>
      </c>
    </row>
    <row r="8" spans="1:22" ht="15.75" x14ac:dyDescent="0.25">
      <c r="A8" s="2" t="s">
        <v>122</v>
      </c>
      <c r="B8" s="2" t="s">
        <v>92</v>
      </c>
      <c r="C8" s="2" t="s">
        <v>93</v>
      </c>
      <c r="D8" s="2" t="s">
        <v>106</v>
      </c>
      <c r="E8" s="2" t="s">
        <v>107</v>
      </c>
      <c r="F8" s="2">
        <v>90032</v>
      </c>
      <c r="G8" s="2" t="s">
        <v>108</v>
      </c>
      <c r="H8" s="2" t="s">
        <v>126</v>
      </c>
      <c r="I8" s="2" t="s">
        <v>110</v>
      </c>
      <c r="J8" s="2" t="s">
        <v>127</v>
      </c>
      <c r="K8" s="2" t="s">
        <v>128</v>
      </c>
      <c r="L8" s="2">
        <v>7.28</v>
      </c>
      <c r="M8" s="2">
        <v>4</v>
      </c>
      <c r="N8" s="2">
        <v>0</v>
      </c>
      <c r="O8" s="2">
        <v>1.9656000000000002</v>
      </c>
      <c r="Q8" s="1" t="s">
        <v>82</v>
      </c>
      <c r="R8" s="1" t="s">
        <v>77</v>
      </c>
      <c r="S8" s="1" t="s">
        <v>84</v>
      </c>
      <c r="T8" s="6" t="s">
        <v>294</v>
      </c>
      <c r="U8" s="6" t="s">
        <v>295</v>
      </c>
    </row>
    <row r="9" spans="1:22" x14ac:dyDescent="0.25">
      <c r="A9" s="3" t="s">
        <v>122</v>
      </c>
      <c r="B9" s="3" t="s">
        <v>92</v>
      </c>
      <c r="C9" s="3" t="s">
        <v>93</v>
      </c>
      <c r="D9" s="3" t="s">
        <v>106</v>
      </c>
      <c r="E9" s="3" t="s">
        <v>107</v>
      </c>
      <c r="F9" s="3">
        <v>90032</v>
      </c>
      <c r="G9" s="3" t="s">
        <v>108</v>
      </c>
      <c r="H9" s="3" t="s">
        <v>129</v>
      </c>
      <c r="I9" s="3" t="s">
        <v>130</v>
      </c>
      <c r="J9" s="3" t="s">
        <v>131</v>
      </c>
      <c r="K9" s="3" t="s">
        <v>132</v>
      </c>
      <c r="L9" s="3">
        <v>907.15200000000004</v>
      </c>
      <c r="M9" s="3">
        <v>6</v>
      </c>
      <c r="N9" s="3">
        <v>0.2</v>
      </c>
      <c r="O9" s="3">
        <v>90.715200000000038</v>
      </c>
      <c r="Q9" t="s">
        <v>96</v>
      </c>
      <c r="R9" t="s">
        <v>92</v>
      </c>
      <c r="S9" t="s">
        <v>98</v>
      </c>
      <c r="T9">
        <f>SUMIFS(L2:L55, G2:G55,Q9, B2:B55,R9, I2:I55,S9)</f>
        <v>1951.4775</v>
      </c>
      <c r="U9">
        <f>SUMIFS(O2:O55, G2:G55,Q9, B2:B55,R9, I2:I55,S9)</f>
        <v>-121.5354000000001</v>
      </c>
    </row>
    <row r="10" spans="1:22" x14ac:dyDescent="0.25">
      <c r="A10" s="2" t="s">
        <v>122</v>
      </c>
      <c r="B10" s="2" t="s">
        <v>92</v>
      </c>
      <c r="C10" s="2" t="s">
        <v>93</v>
      </c>
      <c r="D10" s="2" t="s">
        <v>106</v>
      </c>
      <c r="E10" s="2" t="s">
        <v>107</v>
      </c>
      <c r="F10" s="2">
        <v>90032</v>
      </c>
      <c r="G10" s="2" t="s">
        <v>108</v>
      </c>
      <c r="H10" s="2" t="s">
        <v>133</v>
      </c>
      <c r="I10" s="2" t="s">
        <v>110</v>
      </c>
      <c r="J10" s="2" t="s">
        <v>134</v>
      </c>
      <c r="K10" s="2" t="s">
        <v>135</v>
      </c>
      <c r="L10" s="2">
        <v>18.504000000000001</v>
      </c>
      <c r="M10" s="2">
        <v>3</v>
      </c>
      <c r="N10" s="2">
        <v>0.2</v>
      </c>
      <c r="O10" s="2">
        <v>5.7824999999999998</v>
      </c>
    </row>
    <row r="11" spans="1:22" x14ac:dyDescent="0.25">
      <c r="A11" s="3" t="s">
        <v>122</v>
      </c>
      <c r="B11" s="3" t="s">
        <v>92</v>
      </c>
      <c r="C11" s="3" t="s">
        <v>93</v>
      </c>
      <c r="D11" s="3" t="s">
        <v>106</v>
      </c>
      <c r="E11" s="3" t="s">
        <v>107</v>
      </c>
      <c r="F11" s="3">
        <v>90032</v>
      </c>
      <c r="G11" s="3" t="s">
        <v>108</v>
      </c>
      <c r="H11" s="3" t="s">
        <v>136</v>
      </c>
      <c r="I11" s="3" t="s">
        <v>110</v>
      </c>
      <c r="J11" s="3" t="s">
        <v>137</v>
      </c>
      <c r="K11" s="3" t="s">
        <v>138</v>
      </c>
      <c r="L11" s="3">
        <v>114.9</v>
      </c>
      <c r="M11" s="3">
        <v>5</v>
      </c>
      <c r="N11" s="3">
        <v>0</v>
      </c>
      <c r="O11" s="3">
        <v>34.469999999999992</v>
      </c>
      <c r="P11" s="7">
        <v>1</v>
      </c>
      <c r="Q11" t="s">
        <v>296</v>
      </c>
      <c r="R11">
        <f>LARGE(O2:O55,P11)</f>
        <v>240.26490000000001</v>
      </c>
    </row>
    <row r="12" spans="1:22" x14ac:dyDescent="0.25">
      <c r="A12" s="2" t="s">
        <v>122</v>
      </c>
      <c r="B12" s="2" t="s">
        <v>92</v>
      </c>
      <c r="C12" s="2" t="s">
        <v>93</v>
      </c>
      <c r="D12" s="2" t="s">
        <v>106</v>
      </c>
      <c r="E12" s="2" t="s">
        <v>107</v>
      </c>
      <c r="F12" s="2">
        <v>90032</v>
      </c>
      <c r="G12" s="2" t="s">
        <v>108</v>
      </c>
      <c r="H12" s="2" t="s">
        <v>139</v>
      </c>
      <c r="I12" s="2" t="s">
        <v>98</v>
      </c>
      <c r="J12" s="2" t="s">
        <v>117</v>
      </c>
      <c r="K12" s="2" t="s">
        <v>140</v>
      </c>
      <c r="L12" s="2">
        <v>1706.1840000000002</v>
      </c>
      <c r="M12" s="2">
        <v>9</v>
      </c>
      <c r="N12" s="2">
        <v>0.2</v>
      </c>
      <c r="O12" s="2">
        <v>85.309199999999805</v>
      </c>
      <c r="P12" s="8">
        <v>1</v>
      </c>
      <c r="Q12" t="s">
        <v>288</v>
      </c>
      <c r="R12">
        <f>SMALL(O2:O55,P12)</f>
        <v>-1665.0522000000001</v>
      </c>
    </row>
    <row r="13" spans="1:22" x14ac:dyDescent="0.25">
      <c r="A13" s="3" t="s">
        <v>122</v>
      </c>
      <c r="B13" s="3" t="s">
        <v>92</v>
      </c>
      <c r="C13" s="3" t="s">
        <v>93</v>
      </c>
      <c r="D13" s="3" t="s">
        <v>106</v>
      </c>
      <c r="E13" s="3" t="s">
        <v>107</v>
      </c>
      <c r="F13" s="3">
        <v>90032</v>
      </c>
      <c r="G13" s="3" t="s">
        <v>108</v>
      </c>
      <c r="H13" s="3" t="s">
        <v>141</v>
      </c>
      <c r="I13" s="3" t="s">
        <v>130</v>
      </c>
      <c r="J13" s="3" t="s">
        <v>131</v>
      </c>
      <c r="K13" s="3" t="s">
        <v>142</v>
      </c>
      <c r="L13" s="3">
        <v>911.42399999999998</v>
      </c>
      <c r="M13" s="3">
        <v>4</v>
      </c>
      <c r="N13" s="3">
        <v>0.2</v>
      </c>
      <c r="O13" s="3">
        <v>68.356800000000021</v>
      </c>
    </row>
    <row r="14" spans="1:22" ht="15.75" x14ac:dyDescent="0.25">
      <c r="A14" s="2" t="s">
        <v>143</v>
      </c>
      <c r="B14" s="2" t="s">
        <v>92</v>
      </c>
      <c r="C14" s="2" t="s">
        <v>93</v>
      </c>
      <c r="D14" s="2" t="s">
        <v>144</v>
      </c>
      <c r="E14" s="2" t="s">
        <v>145</v>
      </c>
      <c r="F14" s="2">
        <v>28027</v>
      </c>
      <c r="G14" s="2" t="s">
        <v>96</v>
      </c>
      <c r="H14" s="2" t="s">
        <v>146</v>
      </c>
      <c r="I14" s="2" t="s">
        <v>110</v>
      </c>
      <c r="J14" s="2" t="s">
        <v>147</v>
      </c>
      <c r="K14" s="2" t="s">
        <v>148</v>
      </c>
      <c r="L14" s="2">
        <v>15.552000000000003</v>
      </c>
      <c r="M14" s="2">
        <v>3</v>
      </c>
      <c r="N14" s="2">
        <v>0.2</v>
      </c>
      <c r="O14" s="2">
        <v>5.4432</v>
      </c>
      <c r="Q14" s="1" t="s">
        <v>82</v>
      </c>
      <c r="R14" s="1" t="s">
        <v>77</v>
      </c>
      <c r="S14" s="1" t="s">
        <v>85</v>
      </c>
      <c r="T14" s="6" t="s">
        <v>297</v>
      </c>
      <c r="U14" s="6" t="s">
        <v>298</v>
      </c>
      <c r="V14" s="6" t="s">
        <v>295</v>
      </c>
    </row>
    <row r="15" spans="1:22" x14ac:dyDescent="0.25">
      <c r="A15" s="3" t="s">
        <v>149</v>
      </c>
      <c r="B15" s="3" t="s">
        <v>92</v>
      </c>
      <c r="C15" s="3" t="s">
        <v>93</v>
      </c>
      <c r="D15" s="3" t="s">
        <v>150</v>
      </c>
      <c r="E15" s="3" t="s">
        <v>151</v>
      </c>
      <c r="F15" s="3">
        <v>98103</v>
      </c>
      <c r="G15" s="3" t="s">
        <v>108</v>
      </c>
      <c r="H15" s="3" t="s">
        <v>152</v>
      </c>
      <c r="I15" s="3" t="s">
        <v>110</v>
      </c>
      <c r="J15" s="3" t="s">
        <v>134</v>
      </c>
      <c r="K15" s="3" t="s">
        <v>153</v>
      </c>
      <c r="L15" s="3">
        <v>407.97600000000006</v>
      </c>
      <c r="M15" s="3">
        <v>3</v>
      </c>
      <c r="N15" s="3">
        <v>0.2</v>
      </c>
      <c r="O15" s="3">
        <v>132.59219999999993</v>
      </c>
      <c r="Q15" t="s">
        <v>96</v>
      </c>
      <c r="R15" t="s">
        <v>92</v>
      </c>
      <c r="S15" s="3" t="s">
        <v>102</v>
      </c>
      <c r="T15">
        <f>SUMIFS(M2:M55, G2:G55, Q15, B2:B55,R15, J2:J55,S15)</f>
        <v>3</v>
      </c>
      <c r="U15">
        <f>SUMIFS(L2:L55, G2:G55,Q15, B2:B55,R15, J2:J55,S15)</f>
        <v>731.93999999999994</v>
      </c>
      <c r="V15">
        <f>SUMIFS(O2:O55, G2:G55,Q15, B2:B55,R15, J2:J55,S15)</f>
        <v>219.58199999999997</v>
      </c>
    </row>
    <row r="16" spans="1:22" x14ac:dyDescent="0.25">
      <c r="A16" s="2" t="s">
        <v>154</v>
      </c>
      <c r="B16" s="2" t="s">
        <v>155</v>
      </c>
      <c r="C16" s="2" t="s">
        <v>93</v>
      </c>
      <c r="D16" s="2" t="s">
        <v>156</v>
      </c>
      <c r="E16" s="2" t="s">
        <v>157</v>
      </c>
      <c r="F16" s="2">
        <v>76106</v>
      </c>
      <c r="G16" s="2" t="s">
        <v>158</v>
      </c>
      <c r="H16" s="2" t="s">
        <v>159</v>
      </c>
      <c r="I16" s="2" t="s">
        <v>110</v>
      </c>
      <c r="J16" s="2" t="s">
        <v>137</v>
      </c>
      <c r="K16" s="2" t="s">
        <v>160</v>
      </c>
      <c r="L16" s="2">
        <v>68.809999999999988</v>
      </c>
      <c r="M16" s="2">
        <v>5</v>
      </c>
      <c r="N16" s="2">
        <v>0.8</v>
      </c>
      <c r="O16" s="2">
        <v>-123.858</v>
      </c>
    </row>
    <row r="17" spans="1:20" x14ac:dyDescent="0.25">
      <c r="A17" s="3" t="s">
        <v>154</v>
      </c>
      <c r="B17" s="3" t="s">
        <v>155</v>
      </c>
      <c r="C17" s="3" t="s">
        <v>93</v>
      </c>
      <c r="D17" s="3" t="s">
        <v>156</v>
      </c>
      <c r="E17" s="3" t="s">
        <v>157</v>
      </c>
      <c r="F17" s="3">
        <v>76106</v>
      </c>
      <c r="G17" s="3" t="s">
        <v>158</v>
      </c>
      <c r="H17" s="3" t="s">
        <v>161</v>
      </c>
      <c r="I17" s="3" t="s">
        <v>110</v>
      </c>
      <c r="J17" s="3" t="s">
        <v>134</v>
      </c>
      <c r="K17" s="3" t="s">
        <v>162</v>
      </c>
      <c r="L17" s="3">
        <v>2.5439999999999996</v>
      </c>
      <c r="M17" s="3">
        <v>3</v>
      </c>
      <c r="N17" s="3">
        <v>0.8</v>
      </c>
      <c r="O17" s="3">
        <v>-3.8160000000000016</v>
      </c>
    </row>
    <row r="18" spans="1:20" ht="15.75" x14ac:dyDescent="0.25">
      <c r="A18" s="2" t="s">
        <v>163</v>
      </c>
      <c r="B18" s="2" t="s">
        <v>92</v>
      </c>
      <c r="C18" s="2" t="s">
        <v>93</v>
      </c>
      <c r="D18" s="2" t="s">
        <v>164</v>
      </c>
      <c r="E18" s="2" t="s">
        <v>165</v>
      </c>
      <c r="F18" s="2">
        <v>53711</v>
      </c>
      <c r="G18" s="2" t="s">
        <v>158</v>
      </c>
      <c r="H18" s="2" t="s">
        <v>166</v>
      </c>
      <c r="I18" s="2" t="s">
        <v>110</v>
      </c>
      <c r="J18" s="2" t="s">
        <v>120</v>
      </c>
      <c r="K18" s="2" t="s">
        <v>167</v>
      </c>
      <c r="L18" s="2">
        <v>665.88</v>
      </c>
      <c r="M18" s="2">
        <v>6</v>
      </c>
      <c r="N18" s="2">
        <v>0</v>
      </c>
      <c r="O18" s="2">
        <v>13.317599999999999</v>
      </c>
      <c r="Q18" s="1" t="s">
        <v>82</v>
      </c>
      <c r="R18" s="1" t="s">
        <v>86</v>
      </c>
    </row>
    <row r="19" spans="1:20" x14ac:dyDescent="0.25">
      <c r="A19" s="3" t="s">
        <v>168</v>
      </c>
      <c r="B19" s="3" t="s">
        <v>92</v>
      </c>
      <c r="C19" s="3" t="s">
        <v>93</v>
      </c>
      <c r="D19" s="3" t="s">
        <v>169</v>
      </c>
      <c r="E19" s="3" t="s">
        <v>170</v>
      </c>
      <c r="F19" s="3">
        <v>84084</v>
      </c>
      <c r="G19" s="3" t="s">
        <v>108</v>
      </c>
      <c r="H19" s="3" t="s">
        <v>171</v>
      </c>
      <c r="I19" s="3" t="s">
        <v>110</v>
      </c>
      <c r="J19" s="3" t="s">
        <v>120</v>
      </c>
      <c r="K19" s="3" t="s">
        <v>172</v>
      </c>
      <c r="L19" s="3">
        <v>55.5</v>
      </c>
      <c r="M19" s="3">
        <v>2</v>
      </c>
      <c r="N19" s="3">
        <v>0</v>
      </c>
      <c r="O19" s="3">
        <v>9.9899999999999949</v>
      </c>
      <c r="Q19" t="s">
        <v>96</v>
      </c>
      <c r="R19" s="2" t="s">
        <v>100</v>
      </c>
      <c r="T19">
        <f>COUNTIFS(G2:G55,Q19, K2:K55,R19)</f>
        <v>1</v>
      </c>
    </row>
    <row r="20" spans="1:20" x14ac:dyDescent="0.25">
      <c r="A20" s="2" t="s">
        <v>173</v>
      </c>
      <c r="B20" s="2" t="s">
        <v>92</v>
      </c>
      <c r="C20" s="2" t="s">
        <v>93</v>
      </c>
      <c r="D20" s="2" t="s">
        <v>174</v>
      </c>
      <c r="E20" s="2" t="s">
        <v>107</v>
      </c>
      <c r="F20" s="2">
        <v>94109</v>
      </c>
      <c r="G20" s="2" t="s">
        <v>108</v>
      </c>
      <c r="H20" s="2" t="s">
        <v>175</v>
      </c>
      <c r="I20" s="2" t="s">
        <v>110</v>
      </c>
      <c r="J20" s="2" t="s">
        <v>127</v>
      </c>
      <c r="K20" s="2" t="s">
        <v>176</v>
      </c>
      <c r="L20" s="2">
        <v>8.56</v>
      </c>
      <c r="M20" s="2">
        <v>2</v>
      </c>
      <c r="N20" s="2">
        <v>0</v>
      </c>
      <c r="O20" s="2">
        <v>2.4823999999999993</v>
      </c>
    </row>
    <row r="21" spans="1:20" ht="15.75" x14ac:dyDescent="0.25">
      <c r="A21" s="3" t="s">
        <v>173</v>
      </c>
      <c r="B21" s="3" t="s">
        <v>92</v>
      </c>
      <c r="C21" s="3" t="s">
        <v>93</v>
      </c>
      <c r="D21" s="3" t="s">
        <v>174</v>
      </c>
      <c r="E21" s="3" t="s">
        <v>107</v>
      </c>
      <c r="F21" s="3">
        <v>94109</v>
      </c>
      <c r="G21" s="3" t="s">
        <v>108</v>
      </c>
      <c r="H21" s="3" t="s">
        <v>177</v>
      </c>
      <c r="I21" s="3" t="s">
        <v>130</v>
      </c>
      <c r="J21" s="3" t="s">
        <v>131</v>
      </c>
      <c r="K21" s="3" t="s">
        <v>178</v>
      </c>
      <c r="L21" s="3">
        <v>213.48000000000002</v>
      </c>
      <c r="M21" s="3">
        <v>3</v>
      </c>
      <c r="N21" s="3">
        <v>0.2</v>
      </c>
      <c r="O21" s="3">
        <v>16.010999999999981</v>
      </c>
      <c r="Q21" s="1" t="s">
        <v>79</v>
      </c>
      <c r="R21" s="1" t="s">
        <v>85</v>
      </c>
      <c r="S21" s="6" t="s">
        <v>294</v>
      </c>
      <c r="T21" s="6" t="s">
        <v>297</v>
      </c>
    </row>
    <row r="22" spans="1:20" x14ac:dyDescent="0.25">
      <c r="A22" s="2" t="s">
        <v>173</v>
      </c>
      <c r="B22" s="2" t="s">
        <v>92</v>
      </c>
      <c r="C22" s="2" t="s">
        <v>93</v>
      </c>
      <c r="D22" s="2" t="s">
        <v>174</v>
      </c>
      <c r="E22" s="2" t="s">
        <v>107</v>
      </c>
      <c r="F22" s="2">
        <v>94109</v>
      </c>
      <c r="G22" s="2" t="s">
        <v>108</v>
      </c>
      <c r="H22" s="2" t="s">
        <v>179</v>
      </c>
      <c r="I22" s="2" t="s">
        <v>110</v>
      </c>
      <c r="J22" s="2" t="s">
        <v>134</v>
      </c>
      <c r="K22" s="2" t="s">
        <v>180</v>
      </c>
      <c r="L22" s="2">
        <v>22.72</v>
      </c>
      <c r="M22" s="2">
        <v>4</v>
      </c>
      <c r="N22" s="2">
        <v>0.2</v>
      </c>
      <c r="O22" s="2">
        <v>7.3839999999999986</v>
      </c>
      <c r="Q22" s="2" t="s">
        <v>106</v>
      </c>
      <c r="R22" s="2" t="s">
        <v>111</v>
      </c>
      <c r="S22" s="2">
        <f>SUMIFS(L2:L55, D2:D55,Q22, J2:J55,R22)</f>
        <v>14.62</v>
      </c>
      <c r="T22">
        <f>SUMIFS(M2:M55, D2:D55,Q22, J2:J55,R22)</f>
        <v>2</v>
      </c>
    </row>
    <row r="23" spans="1:20" x14ac:dyDescent="0.25">
      <c r="A23" s="3" t="s">
        <v>181</v>
      </c>
      <c r="B23" s="3" t="s">
        <v>105</v>
      </c>
      <c r="C23" s="3" t="s">
        <v>93</v>
      </c>
      <c r="D23" s="3" t="s">
        <v>182</v>
      </c>
      <c r="E23" s="3" t="s">
        <v>183</v>
      </c>
      <c r="F23" s="3">
        <v>68025</v>
      </c>
      <c r="G23" s="3" t="s">
        <v>158</v>
      </c>
      <c r="H23" s="3" t="s">
        <v>184</v>
      </c>
      <c r="I23" s="3" t="s">
        <v>110</v>
      </c>
      <c r="J23" s="3" t="s">
        <v>127</v>
      </c>
      <c r="K23" s="3" t="s">
        <v>185</v>
      </c>
      <c r="L23" s="3">
        <v>19.459999999999997</v>
      </c>
      <c r="M23" s="3">
        <v>7</v>
      </c>
      <c r="N23" s="3">
        <v>0</v>
      </c>
      <c r="O23" s="3">
        <v>5.0595999999999997</v>
      </c>
    </row>
    <row r="24" spans="1:20" x14ac:dyDescent="0.25">
      <c r="A24" s="2" t="s">
        <v>181</v>
      </c>
      <c r="B24" s="2" t="s">
        <v>105</v>
      </c>
      <c r="C24" s="2" t="s">
        <v>93</v>
      </c>
      <c r="D24" s="2" t="s">
        <v>182</v>
      </c>
      <c r="E24" s="2" t="s">
        <v>183</v>
      </c>
      <c r="F24" s="2">
        <v>68025</v>
      </c>
      <c r="G24" s="2" t="s">
        <v>158</v>
      </c>
      <c r="H24" s="2" t="s">
        <v>186</v>
      </c>
      <c r="I24" s="2" t="s">
        <v>110</v>
      </c>
      <c r="J24" s="2" t="s">
        <v>137</v>
      </c>
      <c r="K24" s="2" t="s">
        <v>187</v>
      </c>
      <c r="L24" s="2">
        <v>60.339999999999996</v>
      </c>
      <c r="M24" s="2">
        <v>7</v>
      </c>
      <c r="N24" s="2">
        <v>0</v>
      </c>
      <c r="O24" s="2">
        <v>15.688400000000001</v>
      </c>
    </row>
    <row r="25" spans="1:20" x14ac:dyDescent="0.25">
      <c r="A25" s="3" t="s">
        <v>188</v>
      </c>
      <c r="B25" s="3" t="s">
        <v>92</v>
      </c>
      <c r="C25" s="3" t="s">
        <v>93</v>
      </c>
      <c r="D25" s="3" t="s">
        <v>189</v>
      </c>
      <c r="E25" s="3" t="s">
        <v>190</v>
      </c>
      <c r="F25" s="3">
        <v>19140</v>
      </c>
      <c r="G25" s="3" t="s">
        <v>191</v>
      </c>
      <c r="H25" s="3" t="s">
        <v>192</v>
      </c>
      <c r="I25" s="3" t="s">
        <v>98</v>
      </c>
      <c r="J25" s="3" t="s">
        <v>102</v>
      </c>
      <c r="K25" s="3" t="s">
        <v>193</v>
      </c>
      <c r="L25" s="3">
        <v>71.371999999999986</v>
      </c>
      <c r="M25" s="3">
        <v>2</v>
      </c>
      <c r="N25" s="3">
        <v>0.3</v>
      </c>
      <c r="O25" s="3">
        <v>-1.0196000000000005</v>
      </c>
    </row>
    <row r="26" spans="1:20" x14ac:dyDescent="0.25">
      <c r="A26" s="2" t="s">
        <v>194</v>
      </c>
      <c r="B26" s="2" t="s">
        <v>92</v>
      </c>
      <c r="C26" s="2" t="s">
        <v>93</v>
      </c>
      <c r="D26" s="2" t="s">
        <v>195</v>
      </c>
      <c r="E26" s="2" t="s">
        <v>170</v>
      </c>
      <c r="F26" s="2">
        <v>84057</v>
      </c>
      <c r="G26" s="2" t="s">
        <v>108</v>
      </c>
      <c r="H26" s="2" t="s">
        <v>116</v>
      </c>
      <c r="I26" s="2" t="s">
        <v>98</v>
      </c>
      <c r="J26" s="2" t="s">
        <v>117</v>
      </c>
      <c r="K26" s="2" t="s">
        <v>118</v>
      </c>
      <c r="L26" s="2">
        <v>1044.6299999999999</v>
      </c>
      <c r="M26" s="2">
        <v>3</v>
      </c>
      <c r="N26" s="2">
        <v>0</v>
      </c>
      <c r="O26" s="2">
        <v>240.26490000000001</v>
      </c>
    </row>
    <row r="27" spans="1:20" x14ac:dyDescent="0.25">
      <c r="A27" s="3" t="s">
        <v>196</v>
      </c>
      <c r="B27" s="3" t="s">
        <v>92</v>
      </c>
      <c r="C27" s="3" t="s">
        <v>93</v>
      </c>
      <c r="D27" s="3" t="s">
        <v>106</v>
      </c>
      <c r="E27" s="3" t="s">
        <v>107</v>
      </c>
      <c r="F27" s="3">
        <v>90049</v>
      </c>
      <c r="G27" s="3" t="s">
        <v>108</v>
      </c>
      <c r="H27" s="3" t="s">
        <v>197</v>
      </c>
      <c r="I27" s="3" t="s">
        <v>110</v>
      </c>
      <c r="J27" s="3" t="s">
        <v>134</v>
      </c>
      <c r="K27" s="3" t="s">
        <v>198</v>
      </c>
      <c r="L27" s="3">
        <v>11.648000000000001</v>
      </c>
      <c r="M27" s="3">
        <v>2</v>
      </c>
      <c r="N27" s="3">
        <v>0.2</v>
      </c>
      <c r="O27" s="3">
        <v>4.2224000000000004</v>
      </c>
    </row>
    <row r="28" spans="1:20" x14ac:dyDescent="0.25">
      <c r="A28" s="2" t="s">
        <v>196</v>
      </c>
      <c r="B28" s="2" t="s">
        <v>92</v>
      </c>
      <c r="C28" s="2" t="s">
        <v>93</v>
      </c>
      <c r="D28" s="2" t="s">
        <v>106</v>
      </c>
      <c r="E28" s="2" t="s">
        <v>107</v>
      </c>
      <c r="F28" s="2">
        <v>90049</v>
      </c>
      <c r="G28" s="2" t="s">
        <v>108</v>
      </c>
      <c r="H28" s="2" t="s">
        <v>199</v>
      </c>
      <c r="I28" s="2" t="s">
        <v>130</v>
      </c>
      <c r="J28" s="2" t="s">
        <v>200</v>
      </c>
      <c r="K28" s="2" t="s">
        <v>201</v>
      </c>
      <c r="L28" s="2">
        <v>90.570000000000007</v>
      </c>
      <c r="M28" s="2">
        <v>3</v>
      </c>
      <c r="N28" s="2">
        <v>0</v>
      </c>
      <c r="O28" s="2">
        <v>11.774100000000004</v>
      </c>
    </row>
    <row r="29" spans="1:20" x14ac:dyDescent="0.25">
      <c r="A29" s="3" t="s">
        <v>202</v>
      </c>
      <c r="B29" s="3" t="s">
        <v>92</v>
      </c>
      <c r="C29" s="3" t="s">
        <v>93</v>
      </c>
      <c r="D29" s="3" t="s">
        <v>189</v>
      </c>
      <c r="E29" s="3" t="s">
        <v>190</v>
      </c>
      <c r="F29" s="3">
        <v>19140</v>
      </c>
      <c r="G29" s="3" t="s">
        <v>191</v>
      </c>
      <c r="H29" s="3" t="s">
        <v>203</v>
      </c>
      <c r="I29" s="3" t="s">
        <v>98</v>
      </c>
      <c r="J29" s="3" t="s">
        <v>99</v>
      </c>
      <c r="K29" s="3" t="s">
        <v>204</v>
      </c>
      <c r="L29" s="3">
        <v>3083.4300000000003</v>
      </c>
      <c r="M29" s="3">
        <v>7</v>
      </c>
      <c r="N29" s="3">
        <v>0.5</v>
      </c>
      <c r="O29" s="3">
        <v>-1665.0522000000001</v>
      </c>
    </row>
    <row r="30" spans="1:20" x14ac:dyDescent="0.25">
      <c r="A30" s="2" t="s">
        <v>202</v>
      </c>
      <c r="B30" s="2" t="s">
        <v>92</v>
      </c>
      <c r="C30" s="2" t="s">
        <v>93</v>
      </c>
      <c r="D30" s="2" t="s">
        <v>189</v>
      </c>
      <c r="E30" s="2" t="s">
        <v>190</v>
      </c>
      <c r="F30" s="2">
        <v>19140</v>
      </c>
      <c r="G30" s="2" t="s">
        <v>191</v>
      </c>
      <c r="H30" s="2" t="s">
        <v>205</v>
      </c>
      <c r="I30" s="2" t="s">
        <v>110</v>
      </c>
      <c r="J30" s="2" t="s">
        <v>134</v>
      </c>
      <c r="K30" s="2" t="s">
        <v>206</v>
      </c>
      <c r="L30" s="2">
        <v>9.6180000000000021</v>
      </c>
      <c r="M30" s="2">
        <v>2</v>
      </c>
      <c r="N30" s="2">
        <v>0.7</v>
      </c>
      <c r="O30" s="2">
        <v>-7.0532000000000004</v>
      </c>
    </row>
    <row r="31" spans="1:20" x14ac:dyDescent="0.25">
      <c r="A31" s="3" t="s">
        <v>202</v>
      </c>
      <c r="B31" s="3" t="s">
        <v>92</v>
      </c>
      <c r="C31" s="3" t="s">
        <v>93</v>
      </c>
      <c r="D31" s="3" t="s">
        <v>189</v>
      </c>
      <c r="E31" s="3" t="s">
        <v>190</v>
      </c>
      <c r="F31" s="3">
        <v>19140</v>
      </c>
      <c r="G31" s="3" t="s">
        <v>191</v>
      </c>
      <c r="H31" s="3" t="s">
        <v>207</v>
      </c>
      <c r="I31" s="3" t="s">
        <v>98</v>
      </c>
      <c r="J31" s="3" t="s">
        <v>124</v>
      </c>
      <c r="K31" s="3" t="s">
        <v>208</v>
      </c>
      <c r="L31" s="3">
        <v>124.20000000000002</v>
      </c>
      <c r="M31" s="3">
        <v>3</v>
      </c>
      <c r="N31" s="3">
        <v>0.2</v>
      </c>
      <c r="O31" s="3">
        <v>15.524999999999991</v>
      </c>
    </row>
    <row r="32" spans="1:20" x14ac:dyDescent="0.25">
      <c r="A32" s="2" t="s">
        <v>202</v>
      </c>
      <c r="B32" s="2" t="s">
        <v>92</v>
      </c>
      <c r="C32" s="2" t="s">
        <v>93</v>
      </c>
      <c r="D32" s="2" t="s">
        <v>189</v>
      </c>
      <c r="E32" s="2" t="s">
        <v>190</v>
      </c>
      <c r="F32" s="2">
        <v>19140</v>
      </c>
      <c r="G32" s="2" t="s">
        <v>191</v>
      </c>
      <c r="H32" s="2" t="s">
        <v>209</v>
      </c>
      <c r="I32" s="2" t="s">
        <v>110</v>
      </c>
      <c r="J32" s="2" t="s">
        <v>210</v>
      </c>
      <c r="K32" s="2" t="s">
        <v>211</v>
      </c>
      <c r="L32" s="2">
        <v>3.2640000000000002</v>
      </c>
      <c r="M32" s="2">
        <v>2</v>
      </c>
      <c r="N32" s="2">
        <v>0.2</v>
      </c>
      <c r="O32" s="2">
        <v>1.1015999999999997</v>
      </c>
    </row>
    <row r="33" spans="1:15" x14ac:dyDescent="0.25">
      <c r="A33" s="3" t="s">
        <v>202</v>
      </c>
      <c r="B33" s="3" t="s">
        <v>92</v>
      </c>
      <c r="C33" s="3" t="s">
        <v>93</v>
      </c>
      <c r="D33" s="3" t="s">
        <v>189</v>
      </c>
      <c r="E33" s="3" t="s">
        <v>190</v>
      </c>
      <c r="F33" s="3">
        <v>19140</v>
      </c>
      <c r="G33" s="3" t="s">
        <v>191</v>
      </c>
      <c r="H33" s="3" t="s">
        <v>212</v>
      </c>
      <c r="I33" s="3" t="s">
        <v>110</v>
      </c>
      <c r="J33" s="3" t="s">
        <v>127</v>
      </c>
      <c r="K33" s="3" t="s">
        <v>213</v>
      </c>
      <c r="L33" s="3">
        <v>86.304000000000002</v>
      </c>
      <c r="M33" s="3">
        <v>6</v>
      </c>
      <c r="N33" s="3">
        <v>0.2</v>
      </c>
      <c r="O33" s="3">
        <v>9.7091999999999885</v>
      </c>
    </row>
    <row r="34" spans="1:15" x14ac:dyDescent="0.25">
      <c r="A34" s="2" t="s">
        <v>202</v>
      </c>
      <c r="B34" s="2" t="s">
        <v>92</v>
      </c>
      <c r="C34" s="2" t="s">
        <v>93</v>
      </c>
      <c r="D34" s="2" t="s">
        <v>189</v>
      </c>
      <c r="E34" s="2" t="s">
        <v>190</v>
      </c>
      <c r="F34" s="2">
        <v>19140</v>
      </c>
      <c r="G34" s="2" t="s">
        <v>191</v>
      </c>
      <c r="H34" s="2" t="s">
        <v>214</v>
      </c>
      <c r="I34" s="2" t="s">
        <v>110</v>
      </c>
      <c r="J34" s="2" t="s">
        <v>134</v>
      </c>
      <c r="K34" s="2" t="s">
        <v>215</v>
      </c>
      <c r="L34" s="2">
        <v>6.8580000000000014</v>
      </c>
      <c r="M34" s="2">
        <v>6</v>
      </c>
      <c r="N34" s="2">
        <v>0.7</v>
      </c>
      <c r="O34" s="2">
        <v>-5.7149999999999999</v>
      </c>
    </row>
    <row r="35" spans="1:15" x14ac:dyDescent="0.25">
      <c r="A35" s="3" t="s">
        <v>202</v>
      </c>
      <c r="B35" s="3" t="s">
        <v>92</v>
      </c>
      <c r="C35" s="3" t="s">
        <v>93</v>
      </c>
      <c r="D35" s="3" t="s">
        <v>189</v>
      </c>
      <c r="E35" s="3" t="s">
        <v>190</v>
      </c>
      <c r="F35" s="3">
        <v>19140</v>
      </c>
      <c r="G35" s="3" t="s">
        <v>191</v>
      </c>
      <c r="H35" s="3" t="s">
        <v>216</v>
      </c>
      <c r="I35" s="3" t="s">
        <v>110</v>
      </c>
      <c r="J35" s="3" t="s">
        <v>127</v>
      </c>
      <c r="K35" s="3" t="s">
        <v>217</v>
      </c>
      <c r="L35" s="3">
        <v>15.76</v>
      </c>
      <c r="M35" s="3">
        <v>2</v>
      </c>
      <c r="N35" s="3">
        <v>0.2</v>
      </c>
      <c r="O35" s="3">
        <v>3.5460000000000007</v>
      </c>
    </row>
    <row r="36" spans="1:15" x14ac:dyDescent="0.25">
      <c r="A36" s="2" t="s">
        <v>218</v>
      </c>
      <c r="B36" s="2" t="s">
        <v>155</v>
      </c>
      <c r="C36" s="2" t="s">
        <v>93</v>
      </c>
      <c r="D36" s="2" t="s">
        <v>219</v>
      </c>
      <c r="E36" s="2" t="s">
        <v>157</v>
      </c>
      <c r="F36" s="2">
        <v>77095</v>
      </c>
      <c r="G36" s="2" t="s">
        <v>158</v>
      </c>
      <c r="H36" s="2" t="s">
        <v>220</v>
      </c>
      <c r="I36" s="2" t="s">
        <v>110</v>
      </c>
      <c r="J36" s="2" t="s">
        <v>147</v>
      </c>
      <c r="K36" s="2" t="s">
        <v>221</v>
      </c>
      <c r="L36" s="2">
        <v>29.472000000000001</v>
      </c>
      <c r="M36" s="2">
        <v>3</v>
      </c>
      <c r="N36" s="2">
        <v>0.2</v>
      </c>
      <c r="O36" s="2">
        <v>9.9467999999999979</v>
      </c>
    </row>
    <row r="37" spans="1:15" x14ac:dyDescent="0.25">
      <c r="A37" s="3" t="s">
        <v>222</v>
      </c>
      <c r="B37" s="3" t="s">
        <v>105</v>
      </c>
      <c r="C37" s="3" t="s">
        <v>93</v>
      </c>
      <c r="D37" s="3" t="s">
        <v>223</v>
      </c>
      <c r="E37" s="3" t="s">
        <v>157</v>
      </c>
      <c r="F37" s="3">
        <v>75080</v>
      </c>
      <c r="G37" s="3" t="s">
        <v>158</v>
      </c>
      <c r="H37" s="3" t="s">
        <v>224</v>
      </c>
      <c r="I37" s="3" t="s">
        <v>130</v>
      </c>
      <c r="J37" s="3" t="s">
        <v>131</v>
      </c>
      <c r="K37" s="3" t="s">
        <v>225</v>
      </c>
      <c r="L37" s="3">
        <v>1097.5440000000003</v>
      </c>
      <c r="M37" s="3">
        <v>7</v>
      </c>
      <c r="N37" s="3">
        <v>0.2</v>
      </c>
      <c r="O37" s="3">
        <v>123.47369999999989</v>
      </c>
    </row>
    <row r="38" spans="1:15" x14ac:dyDescent="0.25">
      <c r="A38" s="2" t="s">
        <v>222</v>
      </c>
      <c r="B38" s="2" t="s">
        <v>105</v>
      </c>
      <c r="C38" s="2" t="s">
        <v>93</v>
      </c>
      <c r="D38" s="2" t="s">
        <v>223</v>
      </c>
      <c r="E38" s="2" t="s">
        <v>157</v>
      </c>
      <c r="F38" s="2">
        <v>75080</v>
      </c>
      <c r="G38" s="2" t="s">
        <v>158</v>
      </c>
      <c r="H38" s="2" t="s">
        <v>226</v>
      </c>
      <c r="I38" s="2" t="s">
        <v>98</v>
      </c>
      <c r="J38" s="2" t="s">
        <v>124</v>
      </c>
      <c r="K38" s="2" t="s">
        <v>227</v>
      </c>
      <c r="L38" s="2">
        <v>190.92</v>
      </c>
      <c r="M38" s="2">
        <v>5</v>
      </c>
      <c r="N38" s="2">
        <v>0.6</v>
      </c>
      <c r="O38" s="2">
        <v>-147.96300000000002</v>
      </c>
    </row>
    <row r="39" spans="1:15" x14ac:dyDescent="0.25">
      <c r="A39" s="3" t="s">
        <v>228</v>
      </c>
      <c r="B39" s="3" t="s">
        <v>155</v>
      </c>
      <c r="C39" s="3" t="s">
        <v>93</v>
      </c>
      <c r="D39" s="3" t="s">
        <v>219</v>
      </c>
      <c r="E39" s="3" t="s">
        <v>157</v>
      </c>
      <c r="F39" s="3">
        <v>77041</v>
      </c>
      <c r="G39" s="3" t="s">
        <v>158</v>
      </c>
      <c r="H39" s="3" t="s">
        <v>229</v>
      </c>
      <c r="I39" s="3" t="s">
        <v>110</v>
      </c>
      <c r="J39" s="3" t="s">
        <v>210</v>
      </c>
      <c r="K39" s="3" t="s">
        <v>230</v>
      </c>
      <c r="L39" s="3">
        <v>113.328</v>
      </c>
      <c r="M39" s="3">
        <v>9</v>
      </c>
      <c r="N39" s="3">
        <v>0.2</v>
      </c>
      <c r="O39" s="3">
        <v>35.414999999999999</v>
      </c>
    </row>
    <row r="40" spans="1:15" x14ac:dyDescent="0.25">
      <c r="A40" s="2" t="s">
        <v>228</v>
      </c>
      <c r="B40" s="2" t="s">
        <v>155</v>
      </c>
      <c r="C40" s="2" t="s">
        <v>93</v>
      </c>
      <c r="D40" s="2" t="s">
        <v>219</v>
      </c>
      <c r="E40" s="2" t="s">
        <v>157</v>
      </c>
      <c r="F40" s="2">
        <v>77041</v>
      </c>
      <c r="G40" s="2" t="s">
        <v>158</v>
      </c>
      <c r="H40" s="2" t="s">
        <v>231</v>
      </c>
      <c r="I40" s="2" t="s">
        <v>98</v>
      </c>
      <c r="J40" s="2" t="s">
        <v>99</v>
      </c>
      <c r="K40" s="2" t="s">
        <v>232</v>
      </c>
      <c r="L40" s="2">
        <v>532.39919999999995</v>
      </c>
      <c r="M40" s="2">
        <v>3</v>
      </c>
      <c r="N40" s="2">
        <v>0.32</v>
      </c>
      <c r="O40" s="2">
        <v>-46.976400000000012</v>
      </c>
    </row>
    <row r="41" spans="1:15" x14ac:dyDescent="0.25">
      <c r="A41" s="3" t="s">
        <v>228</v>
      </c>
      <c r="B41" s="3" t="s">
        <v>155</v>
      </c>
      <c r="C41" s="3" t="s">
        <v>93</v>
      </c>
      <c r="D41" s="3" t="s">
        <v>219</v>
      </c>
      <c r="E41" s="3" t="s">
        <v>157</v>
      </c>
      <c r="F41" s="3">
        <v>77041</v>
      </c>
      <c r="G41" s="3" t="s">
        <v>158</v>
      </c>
      <c r="H41" s="3" t="s">
        <v>233</v>
      </c>
      <c r="I41" s="3" t="s">
        <v>98</v>
      </c>
      <c r="J41" s="3" t="s">
        <v>102</v>
      </c>
      <c r="K41" s="3" t="s">
        <v>234</v>
      </c>
      <c r="L41" s="3">
        <v>212.05799999999999</v>
      </c>
      <c r="M41" s="3">
        <v>3</v>
      </c>
      <c r="N41" s="3">
        <v>0.3</v>
      </c>
      <c r="O41" s="3">
        <v>-15.146999999999991</v>
      </c>
    </row>
    <row r="42" spans="1:15" x14ac:dyDescent="0.25">
      <c r="A42" s="2" t="s">
        <v>228</v>
      </c>
      <c r="B42" s="2" t="s">
        <v>155</v>
      </c>
      <c r="C42" s="2" t="s">
        <v>93</v>
      </c>
      <c r="D42" s="2" t="s">
        <v>219</v>
      </c>
      <c r="E42" s="2" t="s">
        <v>157</v>
      </c>
      <c r="F42" s="2">
        <v>77041</v>
      </c>
      <c r="G42" s="2" t="s">
        <v>158</v>
      </c>
      <c r="H42" s="2" t="s">
        <v>235</v>
      </c>
      <c r="I42" s="2" t="s">
        <v>130</v>
      </c>
      <c r="J42" s="2" t="s">
        <v>131</v>
      </c>
      <c r="K42" s="2" t="s">
        <v>236</v>
      </c>
      <c r="L42" s="2">
        <v>371.16800000000001</v>
      </c>
      <c r="M42" s="2">
        <v>4</v>
      </c>
      <c r="N42" s="2">
        <v>0.2</v>
      </c>
      <c r="O42" s="2">
        <v>41.756399999999957</v>
      </c>
    </row>
    <row r="43" spans="1:15" x14ac:dyDescent="0.25">
      <c r="A43" s="3" t="s">
        <v>237</v>
      </c>
      <c r="B43" s="3" t="s">
        <v>105</v>
      </c>
      <c r="C43" s="3" t="s">
        <v>93</v>
      </c>
      <c r="D43" s="3" t="s">
        <v>238</v>
      </c>
      <c r="E43" s="3" t="s">
        <v>239</v>
      </c>
      <c r="F43" s="3">
        <v>60540</v>
      </c>
      <c r="G43" s="3" t="s">
        <v>158</v>
      </c>
      <c r="H43" s="3" t="s">
        <v>240</v>
      </c>
      <c r="I43" s="3" t="s">
        <v>130</v>
      </c>
      <c r="J43" s="3" t="s">
        <v>131</v>
      </c>
      <c r="K43" s="3" t="s">
        <v>241</v>
      </c>
      <c r="L43" s="3">
        <v>147.16800000000001</v>
      </c>
      <c r="M43" s="3">
        <v>4</v>
      </c>
      <c r="N43" s="3">
        <v>0.2</v>
      </c>
      <c r="O43" s="3">
        <v>16.556399999999996</v>
      </c>
    </row>
    <row r="44" spans="1:15" x14ac:dyDescent="0.25">
      <c r="A44" s="2" t="s">
        <v>242</v>
      </c>
      <c r="B44" s="2" t="s">
        <v>105</v>
      </c>
      <c r="C44" s="2" t="s">
        <v>93</v>
      </c>
      <c r="D44" s="2" t="s">
        <v>106</v>
      </c>
      <c r="E44" s="2" t="s">
        <v>107</v>
      </c>
      <c r="F44" s="2">
        <v>90049</v>
      </c>
      <c r="G44" s="2" t="s">
        <v>108</v>
      </c>
      <c r="H44" s="2" t="s">
        <v>243</v>
      </c>
      <c r="I44" s="2" t="s">
        <v>110</v>
      </c>
      <c r="J44" s="2" t="s">
        <v>120</v>
      </c>
      <c r="K44" s="2" t="s">
        <v>244</v>
      </c>
      <c r="L44" s="2">
        <v>77.88</v>
      </c>
      <c r="M44" s="2">
        <v>2</v>
      </c>
      <c r="N44" s="2">
        <v>0</v>
      </c>
      <c r="O44" s="2">
        <v>3.8939999999999912</v>
      </c>
    </row>
    <row r="45" spans="1:15" x14ac:dyDescent="0.25">
      <c r="A45" s="3" t="s">
        <v>245</v>
      </c>
      <c r="B45" s="3" t="s">
        <v>105</v>
      </c>
      <c r="C45" s="3" t="s">
        <v>93</v>
      </c>
      <c r="D45" s="3" t="s">
        <v>246</v>
      </c>
      <c r="E45" s="3" t="s">
        <v>115</v>
      </c>
      <c r="F45" s="3">
        <v>32935</v>
      </c>
      <c r="G45" s="3" t="s">
        <v>96</v>
      </c>
      <c r="H45" s="3" t="s">
        <v>247</v>
      </c>
      <c r="I45" s="3" t="s">
        <v>110</v>
      </c>
      <c r="J45" s="3" t="s">
        <v>120</v>
      </c>
      <c r="K45" s="3" t="s">
        <v>248</v>
      </c>
      <c r="L45" s="3">
        <v>95.616</v>
      </c>
      <c r="M45" s="3">
        <v>2</v>
      </c>
      <c r="N45" s="3">
        <v>0.2</v>
      </c>
      <c r="O45" s="3">
        <v>9.5616000000000092</v>
      </c>
    </row>
    <row r="46" spans="1:15" x14ac:dyDescent="0.25">
      <c r="A46" s="2" t="s">
        <v>249</v>
      </c>
      <c r="B46" s="2" t="s">
        <v>105</v>
      </c>
      <c r="C46" s="2" t="s">
        <v>93</v>
      </c>
      <c r="D46" s="2" t="s">
        <v>250</v>
      </c>
      <c r="E46" s="2" t="s">
        <v>251</v>
      </c>
      <c r="F46" s="2">
        <v>55122</v>
      </c>
      <c r="G46" s="2" t="s">
        <v>158</v>
      </c>
      <c r="H46" s="2" t="s">
        <v>252</v>
      </c>
      <c r="I46" s="2" t="s">
        <v>130</v>
      </c>
      <c r="J46" s="2" t="s">
        <v>200</v>
      </c>
      <c r="K46" s="2" t="s">
        <v>253</v>
      </c>
      <c r="L46" s="2">
        <v>45.98</v>
      </c>
      <c r="M46" s="2">
        <v>2</v>
      </c>
      <c r="N46" s="2">
        <v>0</v>
      </c>
      <c r="O46" s="2">
        <v>19.7714</v>
      </c>
    </row>
    <row r="47" spans="1:15" x14ac:dyDescent="0.25">
      <c r="A47" s="3" t="s">
        <v>249</v>
      </c>
      <c r="B47" s="3" t="s">
        <v>105</v>
      </c>
      <c r="C47" s="3" t="s">
        <v>93</v>
      </c>
      <c r="D47" s="3" t="s">
        <v>250</v>
      </c>
      <c r="E47" s="3" t="s">
        <v>251</v>
      </c>
      <c r="F47" s="3">
        <v>55122</v>
      </c>
      <c r="G47" s="3" t="s">
        <v>158</v>
      </c>
      <c r="H47" s="3" t="s">
        <v>254</v>
      </c>
      <c r="I47" s="3" t="s">
        <v>110</v>
      </c>
      <c r="J47" s="3" t="s">
        <v>134</v>
      </c>
      <c r="K47" s="3" t="s">
        <v>255</v>
      </c>
      <c r="L47" s="3">
        <v>17.46</v>
      </c>
      <c r="M47" s="3">
        <v>2</v>
      </c>
      <c r="N47" s="3">
        <v>0</v>
      </c>
      <c r="O47" s="3">
        <v>8.2061999999999991</v>
      </c>
    </row>
    <row r="48" spans="1:15" x14ac:dyDescent="0.25">
      <c r="A48" s="2" t="s">
        <v>256</v>
      </c>
      <c r="B48" s="2" t="s">
        <v>92</v>
      </c>
      <c r="C48" s="2" t="s">
        <v>93</v>
      </c>
      <c r="D48" s="2" t="s">
        <v>257</v>
      </c>
      <c r="E48" s="2" t="s">
        <v>258</v>
      </c>
      <c r="F48" s="2">
        <v>48185</v>
      </c>
      <c r="G48" s="2" t="s">
        <v>158</v>
      </c>
      <c r="H48" s="2" t="s">
        <v>259</v>
      </c>
      <c r="I48" s="2" t="s">
        <v>110</v>
      </c>
      <c r="J48" s="2" t="s">
        <v>120</v>
      </c>
      <c r="K48" s="2" t="s">
        <v>260</v>
      </c>
      <c r="L48" s="2">
        <v>211.96</v>
      </c>
      <c r="M48" s="2">
        <v>4</v>
      </c>
      <c r="N48" s="2">
        <v>0</v>
      </c>
      <c r="O48" s="2">
        <v>8.4783999999999935</v>
      </c>
    </row>
    <row r="49" spans="1:15" x14ac:dyDescent="0.25">
      <c r="A49" s="3" t="s">
        <v>261</v>
      </c>
      <c r="B49" s="3" t="s">
        <v>92</v>
      </c>
      <c r="C49" s="3" t="s">
        <v>93</v>
      </c>
      <c r="D49" s="3" t="s">
        <v>262</v>
      </c>
      <c r="E49" s="3" t="s">
        <v>263</v>
      </c>
      <c r="F49" s="3">
        <v>19901</v>
      </c>
      <c r="G49" s="3" t="s">
        <v>191</v>
      </c>
      <c r="H49" s="3" t="s">
        <v>264</v>
      </c>
      <c r="I49" s="3" t="s">
        <v>130</v>
      </c>
      <c r="J49" s="3" t="s">
        <v>200</v>
      </c>
      <c r="K49" s="3" t="s">
        <v>265</v>
      </c>
      <c r="L49" s="3">
        <v>45</v>
      </c>
      <c r="M49" s="3">
        <v>3</v>
      </c>
      <c r="N49" s="3">
        <v>0</v>
      </c>
      <c r="O49" s="3">
        <v>4.9500000000000011</v>
      </c>
    </row>
    <row r="50" spans="1:15" x14ac:dyDescent="0.25">
      <c r="A50" s="2" t="s">
        <v>261</v>
      </c>
      <c r="B50" s="2" t="s">
        <v>92</v>
      </c>
      <c r="C50" s="2" t="s">
        <v>93</v>
      </c>
      <c r="D50" s="2" t="s">
        <v>262</v>
      </c>
      <c r="E50" s="2" t="s">
        <v>263</v>
      </c>
      <c r="F50" s="2">
        <v>19901</v>
      </c>
      <c r="G50" s="2" t="s">
        <v>191</v>
      </c>
      <c r="H50" s="2" t="s">
        <v>266</v>
      </c>
      <c r="I50" s="2" t="s">
        <v>130</v>
      </c>
      <c r="J50" s="2" t="s">
        <v>131</v>
      </c>
      <c r="K50" s="2" t="s">
        <v>267</v>
      </c>
      <c r="L50" s="2">
        <v>21.8</v>
      </c>
      <c r="M50" s="2">
        <v>2</v>
      </c>
      <c r="N50" s="2">
        <v>0</v>
      </c>
      <c r="O50" s="2">
        <v>6.104000000000001</v>
      </c>
    </row>
    <row r="51" spans="1:15" x14ac:dyDescent="0.25">
      <c r="A51" s="3" t="s">
        <v>268</v>
      </c>
      <c r="B51" s="3" t="s">
        <v>92</v>
      </c>
      <c r="C51" s="3" t="s">
        <v>93</v>
      </c>
      <c r="D51" s="3" t="s">
        <v>269</v>
      </c>
      <c r="E51" s="3" t="s">
        <v>270</v>
      </c>
      <c r="F51" s="3">
        <v>47150</v>
      </c>
      <c r="G51" s="3" t="s">
        <v>158</v>
      </c>
      <c r="H51" s="3" t="s">
        <v>271</v>
      </c>
      <c r="I51" s="3" t="s">
        <v>110</v>
      </c>
      <c r="J51" s="3" t="s">
        <v>134</v>
      </c>
      <c r="K51" s="3" t="s">
        <v>272</v>
      </c>
      <c r="L51" s="3">
        <v>38.22</v>
      </c>
      <c r="M51" s="3">
        <v>6</v>
      </c>
      <c r="N51" s="3">
        <v>0</v>
      </c>
      <c r="O51" s="3">
        <v>17.9634</v>
      </c>
    </row>
    <row r="52" spans="1:15" x14ac:dyDescent="0.25">
      <c r="A52" s="2" t="s">
        <v>268</v>
      </c>
      <c r="B52" s="2" t="s">
        <v>92</v>
      </c>
      <c r="C52" s="2" t="s">
        <v>93</v>
      </c>
      <c r="D52" s="2" t="s">
        <v>269</v>
      </c>
      <c r="E52" s="2" t="s">
        <v>270</v>
      </c>
      <c r="F52" s="2">
        <v>47150</v>
      </c>
      <c r="G52" s="2" t="s">
        <v>158</v>
      </c>
      <c r="H52" s="2" t="s">
        <v>273</v>
      </c>
      <c r="I52" s="2" t="s">
        <v>110</v>
      </c>
      <c r="J52" s="2" t="s">
        <v>111</v>
      </c>
      <c r="K52" s="2" t="s">
        <v>274</v>
      </c>
      <c r="L52" s="2">
        <v>75.179999999999993</v>
      </c>
      <c r="M52" s="2">
        <v>6</v>
      </c>
      <c r="N52" s="2">
        <v>0</v>
      </c>
      <c r="O52" s="2">
        <v>35.334599999999995</v>
      </c>
    </row>
    <row r="53" spans="1:15" x14ac:dyDescent="0.25">
      <c r="A53" s="3" t="s">
        <v>268</v>
      </c>
      <c r="B53" s="3" t="s">
        <v>92</v>
      </c>
      <c r="C53" s="3" t="s">
        <v>93</v>
      </c>
      <c r="D53" s="3" t="s">
        <v>269</v>
      </c>
      <c r="E53" s="3" t="s">
        <v>270</v>
      </c>
      <c r="F53" s="3">
        <v>47150</v>
      </c>
      <c r="G53" s="3" t="s">
        <v>158</v>
      </c>
      <c r="H53" s="3" t="s">
        <v>275</v>
      </c>
      <c r="I53" s="3" t="s">
        <v>98</v>
      </c>
      <c r="J53" s="3" t="s">
        <v>124</v>
      </c>
      <c r="K53" s="3" t="s">
        <v>276</v>
      </c>
      <c r="L53" s="3">
        <v>6.16</v>
      </c>
      <c r="M53" s="3">
        <v>2</v>
      </c>
      <c r="N53" s="3">
        <v>0</v>
      </c>
      <c r="O53" s="3">
        <v>2.9567999999999999</v>
      </c>
    </row>
    <row r="54" spans="1:15" x14ac:dyDescent="0.25">
      <c r="A54" s="2" t="s">
        <v>268</v>
      </c>
      <c r="B54" s="2" t="s">
        <v>92</v>
      </c>
      <c r="C54" s="2" t="s">
        <v>93</v>
      </c>
      <c r="D54" s="2" t="s">
        <v>269</v>
      </c>
      <c r="E54" s="2" t="s">
        <v>270</v>
      </c>
      <c r="F54" s="2">
        <v>47150</v>
      </c>
      <c r="G54" s="2" t="s">
        <v>158</v>
      </c>
      <c r="H54" s="2" t="s">
        <v>277</v>
      </c>
      <c r="I54" s="2" t="s">
        <v>98</v>
      </c>
      <c r="J54" s="2" t="s">
        <v>102</v>
      </c>
      <c r="K54" s="2" t="s">
        <v>278</v>
      </c>
      <c r="L54" s="2">
        <v>89.99</v>
      </c>
      <c r="M54" s="2">
        <v>1</v>
      </c>
      <c r="N54" s="2">
        <v>0</v>
      </c>
      <c r="O54" s="2">
        <v>17.098099999999988</v>
      </c>
    </row>
    <row r="55" spans="1:15" x14ac:dyDescent="0.25">
      <c r="A55" s="3" t="s">
        <v>279</v>
      </c>
      <c r="B55" s="3" t="s">
        <v>105</v>
      </c>
      <c r="C55" s="3" t="s">
        <v>93</v>
      </c>
      <c r="D55" s="3" t="s">
        <v>280</v>
      </c>
      <c r="E55" s="3" t="s">
        <v>281</v>
      </c>
      <c r="F55" s="3">
        <v>10024</v>
      </c>
      <c r="G55" s="3" t="s">
        <v>191</v>
      </c>
      <c r="H55" s="3" t="s">
        <v>282</v>
      </c>
      <c r="I55" s="3" t="s">
        <v>110</v>
      </c>
      <c r="J55" s="3" t="s">
        <v>283</v>
      </c>
      <c r="K55" s="3" t="s">
        <v>284</v>
      </c>
      <c r="L55" s="3">
        <v>15.260000000000002</v>
      </c>
      <c r="M55" s="3">
        <v>7</v>
      </c>
      <c r="N55" s="3">
        <v>0</v>
      </c>
      <c r="O55" s="3">
        <v>6.2566000000000006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299</v>
      </c>
      <c r="B1" t="s">
        <v>300</v>
      </c>
    </row>
    <row r="4" spans="1:2" x14ac:dyDescent="0.25">
      <c r="A4" t="s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Sheet1</vt:lpstr>
      <vt:lpstr>Sheet5</vt:lpstr>
      <vt:lpstr>Sheet7</vt:lpstr>
      <vt:lpstr>Sheet8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2019-02-09T07:54:19Z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06e770f4-8068-437f-9105-8d58badd378f</vt:lpwstr>
  </property>
</Properties>
</file>