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2"/>
  <workbookPr/>
  <mc:AlternateContent xmlns:mc="http://schemas.openxmlformats.org/markup-compatibility/2006">
    <mc:Choice Requires="x15">
      <x15ac:absPath xmlns:x15ac="http://schemas.microsoft.com/office/spreadsheetml/2010/11/ac" url="https://d.docs.live.net/f27b721da7a3e279/Office 9-4-25/Jewellery/"/>
    </mc:Choice>
  </mc:AlternateContent>
  <xr:revisionPtr revIDLastSave="3930" documentId="13_ncr:1_{0498DCFE-17B0-4EDA-8052-35F32163E3E7}" xr6:coauthVersionLast="47" xr6:coauthVersionMax="47" xr10:uidLastSave="{A112A231-8401-4140-ACCD-3E73B72C55CF}"/>
  <bookViews>
    <workbookView xWindow="-98" yWindow="-98" windowWidth="21795" windowHeight="13875" firstSheet="1" activeTab="1" xr2:uid="{00000000-000D-0000-FFFF-FFFF00000000}"/>
  </bookViews>
  <sheets>
    <sheet name="22.3.26" sheetId="4" r:id="rId1"/>
    <sheet name="latest price" sheetId="6" r:id="rId2"/>
    <sheet name="VM Personal" sheetId="7" r:id="rId3"/>
    <sheet name="sample calc" sheetId="5" r:id="rId4"/>
    <sheet name="NFS" sheetId="3" r:id="rId5"/>
    <sheet name="rates tk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6" l="1"/>
  <c r="K109" i="6"/>
  <c r="N98" i="6"/>
  <c r="N83" i="6"/>
  <c r="L83" i="6"/>
  <c r="L98" i="6"/>
  <c r="M98" i="6"/>
  <c r="M83" i="6"/>
  <c r="N17" i="6"/>
  <c r="N11" i="6"/>
  <c r="K11" i="6"/>
  <c r="F15" i="6"/>
  <c r="L11" i="6"/>
  <c r="G98" i="6"/>
  <c r="I98" i="6"/>
  <c r="J98" i="6"/>
  <c r="J99" i="6"/>
  <c r="J100" i="6"/>
  <c r="J101" i="6"/>
  <c r="J102" i="6"/>
  <c r="J103" i="6"/>
  <c r="K98" i="6"/>
  <c r="G91" i="6"/>
  <c r="J94" i="6"/>
  <c r="J93" i="6"/>
  <c r="I91" i="6"/>
  <c r="G44" i="6"/>
  <c r="J46" i="6"/>
  <c r="J47" i="6"/>
  <c r="J48" i="6"/>
  <c r="J45" i="6"/>
  <c r="I44" i="6"/>
  <c r="D39" i="4"/>
  <c r="D52" i="4"/>
  <c r="G53" i="6"/>
  <c r="D20" i="4"/>
  <c r="D16" i="4"/>
  <c r="D7" i="4"/>
  <c r="D12" i="4"/>
  <c r="I11" i="6"/>
  <c r="G76" i="6"/>
  <c r="I68" i="6"/>
  <c r="J70" i="6"/>
  <c r="J69" i="6"/>
  <c r="G68" i="6"/>
  <c r="G32" i="6"/>
  <c r="J34" i="6"/>
  <c r="J33" i="6"/>
  <c r="I32" i="6"/>
  <c r="G11" i="6"/>
  <c r="J13" i="6"/>
  <c r="J12" i="6"/>
  <c r="I39" i="6"/>
  <c r="I83" i="6"/>
  <c r="G7" i="7"/>
  <c r="K32" i="7"/>
  <c r="J32" i="7"/>
  <c r="I32" i="7"/>
  <c r="G32" i="7"/>
  <c r="J34" i="7"/>
  <c r="J33" i="7"/>
  <c r="K26" i="7"/>
  <c r="G26" i="7"/>
  <c r="J27" i="7"/>
  <c r="K20" i="7"/>
  <c r="J21" i="7"/>
  <c r="J14" i="7"/>
  <c r="J26" i="7"/>
  <c r="G20" i="7"/>
  <c r="J20" i="7"/>
  <c r="I13" i="7"/>
  <c r="G13" i="7"/>
  <c r="J13" i="7"/>
  <c r="K13" i="7"/>
  <c r="J15" i="7"/>
  <c r="J7" i="7"/>
  <c r="I7" i="7"/>
  <c r="J8" i="7"/>
  <c r="G24" i="6"/>
  <c r="J26" i="6"/>
  <c r="J27" i="6"/>
  <c r="J25" i="6"/>
  <c r="I24" i="6"/>
  <c r="G17" i="6"/>
  <c r="J19" i="6"/>
  <c r="J18" i="6"/>
  <c r="I17" i="6"/>
  <c r="G61" i="6"/>
  <c r="G39" i="6"/>
  <c r="G83" i="6"/>
  <c r="J86" i="6"/>
  <c r="J85" i="6"/>
  <c r="J84" i="6"/>
  <c r="J79" i="6"/>
  <c r="J78" i="6"/>
  <c r="I76" i="6"/>
  <c r="J62" i="6"/>
  <c r="I61" i="6"/>
  <c r="J56" i="6"/>
  <c r="J55" i="6"/>
  <c r="J54" i="6"/>
  <c r="I53" i="6"/>
  <c r="D31" i="4"/>
  <c r="J40" i="6"/>
  <c r="D75" i="4"/>
  <c r="D64" i="4"/>
  <c r="D59" i="4"/>
  <c r="D26" i="4"/>
  <c r="F17" i="5"/>
  <c r="F16" i="5"/>
  <c r="E14" i="5"/>
  <c r="F14" i="5"/>
  <c r="F22" i="5"/>
  <c r="F24" i="5"/>
  <c r="F25" i="5"/>
  <c r="F27" i="5"/>
  <c r="D5" i="3"/>
  <c r="K7" i="7"/>
  <c r="J91" i="6"/>
  <c r="K91" i="6"/>
  <c r="F96" i="6"/>
  <c r="J44" i="6"/>
  <c r="J68" i="6"/>
  <c r="N68" i="6"/>
  <c r="J53" i="6"/>
  <c r="K53" i="6"/>
  <c r="F58" i="6"/>
  <c r="J32" i="6"/>
  <c r="J83" i="6"/>
  <c r="K83" i="6"/>
  <c r="F88" i="6"/>
  <c r="J11" i="6"/>
  <c r="J24" i="6"/>
  <c r="J61" i="6"/>
  <c r="K61" i="6"/>
  <c r="F64" i="6"/>
  <c r="J17" i="6"/>
  <c r="J76" i="6"/>
  <c r="J39" i="6"/>
  <c r="K39" i="6"/>
  <c r="F42" i="6"/>
  <c r="F105" i="6"/>
  <c r="L91" i="6"/>
  <c r="N91" i="6"/>
  <c r="K32" i="6"/>
  <c r="F36" i="6"/>
  <c r="L32" i="6"/>
  <c r="K17" i="6"/>
  <c r="F21" i="6"/>
  <c r="K24" i="6"/>
  <c r="F29" i="6"/>
  <c r="L24" i="6"/>
  <c r="N24" i="6"/>
  <c r="K44" i="6"/>
  <c r="F50" i="6"/>
  <c r="N44" i="6"/>
  <c r="K76" i="6"/>
  <c r="F81" i="6"/>
  <c r="N76" i="6"/>
  <c r="M53" i="6"/>
  <c r="L53" i="6"/>
  <c r="N53" i="6"/>
  <c r="M68" i="6"/>
  <c r="L68" i="6"/>
  <c r="M76" i="6"/>
  <c r="L39" i="6"/>
  <c r="L61" i="6"/>
  <c r="N61" i="6"/>
  <c r="L76" i="6"/>
  <c r="M44" i="6"/>
  <c r="L44" i="6"/>
  <c r="N39" i="6"/>
  <c r="N32" i="6"/>
  <c r="M11" i="6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</futureMetadata>
  <valueMetadata count="1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</valueMetadata>
</metadata>
</file>

<file path=xl/sharedStrings.xml><?xml version="1.0" encoding="utf-8"?>
<sst xmlns="http://schemas.openxmlformats.org/spreadsheetml/2006/main" count="334" uniqueCount="120">
  <si>
    <t>S No.</t>
  </si>
  <si>
    <t>Description by 5</t>
  </si>
  <si>
    <t>gms</t>
  </si>
  <si>
    <t>carat</t>
  </si>
  <si>
    <t>@</t>
  </si>
  <si>
    <t>Image</t>
  </si>
  <si>
    <t>Emd Cab &amp; Dia Earrings (14.5 KT)</t>
  </si>
  <si>
    <t>Gr Wt</t>
  </si>
  <si>
    <t>Dia</t>
  </si>
  <si>
    <t xml:space="preserve">Emd </t>
  </si>
  <si>
    <t>Net Wt</t>
  </si>
  <si>
    <t>ruby pear earring yellow gold (14.5KT)</t>
  </si>
  <si>
    <t xml:space="preserve"> </t>
  </si>
  <si>
    <t>ruby</t>
  </si>
  <si>
    <t>snowflake dia earring white gold (14.5KT)</t>
  </si>
  <si>
    <t>dia bracelet white gold (14.5KT)</t>
  </si>
  <si>
    <t>Fancy Yellow Earring Pair 18Kt</t>
  </si>
  <si>
    <t>Dia 2pcs</t>
  </si>
  <si>
    <t>Dia 30pcs</t>
  </si>
  <si>
    <t>Dia Ov + Oct Earrings 14kt WG</t>
  </si>
  <si>
    <t>yellow dia + cushion emerald earrings (14.5KT)</t>
  </si>
  <si>
    <t>y.dia</t>
  </si>
  <si>
    <t>Emd</t>
  </si>
  <si>
    <t>Emd Half Moon Carving Earring 2Pc Set (14KT)</t>
  </si>
  <si>
    <t>Polki</t>
  </si>
  <si>
    <t>Princess Diamond Bracelet - Rose Gold (14.5Kt)</t>
  </si>
  <si>
    <t>Single Emd Pendant (14.5KT)</t>
  </si>
  <si>
    <t>Emd Set 1 14kt</t>
  </si>
  <si>
    <t>dak</t>
  </si>
  <si>
    <t>Pcs</t>
  </si>
  <si>
    <t>Baby Rings Ruby Cost @ 13000 / pc</t>
  </si>
  <si>
    <t>Ts Ruby Ring cost @ 13000 / pc</t>
  </si>
  <si>
    <t>Heart Emd Big Earring (14.5Kt)</t>
  </si>
  <si>
    <t>Dia Mq</t>
  </si>
  <si>
    <t>Dia Pear</t>
  </si>
  <si>
    <t>Taper Baget Set (14.5 Kt)</t>
  </si>
  <si>
    <t>Dia Bag</t>
  </si>
  <si>
    <t>Dia Rd</t>
  </si>
  <si>
    <t>date</t>
  </si>
  <si>
    <t>MTL 24K (10g)</t>
  </si>
  <si>
    <t>18.03.26</t>
  </si>
  <si>
    <t>wastage</t>
  </si>
  <si>
    <t>To fill compulsory</t>
  </si>
  <si>
    <t>If required</t>
  </si>
  <si>
    <t>Date of MFG</t>
  </si>
  <si>
    <t>Grading</t>
  </si>
  <si>
    <t>Gross WT</t>
  </si>
  <si>
    <t>Net WT</t>
  </si>
  <si>
    <t>CTS</t>
  </si>
  <si>
    <t>Total</t>
  </si>
  <si>
    <t>market C.P</t>
  </si>
  <si>
    <t>home C.P</t>
  </si>
  <si>
    <t>SP for market</t>
  </si>
  <si>
    <t>MTL</t>
  </si>
  <si>
    <t>-</t>
  </si>
  <si>
    <t>dia</t>
  </si>
  <si>
    <t>emerald</t>
  </si>
  <si>
    <t>labour</t>
  </si>
  <si>
    <t>tk commission</t>
  </si>
  <si>
    <t>ruby pear earring yellow gold</t>
  </si>
  <si>
    <t>31.10.25</t>
  </si>
  <si>
    <t>dia rd</t>
  </si>
  <si>
    <t>snowflake dia earring white gold</t>
  </si>
  <si>
    <t>dia rd center 2 pc</t>
  </si>
  <si>
    <t>dia rd small 12 pcs</t>
  </si>
  <si>
    <t>dia rd medium 12 pcs</t>
  </si>
  <si>
    <t>Fancy Yellow Earring Pair</t>
  </si>
  <si>
    <t>dia 2pc</t>
  </si>
  <si>
    <t>dia 30pcs</t>
  </si>
  <si>
    <t>Dia Ov + Oct Earrings WG</t>
  </si>
  <si>
    <t>yellow dia + cushion emerald earrings</t>
  </si>
  <si>
    <t>yellow dia</t>
  </si>
  <si>
    <t>dia +3</t>
  </si>
  <si>
    <t>dia 2.4mm</t>
  </si>
  <si>
    <t>Emd Half Moon Carving Earring 2Pc Set</t>
  </si>
  <si>
    <t>Emerald</t>
  </si>
  <si>
    <t>polki</t>
  </si>
  <si>
    <t>Princess Diamond Bracelet - Rose Gold</t>
  </si>
  <si>
    <t>Single Emd Pendant</t>
  </si>
  <si>
    <t>Emd set</t>
  </si>
  <si>
    <t>Heart Emd Big Earring</t>
  </si>
  <si>
    <t>dia mq</t>
  </si>
  <si>
    <t>dia pear</t>
  </si>
  <si>
    <t>ruby oct earring</t>
  </si>
  <si>
    <t>ruby oct</t>
  </si>
  <si>
    <t>emd pear + polki earring</t>
  </si>
  <si>
    <t>emd</t>
  </si>
  <si>
    <t>g.wt</t>
  </si>
  <si>
    <t>n.wt</t>
  </si>
  <si>
    <t>cts</t>
  </si>
  <si>
    <t>total</t>
  </si>
  <si>
    <t>home cost</t>
  </si>
  <si>
    <t>button yellow gold</t>
  </si>
  <si>
    <t>yellow dia cushion</t>
  </si>
  <si>
    <t>wii emerald ring</t>
  </si>
  <si>
    <t>yellow dia heart</t>
  </si>
  <si>
    <t>yellow dia earring</t>
  </si>
  <si>
    <t>dia stud earring oct</t>
  </si>
  <si>
    <t>dia stud eme earring</t>
  </si>
  <si>
    <t>Legend</t>
  </si>
  <si>
    <t>compulsory to fill</t>
  </si>
  <si>
    <t>optional to fill</t>
  </si>
  <si>
    <t>metal rate</t>
  </si>
  <si>
    <t>KARAT</t>
  </si>
  <si>
    <t>Calculator</t>
  </si>
  <si>
    <t>metal Karat</t>
  </si>
  <si>
    <t>gm</t>
  </si>
  <si>
    <t>ct</t>
  </si>
  <si>
    <t>net metal</t>
  </si>
  <si>
    <t>other gemstone</t>
  </si>
  <si>
    <t>total before tk comm</t>
  </si>
  <si>
    <t>commision T.k</t>
  </si>
  <si>
    <t>Our cost</t>
  </si>
  <si>
    <t>Selling price</t>
  </si>
  <si>
    <t>Ruby Set Earrings only</t>
  </si>
  <si>
    <t>NFS</t>
  </si>
  <si>
    <t>Ruby</t>
  </si>
  <si>
    <t>rates TK</t>
  </si>
  <si>
    <t>range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</si>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</sst>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36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B4C6E7"/>
        <bgColor rgb="FF000000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0" applyFont="1"/>
    <xf numFmtId="0" fontId="0" fillId="2" borderId="0" xfId="0" applyFill="1"/>
    <xf numFmtId="164" fontId="3" fillId="2" borderId="0" xfId="0" applyNumberFormat="1" applyFont="1" applyFill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0" fillId="0" borderId="2" xfId="0" applyBorder="1"/>
    <xf numFmtId="0" fontId="4" fillId="2" borderId="3" xfId="0" applyFont="1" applyFill="1" applyBorder="1"/>
    <xf numFmtId="2" fontId="0" fillId="3" borderId="0" xfId="0" applyNumberFormat="1" applyFill="1"/>
    <xf numFmtId="1" fontId="0" fillId="3" borderId="0" xfId="0" applyNumberFormat="1" applyFill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64" fontId="0" fillId="4" borderId="4" xfId="0" applyNumberFormat="1" applyFill="1" applyBorder="1" applyAlignment="1">
      <alignment horizontal="center" vertical="center"/>
    </xf>
    <xf numFmtId="2" fontId="0" fillId="6" borderId="4" xfId="0" applyNumberForma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6" borderId="4" xfId="0" applyNumberFormat="1" applyFill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/>
    </xf>
    <xf numFmtId="164" fontId="3" fillId="7" borderId="6" xfId="0" applyNumberFormat="1" applyFont="1" applyFill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2" fontId="3" fillId="8" borderId="10" xfId="0" applyNumberFormat="1" applyFont="1" applyFill="1" applyBorder="1" applyAlignment="1">
      <alignment horizontal="center" vertical="center"/>
    </xf>
    <xf numFmtId="1" fontId="3" fillId="8" borderId="10" xfId="0" applyNumberFormat="1" applyFont="1" applyFill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2" fontId="0" fillId="5" borderId="0" xfId="0" applyNumberFormat="1" applyFill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7" fillId="0" borderId="0" xfId="0" applyFont="1"/>
    <xf numFmtId="0" fontId="0" fillId="6" borderId="4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2" fontId="0" fillId="0" borderId="0" xfId="0" applyNumberForma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1" fontId="3" fillId="0" borderId="7" xfId="0" applyNumberFormat="1" applyFont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AF34D-0FA4-4620-B519-4FFEFCC009F5}">
  <sheetPr>
    <pageSetUpPr fitToPage="1"/>
  </sheetPr>
  <dimension ref="A1:N112"/>
  <sheetViews>
    <sheetView zoomScale="93" zoomScaleNormal="80" workbookViewId="0">
      <pane ySplit="1" topLeftCell="A24" activePane="bottomLeft" state="frozen"/>
      <selection activeCell="G1" sqref="G1"/>
      <selection pane="bottomLeft" activeCell="B35" sqref="B35"/>
    </sheetView>
  </sheetViews>
  <sheetFormatPr defaultColWidth="8.7421875" defaultRowHeight="15" x14ac:dyDescent="0.2"/>
  <cols>
    <col min="1" max="1" width="5.6484375" style="5" bestFit="1" customWidth="1"/>
    <col min="2" max="2" width="44.390625" style="18" bestFit="1" customWidth="1"/>
    <col min="3" max="3" width="11.296875" style="5" bestFit="1" customWidth="1"/>
    <col min="4" max="4" width="6.859375" style="6" bestFit="1" customWidth="1"/>
    <col min="5" max="5" width="5.6484375" style="5" bestFit="1" customWidth="1"/>
    <col min="6" max="6" width="5.6484375" style="5" customWidth="1"/>
    <col min="7" max="7" width="10.0859375" style="5" bestFit="1" customWidth="1"/>
    <col min="8" max="11" width="8.7421875" style="5"/>
    <col min="12" max="12" width="32.8203125" style="5" bestFit="1" customWidth="1"/>
    <col min="13" max="16384" width="8.7421875" style="5"/>
  </cols>
  <sheetData>
    <row r="1" spans="1:10" ht="14.25" customHeight="1" x14ac:dyDescent="0.2">
      <c r="A1" s="5" t="s">
        <v>0</v>
      </c>
      <c r="B1" s="18" t="s">
        <v>1</v>
      </c>
      <c r="C1" s="16"/>
      <c r="D1" s="17" t="s">
        <v>2</v>
      </c>
      <c r="E1" s="41" t="s">
        <v>3</v>
      </c>
      <c r="F1" s="41" t="s">
        <v>4</v>
      </c>
      <c r="G1" s="41"/>
      <c r="H1" s="30"/>
      <c r="I1" s="5" t="s">
        <v>5</v>
      </c>
    </row>
    <row r="2" spans="1:10" x14ac:dyDescent="0.2">
      <c r="E2" s="41"/>
      <c r="F2" s="41"/>
      <c r="G2" s="41"/>
    </row>
    <row r="3" spans="1:10" x14ac:dyDescent="0.2">
      <c r="E3" s="41"/>
      <c r="F3" s="41"/>
      <c r="G3" s="41"/>
      <c r="H3" s="30"/>
    </row>
    <row r="4" spans="1:10" ht="15" customHeight="1" x14ac:dyDescent="0.2">
      <c r="A4" s="5">
        <v>1</v>
      </c>
      <c r="B4" s="18" t="s">
        <v>6</v>
      </c>
      <c r="C4" s="5" t="s">
        <v>7</v>
      </c>
      <c r="D4" s="6">
        <v>16.18</v>
      </c>
      <c r="E4" s="41"/>
      <c r="F4" s="41"/>
      <c r="G4" s="81">
        <v>85000</v>
      </c>
      <c r="H4" s="30"/>
      <c r="I4" s="79" t="e" vm="1">
        <v>#VALUE!</v>
      </c>
      <c r="J4" s="43"/>
    </row>
    <row r="5" spans="1:10" ht="15" customHeight="1" x14ac:dyDescent="0.2">
      <c r="C5" s="5" t="s">
        <v>8</v>
      </c>
      <c r="E5" s="41">
        <v>3.34</v>
      </c>
      <c r="F5" s="41"/>
      <c r="G5" s="81"/>
      <c r="I5" s="79"/>
      <c r="J5" s="43"/>
    </row>
    <row r="6" spans="1:10" ht="15" customHeight="1" x14ac:dyDescent="0.2">
      <c r="C6" s="5" t="s">
        <v>9</v>
      </c>
      <c r="E6" s="41">
        <v>30.1</v>
      </c>
      <c r="F6" s="41"/>
      <c r="G6" s="81"/>
      <c r="H6" s="30"/>
      <c r="I6" s="79"/>
      <c r="J6" s="43"/>
    </row>
    <row r="7" spans="1:10" ht="15" customHeight="1" x14ac:dyDescent="0.2">
      <c r="C7" s="5" t="s">
        <v>10</v>
      </c>
      <c r="D7" s="6">
        <f>D4-((E5+E6)/5)</f>
        <v>9.4920000000000009</v>
      </c>
      <c r="E7" s="41"/>
      <c r="F7" s="41"/>
      <c r="G7" s="81"/>
      <c r="H7" s="30"/>
      <c r="I7" s="79"/>
      <c r="J7" s="43"/>
    </row>
    <row r="8" spans="1:10" x14ac:dyDescent="0.2">
      <c r="E8" s="41"/>
      <c r="F8" s="41"/>
      <c r="G8" s="41"/>
      <c r="H8" s="30"/>
    </row>
    <row r="9" spans="1:10" x14ac:dyDescent="0.2">
      <c r="A9" s="5">
        <v>2</v>
      </c>
      <c r="B9" s="18" t="s">
        <v>11</v>
      </c>
      <c r="C9" s="5" t="s">
        <v>7</v>
      </c>
      <c r="D9" s="6">
        <v>3.25</v>
      </c>
      <c r="E9" s="41"/>
      <c r="F9" s="41"/>
      <c r="G9" s="81">
        <v>33000</v>
      </c>
      <c r="H9" s="30"/>
      <c r="I9" s="69" t="e" vm="2">
        <v>#VALUE!</v>
      </c>
      <c r="J9" s="5" t="s">
        <v>12</v>
      </c>
    </row>
    <row r="10" spans="1:10" x14ac:dyDescent="0.2">
      <c r="C10" s="5" t="s">
        <v>8</v>
      </c>
      <c r="E10" s="41">
        <v>0.26</v>
      </c>
      <c r="F10" s="41"/>
      <c r="G10" s="81"/>
      <c r="H10" s="30"/>
      <c r="I10" s="69"/>
      <c r="J10" s="49"/>
    </row>
    <row r="11" spans="1:10" x14ac:dyDescent="0.2">
      <c r="C11" s="5" t="s">
        <v>13</v>
      </c>
      <c r="E11" s="41">
        <v>3.34</v>
      </c>
      <c r="F11" s="41"/>
      <c r="G11" s="81"/>
      <c r="H11" s="30"/>
      <c r="I11" s="69"/>
    </row>
    <row r="12" spans="1:10" x14ac:dyDescent="0.2">
      <c r="C12" s="5" t="s">
        <v>10</v>
      </c>
      <c r="D12" s="6">
        <f>D9-((E10+E11)/5)</f>
        <v>2.5300000000000002</v>
      </c>
      <c r="E12" s="41"/>
      <c r="F12" s="41"/>
      <c r="G12" s="81"/>
      <c r="H12" s="30"/>
      <c r="I12" s="69"/>
      <c r="J12" s="49"/>
    </row>
    <row r="13" spans="1:10" x14ac:dyDescent="0.2">
      <c r="E13" s="41"/>
      <c r="F13" s="41"/>
      <c r="G13" s="41"/>
      <c r="H13" s="30"/>
      <c r="I13" s="16"/>
      <c r="J13" s="49"/>
    </row>
    <row r="14" spans="1:10" x14ac:dyDescent="0.2">
      <c r="A14" s="5">
        <v>3</v>
      </c>
      <c r="B14" s="18" t="s">
        <v>14</v>
      </c>
      <c r="C14" s="5" t="s">
        <v>7</v>
      </c>
      <c r="D14" s="6">
        <v>6.3140000000000001</v>
      </c>
      <c r="E14" s="41"/>
      <c r="F14" s="41"/>
      <c r="G14" s="81">
        <v>47000</v>
      </c>
      <c r="H14" s="30"/>
      <c r="I14" s="80" t="e" vm="3">
        <v>#VALUE!</v>
      </c>
      <c r="J14" s="49"/>
    </row>
    <row r="15" spans="1:10" x14ac:dyDescent="0.2">
      <c r="C15" s="5" t="s">
        <v>8</v>
      </c>
      <c r="E15" s="41">
        <v>2.2799999999999998</v>
      </c>
      <c r="F15" s="41"/>
      <c r="G15" s="81"/>
      <c r="H15" s="30"/>
      <c r="I15" s="80"/>
    </row>
    <row r="16" spans="1:10" x14ac:dyDescent="0.2">
      <c r="C16" s="5" t="s">
        <v>10</v>
      </c>
      <c r="D16" s="6">
        <f>D14-((E15)/5)</f>
        <v>5.8580000000000005</v>
      </c>
      <c r="E16" s="41"/>
      <c r="F16" s="41"/>
      <c r="G16" s="81"/>
      <c r="H16" s="30"/>
      <c r="I16" s="80"/>
    </row>
    <row r="17" spans="1:12" x14ac:dyDescent="0.2">
      <c r="E17" s="41"/>
      <c r="F17" s="41"/>
      <c r="G17" s="41"/>
      <c r="H17" s="30"/>
      <c r="I17" s="16"/>
    </row>
    <row r="18" spans="1:12" x14ac:dyDescent="0.2">
      <c r="A18" s="5">
        <v>4</v>
      </c>
      <c r="B18" s="18" t="s">
        <v>15</v>
      </c>
      <c r="C18" s="5" t="s">
        <v>7</v>
      </c>
      <c r="D18" s="6">
        <v>13.191000000000001</v>
      </c>
      <c r="E18" s="41"/>
      <c r="F18" s="41"/>
      <c r="G18" s="81">
        <v>98000</v>
      </c>
      <c r="H18" s="30"/>
      <c r="I18" s="69" t="e" vm="4">
        <v>#VALUE!</v>
      </c>
      <c r="J18" s="16"/>
    </row>
    <row r="19" spans="1:12" x14ac:dyDescent="0.2">
      <c r="C19" s="5" t="s">
        <v>8</v>
      </c>
      <c r="E19" s="41">
        <v>6.69</v>
      </c>
      <c r="F19" s="41"/>
      <c r="G19" s="81"/>
      <c r="H19" s="30"/>
      <c r="I19" s="69"/>
      <c r="J19" s="16"/>
    </row>
    <row r="20" spans="1:12" x14ac:dyDescent="0.2">
      <c r="C20" s="5" t="s">
        <v>10</v>
      </c>
      <c r="D20" s="6">
        <f>D18-((E19)/5)</f>
        <v>11.853000000000002</v>
      </c>
      <c r="E20" s="41"/>
      <c r="F20" s="41"/>
      <c r="G20" s="81"/>
      <c r="H20" s="30"/>
      <c r="I20" s="69"/>
      <c r="J20" s="16"/>
    </row>
    <row r="21" spans="1:12" x14ac:dyDescent="0.2">
      <c r="E21" s="41"/>
      <c r="F21" s="41"/>
      <c r="G21" s="41"/>
      <c r="H21" s="30"/>
      <c r="J21" s="16"/>
    </row>
    <row r="22" spans="1:12" x14ac:dyDescent="0.2">
      <c r="E22" s="41"/>
      <c r="F22" s="41"/>
      <c r="G22" s="41"/>
      <c r="H22" s="30"/>
      <c r="J22" s="16"/>
    </row>
    <row r="23" spans="1:12" ht="22.15" customHeight="1" x14ac:dyDescent="0.2">
      <c r="A23" s="5">
        <v>5</v>
      </c>
      <c r="B23" s="18" t="s">
        <v>16</v>
      </c>
      <c r="C23" s="5" t="s">
        <v>7</v>
      </c>
      <c r="D23" s="6">
        <v>6.6580000000000004</v>
      </c>
      <c r="E23" s="41"/>
      <c r="F23" s="41"/>
      <c r="G23" s="81">
        <v>47000</v>
      </c>
      <c r="H23" s="30"/>
      <c r="I23" s="69" t="e" vm="5">
        <v>#VALUE!</v>
      </c>
      <c r="L23" s="43"/>
    </row>
    <row r="24" spans="1:12" ht="19.149999999999999" customHeight="1" x14ac:dyDescent="0.2">
      <c r="C24" s="5" t="s">
        <v>17</v>
      </c>
      <c r="E24" s="41">
        <v>1.5</v>
      </c>
      <c r="F24" s="41"/>
      <c r="G24" s="81"/>
      <c r="H24" s="30"/>
      <c r="I24" s="69"/>
      <c r="L24" s="43"/>
    </row>
    <row r="25" spans="1:12" ht="18" customHeight="1" x14ac:dyDescent="0.2">
      <c r="C25" s="5" t="s">
        <v>18</v>
      </c>
      <c r="E25" s="41">
        <v>0.5</v>
      </c>
      <c r="F25" s="41"/>
      <c r="G25" s="81"/>
      <c r="H25" s="30"/>
      <c r="I25" s="69"/>
      <c r="L25" s="43"/>
    </row>
    <row r="26" spans="1:12" ht="20.100000000000001" customHeight="1" x14ac:dyDescent="0.2">
      <c r="C26" s="5" t="s">
        <v>10</v>
      </c>
      <c r="D26" s="6">
        <f>D23-((E24+E25)/5)</f>
        <v>6.258</v>
      </c>
      <c r="E26" s="41"/>
      <c r="F26" s="41"/>
      <c r="G26" s="41"/>
      <c r="H26" s="30"/>
      <c r="L26" s="43"/>
    </row>
    <row r="27" spans="1:12" ht="21" customHeight="1" x14ac:dyDescent="0.2">
      <c r="E27" s="41"/>
      <c r="F27" s="41"/>
      <c r="G27" s="41"/>
      <c r="H27" s="30"/>
      <c r="L27" s="43"/>
    </row>
    <row r="28" spans="1:12" x14ac:dyDescent="0.2">
      <c r="E28" s="41"/>
      <c r="F28" s="41"/>
      <c r="G28" s="41"/>
      <c r="H28" s="30"/>
    </row>
    <row r="29" spans="1:12" x14ac:dyDescent="0.2">
      <c r="A29" s="5">
        <v>6</v>
      </c>
      <c r="B29" s="18" t="s">
        <v>19</v>
      </c>
      <c r="C29" s="5" t="s">
        <v>7</v>
      </c>
      <c r="D29" s="6">
        <v>1.768</v>
      </c>
      <c r="E29" s="41"/>
      <c r="F29" s="41"/>
      <c r="G29" s="81">
        <v>13001</v>
      </c>
      <c r="I29" s="69" t="e" vm="6">
        <v>#VALUE!</v>
      </c>
    </row>
    <row r="30" spans="1:12" x14ac:dyDescent="0.2">
      <c r="C30" s="5" t="s">
        <v>8</v>
      </c>
      <c r="E30" s="41">
        <v>0.82</v>
      </c>
      <c r="F30" s="41"/>
      <c r="G30" s="81"/>
      <c r="I30" s="69"/>
      <c r="L30" s="16"/>
    </row>
    <row r="31" spans="1:12" x14ac:dyDescent="0.2">
      <c r="C31" s="5" t="s">
        <v>10</v>
      </c>
      <c r="D31" s="6">
        <f>D29-(E30/5)</f>
        <v>1.6040000000000001</v>
      </c>
      <c r="E31" s="41"/>
      <c r="F31" s="41"/>
      <c r="G31" s="81"/>
      <c r="I31" s="69"/>
      <c r="L31" s="16"/>
    </row>
    <row r="32" spans="1:12" x14ac:dyDescent="0.2">
      <c r="E32" s="41"/>
      <c r="F32" s="41"/>
      <c r="G32" s="41"/>
      <c r="H32" s="30"/>
      <c r="L32" s="16"/>
    </row>
    <row r="33" spans="1:9" x14ac:dyDescent="0.2">
      <c r="E33" s="41"/>
      <c r="F33" s="41"/>
      <c r="G33" s="41"/>
      <c r="H33" s="30"/>
    </row>
    <row r="34" spans="1:9" x14ac:dyDescent="0.2">
      <c r="E34" s="41"/>
      <c r="F34" s="41"/>
      <c r="G34" s="41"/>
      <c r="H34" s="30"/>
    </row>
    <row r="35" spans="1:9" x14ac:dyDescent="0.2">
      <c r="A35" s="5">
        <v>7</v>
      </c>
      <c r="B35" s="18" t="s">
        <v>20</v>
      </c>
      <c r="C35" s="5" t="s">
        <v>7</v>
      </c>
      <c r="D35" s="6">
        <v>8.4019999999999992</v>
      </c>
      <c r="E35" s="41"/>
      <c r="F35" s="41"/>
      <c r="G35" s="81"/>
      <c r="H35" s="30"/>
    </row>
    <row r="36" spans="1:9" x14ac:dyDescent="0.2">
      <c r="C36" s="5" t="s">
        <v>8</v>
      </c>
      <c r="E36" s="41">
        <v>1.91</v>
      </c>
      <c r="F36" s="41"/>
      <c r="G36" s="81"/>
      <c r="H36" s="30"/>
    </row>
    <row r="37" spans="1:9" x14ac:dyDescent="0.2">
      <c r="C37" s="5" t="s">
        <v>21</v>
      </c>
      <c r="E37" s="41">
        <v>1.53</v>
      </c>
      <c r="F37" s="41"/>
      <c r="G37" s="81"/>
      <c r="H37" s="30"/>
    </row>
    <row r="38" spans="1:9" x14ac:dyDescent="0.2">
      <c r="C38" s="5" t="s">
        <v>22</v>
      </c>
      <c r="E38" s="41">
        <v>3.91</v>
      </c>
      <c r="F38" s="41"/>
      <c r="G38" s="81"/>
      <c r="H38" s="30"/>
    </row>
    <row r="39" spans="1:9" x14ac:dyDescent="0.2">
      <c r="C39" s="5" t="s">
        <v>10</v>
      </c>
      <c r="D39" s="6">
        <f>D35-(E36+E37+E38)/5</f>
        <v>6.9319999999999995</v>
      </c>
      <c r="E39" s="41"/>
      <c r="F39" s="41"/>
      <c r="G39" s="81"/>
      <c r="H39" s="30"/>
    </row>
    <row r="40" spans="1:9" x14ac:dyDescent="0.2">
      <c r="E40" s="41"/>
      <c r="F40" s="41"/>
      <c r="G40" s="41"/>
      <c r="H40" s="30"/>
    </row>
    <row r="41" spans="1:9" x14ac:dyDescent="0.2">
      <c r="E41" s="41"/>
      <c r="F41" s="41"/>
      <c r="G41" s="41"/>
      <c r="H41" s="30"/>
    </row>
    <row r="42" spans="1:9" x14ac:dyDescent="0.2">
      <c r="E42" s="41"/>
      <c r="F42" s="41"/>
      <c r="G42" s="41"/>
      <c r="H42" s="30"/>
    </row>
    <row r="43" spans="1:9" x14ac:dyDescent="0.2">
      <c r="E43" s="41"/>
      <c r="F43" s="41"/>
      <c r="G43" s="41"/>
      <c r="H43" s="30"/>
    </row>
    <row r="44" spans="1:9" x14ac:dyDescent="0.2">
      <c r="E44" s="41"/>
      <c r="F44" s="41"/>
      <c r="G44" s="41"/>
      <c r="H44" s="30"/>
    </row>
    <row r="45" spans="1:9" x14ac:dyDescent="0.2">
      <c r="E45" s="41"/>
      <c r="F45" s="41"/>
      <c r="G45" s="41"/>
      <c r="H45" s="30"/>
    </row>
    <row r="46" spans="1:9" x14ac:dyDescent="0.2">
      <c r="E46" s="41"/>
      <c r="F46" s="41"/>
      <c r="G46" s="41"/>
      <c r="H46" s="30"/>
    </row>
    <row r="47" spans="1:9" x14ac:dyDescent="0.2">
      <c r="E47" s="41"/>
      <c r="F47" s="41"/>
      <c r="G47" s="41"/>
      <c r="H47" s="30"/>
    </row>
    <row r="48" spans="1:9" x14ac:dyDescent="0.2">
      <c r="A48" s="5">
        <v>8</v>
      </c>
      <c r="B48" s="18" t="s">
        <v>23</v>
      </c>
      <c r="C48" s="5" t="s">
        <v>7</v>
      </c>
      <c r="D48" s="6">
        <v>6.35</v>
      </c>
      <c r="E48" s="41"/>
      <c r="F48" s="41"/>
      <c r="G48" s="81">
        <v>17000</v>
      </c>
      <c r="H48" s="30"/>
      <c r="I48" s="69" t="e" vm="7">
        <v>#VALUE!</v>
      </c>
    </row>
    <row r="49" spans="1:14" x14ac:dyDescent="0.2">
      <c r="C49" s="5" t="s">
        <v>8</v>
      </c>
      <c r="E49" s="41">
        <v>0.17</v>
      </c>
      <c r="F49" s="41"/>
      <c r="G49" s="81"/>
      <c r="H49" s="30"/>
      <c r="I49" s="69"/>
    </row>
    <row r="50" spans="1:14" x14ac:dyDescent="0.2">
      <c r="C50" s="5" t="s">
        <v>24</v>
      </c>
      <c r="E50" s="41">
        <v>0.21</v>
      </c>
      <c r="F50" s="41"/>
      <c r="G50" s="81"/>
      <c r="H50" s="30"/>
      <c r="I50" s="69"/>
      <c r="L50" s="16"/>
    </row>
    <row r="51" spans="1:14" x14ac:dyDescent="0.2">
      <c r="C51" s="5" t="s">
        <v>9</v>
      </c>
      <c r="E51" s="41">
        <v>16.010000000000002</v>
      </c>
      <c r="F51" s="41"/>
      <c r="G51" s="81"/>
      <c r="H51" s="30"/>
      <c r="I51" s="69"/>
      <c r="L51" s="16"/>
    </row>
    <row r="52" spans="1:14" x14ac:dyDescent="0.2">
      <c r="C52" s="5" t="s">
        <v>10</v>
      </c>
      <c r="D52" s="6">
        <f>D48-((SUM(E49:E51)/5))</f>
        <v>3.0719999999999996</v>
      </c>
      <c r="E52" s="41"/>
      <c r="F52" s="41"/>
      <c r="G52" s="81"/>
      <c r="H52" s="30"/>
      <c r="I52" s="69"/>
      <c r="L52" s="16"/>
    </row>
    <row r="53" spans="1:14" x14ac:dyDescent="0.2">
      <c r="E53" s="41"/>
      <c r="F53" s="41"/>
      <c r="G53" s="41"/>
      <c r="H53" s="30"/>
      <c r="L53" s="16"/>
    </row>
    <row r="54" spans="1:14" x14ac:dyDescent="0.2">
      <c r="L54" s="16"/>
    </row>
    <row r="55" spans="1:14" x14ac:dyDescent="0.2">
      <c r="E55" s="41"/>
      <c r="F55" s="41"/>
      <c r="G55" s="41"/>
      <c r="H55" s="30"/>
      <c r="M55" s="16"/>
      <c r="N55" s="16"/>
    </row>
    <row r="56" spans="1:14" x14ac:dyDescent="0.2">
      <c r="E56" s="41"/>
      <c r="F56" s="41"/>
      <c r="G56" s="41"/>
      <c r="H56" s="30"/>
      <c r="L56" s="16"/>
      <c r="M56" s="16"/>
      <c r="N56" s="16"/>
    </row>
    <row r="57" spans="1:14" x14ac:dyDescent="0.2">
      <c r="A57" s="5">
        <v>11</v>
      </c>
      <c r="B57" s="18" t="s">
        <v>25</v>
      </c>
      <c r="C57" s="5" t="s">
        <v>7</v>
      </c>
      <c r="D57" s="6">
        <v>10.427</v>
      </c>
      <c r="E57" s="41"/>
      <c r="F57" s="41"/>
      <c r="G57" s="81">
        <v>70000</v>
      </c>
      <c r="H57" s="69" t="e" vm="8">
        <v>#VALUE!</v>
      </c>
      <c r="I57" s="69"/>
      <c r="J57" s="69"/>
      <c r="L57" s="16"/>
      <c r="M57" s="16"/>
      <c r="N57" s="16"/>
    </row>
    <row r="58" spans="1:14" x14ac:dyDescent="0.2">
      <c r="C58" s="5" t="s">
        <v>8</v>
      </c>
      <c r="E58" s="41">
        <v>6.02</v>
      </c>
      <c r="F58" s="41"/>
      <c r="G58" s="81"/>
      <c r="H58" s="69"/>
      <c r="I58" s="69"/>
      <c r="J58" s="69"/>
      <c r="L58" s="16"/>
      <c r="M58" s="16"/>
      <c r="N58" s="16"/>
    </row>
    <row r="59" spans="1:14" x14ac:dyDescent="0.2">
      <c r="C59" s="5" t="s">
        <v>10</v>
      </c>
      <c r="D59" s="6">
        <f>D57-((E58/5))</f>
        <v>9.222999999999999</v>
      </c>
      <c r="E59" s="41"/>
      <c r="F59" s="41"/>
      <c r="G59" s="81"/>
      <c r="H59" s="69"/>
      <c r="I59" s="69"/>
      <c r="J59" s="69"/>
    </row>
    <row r="60" spans="1:14" x14ac:dyDescent="0.2">
      <c r="E60" s="41"/>
      <c r="F60" s="41"/>
      <c r="G60" s="56"/>
      <c r="H60" s="30"/>
    </row>
    <row r="61" spans="1:14" x14ac:dyDescent="0.2">
      <c r="A61" s="5">
        <v>13</v>
      </c>
      <c r="B61" s="18" t="s">
        <v>26</v>
      </c>
      <c r="C61" s="5" t="s">
        <v>7</v>
      </c>
      <c r="D61" s="6">
        <v>3.7360000000000002</v>
      </c>
      <c r="E61" s="41"/>
      <c r="F61" s="41"/>
      <c r="G61" s="81">
        <v>35000</v>
      </c>
      <c r="H61" s="30"/>
      <c r="I61" s="69" t="e" vm="9">
        <v>#VALUE!</v>
      </c>
    </row>
    <row r="62" spans="1:14" x14ac:dyDescent="0.2">
      <c r="C62" s="5" t="s">
        <v>8</v>
      </c>
      <c r="E62" s="41">
        <v>1.3</v>
      </c>
      <c r="F62" s="41"/>
      <c r="G62" s="81"/>
      <c r="H62" s="30"/>
      <c r="I62" s="69"/>
    </row>
    <row r="63" spans="1:14" x14ac:dyDescent="0.2">
      <c r="C63" s="5" t="s">
        <v>22</v>
      </c>
      <c r="E63" s="41">
        <v>2.87</v>
      </c>
      <c r="F63" s="41"/>
      <c r="G63" s="81"/>
      <c r="H63" s="30"/>
      <c r="I63" s="69"/>
      <c r="L63" s="20"/>
    </row>
    <row r="64" spans="1:14" x14ac:dyDescent="0.2">
      <c r="C64" s="5" t="s">
        <v>10</v>
      </c>
      <c r="D64" s="6">
        <f>D61-(E62+E63)/5</f>
        <v>2.9020000000000001</v>
      </c>
      <c r="E64" s="41"/>
      <c r="F64" s="41"/>
      <c r="G64" s="81"/>
      <c r="H64" s="30"/>
      <c r="I64" s="69"/>
      <c r="K64" s="16"/>
    </row>
    <row r="65" spans="1:14" x14ac:dyDescent="0.2">
      <c r="E65" s="41"/>
      <c r="F65" s="41"/>
      <c r="G65" s="41"/>
      <c r="H65" s="30"/>
      <c r="K65" s="16"/>
    </row>
    <row r="66" spans="1:14" x14ac:dyDescent="0.2">
      <c r="E66" s="41"/>
      <c r="F66" s="41"/>
      <c r="G66" s="41"/>
      <c r="H66" s="30"/>
      <c r="K66" s="16"/>
    </row>
    <row r="67" spans="1:14" x14ac:dyDescent="0.2">
      <c r="E67" s="41"/>
      <c r="F67" s="41"/>
      <c r="G67" s="41"/>
      <c r="H67" s="30"/>
      <c r="K67" s="16"/>
    </row>
    <row r="68" spans="1:14" x14ac:dyDescent="0.2">
      <c r="E68" s="41"/>
      <c r="F68" s="41"/>
      <c r="G68" s="41"/>
      <c r="H68" s="30"/>
    </row>
    <row r="69" spans="1:14" x14ac:dyDescent="0.2">
      <c r="E69" s="41"/>
      <c r="F69" s="41"/>
      <c r="G69" s="41"/>
      <c r="H69" s="30"/>
      <c r="M69" s="16"/>
      <c r="N69" s="16"/>
    </row>
    <row r="70" spans="1:14" x14ac:dyDescent="0.2">
      <c r="E70" s="41"/>
      <c r="F70" s="41"/>
      <c r="G70" s="41"/>
      <c r="H70" s="30"/>
      <c r="L70" s="16"/>
      <c r="M70" s="16"/>
      <c r="N70" s="16"/>
    </row>
    <row r="71" spans="1:14" x14ac:dyDescent="0.2">
      <c r="A71" s="5">
        <v>14</v>
      </c>
      <c r="B71" s="18" t="s">
        <v>27</v>
      </c>
      <c r="C71" s="5" t="s">
        <v>7</v>
      </c>
      <c r="D71" s="6">
        <v>47.082999999999998</v>
      </c>
      <c r="E71" s="41"/>
      <c r="F71" s="41"/>
      <c r="G71" s="81">
        <v>332000</v>
      </c>
      <c r="H71" s="30"/>
      <c r="I71" s="69" t="e" vm="10">
        <v>#VALUE!</v>
      </c>
      <c r="L71" s="16"/>
      <c r="M71" s="16"/>
      <c r="N71" s="16"/>
    </row>
    <row r="72" spans="1:14" x14ac:dyDescent="0.2">
      <c r="C72" s="5" t="s">
        <v>28</v>
      </c>
      <c r="E72" s="41">
        <v>3.2</v>
      </c>
      <c r="F72" s="41"/>
      <c r="G72" s="81"/>
      <c r="I72" s="69"/>
      <c r="L72" s="16"/>
      <c r="M72" s="16"/>
      <c r="N72" s="16"/>
    </row>
    <row r="73" spans="1:14" x14ac:dyDescent="0.2">
      <c r="C73" s="5" t="s">
        <v>24</v>
      </c>
      <c r="E73" s="41">
        <v>6.78</v>
      </c>
      <c r="F73" s="41"/>
      <c r="G73" s="81"/>
      <c r="I73" s="69"/>
      <c r="L73" s="16"/>
      <c r="M73" s="16"/>
      <c r="N73" s="16"/>
    </row>
    <row r="74" spans="1:14" x14ac:dyDescent="0.2">
      <c r="C74" s="5" t="s">
        <v>9</v>
      </c>
      <c r="E74" s="41">
        <v>50.02</v>
      </c>
      <c r="F74" s="41"/>
      <c r="G74" s="81"/>
      <c r="I74" s="69"/>
      <c r="L74" s="16"/>
      <c r="M74" s="16"/>
      <c r="N74" s="16"/>
    </row>
    <row r="75" spans="1:14" x14ac:dyDescent="0.2">
      <c r="C75" s="5" t="s">
        <v>10</v>
      </c>
      <c r="D75" s="6">
        <f>D71-((E72+E73+E74)/5)</f>
        <v>35.082999999999998</v>
      </c>
      <c r="E75" s="41"/>
      <c r="F75" s="41"/>
      <c r="G75" s="81"/>
      <c r="I75" s="69"/>
    </row>
    <row r="80" spans="1:14" x14ac:dyDescent="0.2">
      <c r="C80" s="5" t="s">
        <v>29</v>
      </c>
    </row>
    <row r="81" spans="1:11" x14ac:dyDescent="0.2">
      <c r="A81" s="5">
        <v>16</v>
      </c>
      <c r="B81" s="18" t="s">
        <v>30</v>
      </c>
      <c r="C81" s="5">
        <v>2</v>
      </c>
    </row>
    <row r="84" spans="1:11" x14ac:dyDescent="0.2">
      <c r="C84" s="5" t="s">
        <v>29</v>
      </c>
    </row>
    <row r="85" spans="1:11" x14ac:dyDescent="0.2">
      <c r="A85" s="5">
        <v>17</v>
      </c>
      <c r="B85" s="18" t="s">
        <v>31</v>
      </c>
      <c r="C85" s="5">
        <v>3</v>
      </c>
    </row>
    <row r="89" spans="1:11" ht="14.25" customHeight="1" x14ac:dyDescent="0.2">
      <c r="A89" s="5">
        <v>18</v>
      </c>
      <c r="B89" s="18" t="s">
        <v>32</v>
      </c>
      <c r="C89" s="5" t="s">
        <v>7</v>
      </c>
      <c r="D89" s="6">
        <v>9.32</v>
      </c>
      <c r="E89" s="41"/>
      <c r="F89" s="41"/>
      <c r="G89" s="69">
        <v>106000</v>
      </c>
      <c r="H89" s="16"/>
      <c r="I89" s="69" t="e" vm="11">
        <v>#VALUE!</v>
      </c>
      <c r="K89" s="16"/>
    </row>
    <row r="90" spans="1:11" ht="14.25" customHeight="1" x14ac:dyDescent="0.2">
      <c r="C90" s="5" t="s">
        <v>9</v>
      </c>
      <c r="E90" s="41">
        <v>9.26</v>
      </c>
      <c r="F90" s="41"/>
      <c r="G90" s="69"/>
      <c r="H90" s="16"/>
      <c r="I90" s="69"/>
      <c r="K90" s="16"/>
    </row>
    <row r="91" spans="1:11" ht="14.25" customHeight="1" x14ac:dyDescent="0.2">
      <c r="C91" s="5" t="s">
        <v>33</v>
      </c>
      <c r="E91" s="41">
        <v>2.61</v>
      </c>
      <c r="F91" s="41"/>
      <c r="G91" s="69"/>
      <c r="H91" s="16"/>
      <c r="I91" s="69"/>
      <c r="K91" s="16"/>
    </row>
    <row r="92" spans="1:11" ht="14.25" customHeight="1" x14ac:dyDescent="0.2">
      <c r="C92" s="5" t="s">
        <v>34</v>
      </c>
      <c r="E92" s="41">
        <v>0.37</v>
      </c>
      <c r="F92" s="41"/>
      <c r="G92" s="69"/>
      <c r="H92" s="16"/>
      <c r="I92" s="69"/>
      <c r="K92" s="16"/>
    </row>
    <row r="93" spans="1:11" x14ac:dyDescent="0.2">
      <c r="C93" s="5" t="s">
        <v>10</v>
      </c>
      <c r="D93" s="6">
        <v>6.8719999999999999</v>
      </c>
      <c r="E93" s="41"/>
      <c r="F93" s="41"/>
      <c r="G93" s="69"/>
      <c r="H93" s="16"/>
      <c r="I93" s="69"/>
      <c r="K93" s="16"/>
    </row>
    <row r="94" spans="1:11" x14ac:dyDescent="0.2">
      <c r="E94" s="41"/>
      <c r="F94" s="41"/>
    </row>
    <row r="96" spans="1:11" ht="14.25" customHeight="1" x14ac:dyDescent="0.2"/>
    <row r="97" spans="1:12" ht="14.25" customHeight="1" x14ac:dyDescent="0.2">
      <c r="A97" s="5">
        <v>20</v>
      </c>
      <c r="B97" s="18" t="s">
        <v>35</v>
      </c>
      <c r="C97" s="5" t="s">
        <v>7</v>
      </c>
      <c r="D97" s="6">
        <v>5.7549999999999999</v>
      </c>
      <c r="G97" s="69">
        <v>38000</v>
      </c>
      <c r="I97" s="69" t="e" vm="12">
        <v>#VALUE!</v>
      </c>
      <c r="L97" s="16"/>
    </row>
    <row r="98" spans="1:12" ht="14.25" customHeight="1" x14ac:dyDescent="0.2">
      <c r="C98" s="5" t="s">
        <v>36</v>
      </c>
      <c r="E98" s="41">
        <v>1.2</v>
      </c>
      <c r="F98" s="41"/>
      <c r="G98" s="69"/>
      <c r="I98" s="69"/>
      <c r="L98" s="16"/>
    </row>
    <row r="99" spans="1:12" ht="14.25" customHeight="1" x14ac:dyDescent="0.2">
      <c r="C99" s="5" t="s">
        <v>37</v>
      </c>
      <c r="E99" s="41">
        <v>0.92</v>
      </c>
      <c r="F99" s="41"/>
      <c r="G99" s="69"/>
      <c r="I99" s="69"/>
      <c r="L99" s="16"/>
    </row>
    <row r="100" spans="1:12" ht="14.25" customHeight="1" x14ac:dyDescent="0.2">
      <c r="C100" s="5" t="s">
        <v>10</v>
      </c>
      <c r="D100" s="6">
        <v>5.3310000000000004</v>
      </c>
      <c r="G100" s="69"/>
      <c r="I100" s="69"/>
      <c r="L100" s="16"/>
    </row>
    <row r="107" spans="1:12" x14ac:dyDescent="0.2">
      <c r="G107" s="16"/>
    </row>
    <row r="108" spans="1:12" x14ac:dyDescent="0.2">
      <c r="E108" s="41"/>
      <c r="F108" s="41"/>
      <c r="G108" s="16"/>
    </row>
    <row r="109" spans="1:12" x14ac:dyDescent="0.2">
      <c r="E109" s="41"/>
      <c r="F109" s="41"/>
      <c r="G109" s="16"/>
    </row>
    <row r="110" spans="1:12" x14ac:dyDescent="0.2">
      <c r="E110" s="41"/>
      <c r="F110" s="41"/>
      <c r="G110" s="16"/>
    </row>
    <row r="111" spans="1:12" x14ac:dyDescent="0.2">
      <c r="E111" s="41"/>
      <c r="F111" s="41"/>
      <c r="G111" s="16"/>
    </row>
    <row r="112" spans="1:12" x14ac:dyDescent="0.2">
      <c r="G112" s="16"/>
    </row>
  </sheetData>
  <mergeCells count="25">
    <mergeCell ref="G9:G12"/>
    <mergeCell ref="G14:G16"/>
    <mergeCell ref="G4:G7"/>
    <mergeCell ref="G23:G25"/>
    <mergeCell ref="G48:G52"/>
    <mergeCell ref="G18:G20"/>
    <mergeCell ref="G29:G31"/>
    <mergeCell ref="G35:G39"/>
    <mergeCell ref="G97:G100"/>
    <mergeCell ref="G57:G59"/>
    <mergeCell ref="G61:G64"/>
    <mergeCell ref="G71:G75"/>
    <mergeCell ref="G89:G93"/>
    <mergeCell ref="I97:I100"/>
    <mergeCell ref="H57:J59"/>
    <mergeCell ref="I61:I64"/>
    <mergeCell ref="I71:I75"/>
    <mergeCell ref="I4:I7"/>
    <mergeCell ref="I9:I12"/>
    <mergeCell ref="I14:I16"/>
    <mergeCell ref="I29:I31"/>
    <mergeCell ref="I48:I52"/>
    <mergeCell ref="I18:I20"/>
    <mergeCell ref="I23:I25"/>
    <mergeCell ref="I89:I93"/>
  </mergeCells>
  <printOptions gridLines="1"/>
  <pageMargins left="0.7" right="0.7" top="0.75" bottom="0.75" header="0.3" footer="0.3"/>
  <pageSetup paperSize="9" scale="7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765AD-8DD9-854A-9F07-A1537E82BC0B}">
  <dimension ref="A1:R111"/>
  <sheetViews>
    <sheetView tabSelected="1" topLeftCell="E1" zoomScale="84" zoomScaleNormal="100" workbookViewId="0">
      <selection activeCell="L22" sqref="L22"/>
    </sheetView>
  </sheetViews>
  <sheetFormatPr defaultColWidth="11.296875" defaultRowHeight="15" x14ac:dyDescent="0.2"/>
  <cols>
    <col min="1" max="1" width="14.66015625" style="5" bestFit="1" customWidth="1"/>
    <col min="2" max="2" width="15.06640625" style="30" customWidth="1"/>
    <col min="3" max="3" width="10.35546875" style="5" bestFit="1" customWidth="1"/>
    <col min="4" max="4" width="7.12890625" style="5" bestFit="1" customWidth="1"/>
    <col min="5" max="5" width="19.50390625" style="5" bestFit="1" customWidth="1"/>
    <col min="6" max="6" width="9.14453125" style="5" bestFit="1" customWidth="1"/>
    <col min="7" max="7" width="7.26171875" style="5" bestFit="1" customWidth="1"/>
    <col min="8" max="8" width="5.6484375" style="41" bestFit="1" customWidth="1"/>
    <col min="9" max="9" width="12.64453125" style="5" bestFit="1" customWidth="1"/>
    <col min="10" max="10" width="9.68359375" style="5" bestFit="1" customWidth="1"/>
    <col min="11" max="11" width="10.625" style="5" bestFit="1" customWidth="1"/>
    <col min="12" max="12" width="10.0859375" style="5" bestFit="1" customWidth="1"/>
    <col min="13" max="13" width="9.14453125" style="5" bestFit="1" customWidth="1"/>
    <col min="14" max="14" width="13.44921875" style="5" bestFit="1" customWidth="1"/>
    <col min="15" max="16384" width="11.296875" style="5"/>
  </cols>
  <sheetData>
    <row r="1" spans="1:18" x14ac:dyDescent="0.2">
      <c r="C1" s="5" t="s">
        <v>38</v>
      </c>
    </row>
    <row r="2" spans="1:18" x14ac:dyDescent="0.2">
      <c r="A2" s="53" t="s">
        <v>39</v>
      </c>
      <c r="B2" s="54">
        <v>160000</v>
      </c>
      <c r="C2" s="5" t="s">
        <v>40</v>
      </c>
    </row>
    <row r="3" spans="1:18" x14ac:dyDescent="0.2">
      <c r="A3" s="53" t="s">
        <v>41</v>
      </c>
      <c r="B3" s="46">
        <v>1.1499999999999999</v>
      </c>
    </row>
    <row r="5" spans="1:18" x14ac:dyDescent="0.2">
      <c r="A5" s="53" t="s">
        <v>42</v>
      </c>
      <c r="B5" s="47"/>
    </row>
    <row r="6" spans="1:18" x14ac:dyDescent="0.2">
      <c r="A6" s="53" t="s">
        <v>43</v>
      </c>
      <c r="B6" s="50"/>
    </row>
    <row r="8" spans="1:18" x14ac:dyDescent="0.2">
      <c r="A8" s="5" t="s">
        <v>0</v>
      </c>
      <c r="B8" s="30" t="s">
        <v>1</v>
      </c>
      <c r="C8" s="5" t="s">
        <v>44</v>
      </c>
      <c r="D8" s="5" t="s">
        <v>45</v>
      </c>
      <c r="F8" s="5" t="s">
        <v>46</v>
      </c>
      <c r="G8" s="5" t="s">
        <v>47</v>
      </c>
      <c r="H8" s="41" t="s">
        <v>48</v>
      </c>
      <c r="I8" s="5" t="s">
        <v>4</v>
      </c>
      <c r="J8" s="5" t="s">
        <v>49</v>
      </c>
      <c r="L8" s="5" t="s">
        <v>50</v>
      </c>
      <c r="M8" s="5" t="s">
        <v>51</v>
      </c>
      <c r="N8" s="5" t="s">
        <v>52</v>
      </c>
      <c r="Q8" s="5" t="s">
        <v>5</v>
      </c>
    </row>
    <row r="9" spans="1:18" s="19" customFormat="1" x14ac:dyDescent="0.2">
      <c r="B9" s="48"/>
      <c r="H9" s="44"/>
    </row>
    <row r="10" spans="1:18" ht="15" customHeight="1" x14ac:dyDescent="0.2">
      <c r="E10" s="41"/>
      <c r="I10" s="41"/>
      <c r="J10" s="41"/>
      <c r="K10" s="41"/>
      <c r="L10" s="26"/>
      <c r="M10" s="26"/>
      <c r="N10" s="26"/>
      <c r="O10" s="42"/>
    </row>
    <row r="11" spans="1:18" ht="15" customHeight="1" x14ac:dyDescent="0.2">
      <c r="A11" s="57">
        <v>1</v>
      </c>
      <c r="B11" s="58" t="s">
        <v>6</v>
      </c>
      <c r="C11" s="57"/>
      <c r="D11" s="29">
        <v>14.5</v>
      </c>
      <c r="E11" s="53" t="s">
        <v>53</v>
      </c>
      <c r="F11" s="23">
        <v>16.18</v>
      </c>
      <c r="G11" s="21">
        <f>(F11-((H12+H13)/5))</f>
        <v>9.4920000000000009</v>
      </c>
      <c r="H11" s="22" t="s">
        <v>54</v>
      </c>
      <c r="I11" s="53">
        <f>(($B$2/(10*24))*D11)</f>
        <v>9666.6666666666661</v>
      </c>
      <c r="J11" s="28">
        <f>G11*$B$3*I11</f>
        <v>105519.40000000001</v>
      </c>
      <c r="K11" s="59">
        <f>SUM(J11, J12, (J13), F14)</f>
        <v>342519.4</v>
      </c>
      <c r="L11" s="62">
        <f>SUM(J11, J12,J13, F14, F15)</f>
        <v>352794.98200000002</v>
      </c>
      <c r="M11" s="62">
        <f>SUM(J11, J12,(J13*0.5), F14, F15)</f>
        <v>277544.98200000002</v>
      </c>
      <c r="N11" s="62">
        <f>((SUM(J11, J12, F14, F15)*1.4)+J13)</f>
        <v>433712.97480000003</v>
      </c>
      <c r="O11" s="42"/>
      <c r="Q11" s="69" t="e" vm="1">
        <v>#VALUE!</v>
      </c>
      <c r="R11" s="16"/>
    </row>
    <row r="12" spans="1:18" ht="15" customHeight="1" x14ac:dyDescent="0.2">
      <c r="A12" s="57"/>
      <c r="B12" s="58"/>
      <c r="C12" s="57"/>
      <c r="E12" s="21" t="s">
        <v>55</v>
      </c>
      <c r="F12" s="53" t="s">
        <v>54</v>
      </c>
      <c r="G12" s="53" t="s">
        <v>54</v>
      </c>
      <c r="H12" s="24">
        <v>3.34</v>
      </c>
      <c r="I12" s="24">
        <v>25000</v>
      </c>
      <c r="J12" s="22">
        <f>H12*I12</f>
        <v>83500</v>
      </c>
      <c r="K12" s="60"/>
      <c r="L12" s="62"/>
      <c r="M12" s="62"/>
      <c r="N12" s="62"/>
      <c r="O12" s="42"/>
      <c r="P12" s="16"/>
      <c r="Q12" s="69"/>
      <c r="R12" s="16"/>
    </row>
    <row r="13" spans="1:18" ht="15" customHeight="1" x14ac:dyDescent="0.2">
      <c r="A13" s="57"/>
      <c r="B13" s="58"/>
      <c r="C13" s="57"/>
      <c r="E13" s="21" t="s">
        <v>56</v>
      </c>
      <c r="F13" s="53"/>
      <c r="G13" s="53"/>
      <c r="H13" s="24">
        <v>30.1</v>
      </c>
      <c r="I13" s="24">
        <v>5000</v>
      </c>
      <c r="J13" s="22">
        <f>H13*I13</f>
        <v>150500</v>
      </c>
      <c r="K13" s="60"/>
      <c r="L13" s="62"/>
      <c r="M13" s="62"/>
      <c r="N13" s="62"/>
      <c r="O13" s="42"/>
      <c r="P13" s="16"/>
      <c r="Q13" s="69"/>
      <c r="R13" s="16"/>
    </row>
    <row r="14" spans="1:18" ht="15" customHeight="1" x14ac:dyDescent="0.2">
      <c r="A14" s="57"/>
      <c r="B14" s="58"/>
      <c r="C14" s="57"/>
      <c r="E14" s="22" t="s">
        <v>57</v>
      </c>
      <c r="F14" s="57">
        <v>3000</v>
      </c>
      <c r="G14" s="57"/>
      <c r="H14" s="57"/>
      <c r="I14" s="57"/>
      <c r="J14" s="57"/>
      <c r="K14" s="60"/>
      <c r="L14" s="62"/>
      <c r="M14" s="62"/>
      <c r="N14" s="62"/>
      <c r="O14" s="42"/>
      <c r="P14" s="16"/>
      <c r="Q14" s="69"/>
      <c r="R14" s="16"/>
    </row>
    <row r="15" spans="1:18" ht="15" customHeight="1" x14ac:dyDescent="0.2">
      <c r="A15" s="57"/>
      <c r="B15" s="58"/>
      <c r="C15" s="57"/>
      <c r="E15" s="22" t="s">
        <v>58</v>
      </c>
      <c r="F15" s="62">
        <f>K11*VLOOKUP(K11, 'rates tk'!$B$5:$C$10, 2, TRUE)</f>
        <v>10275.582</v>
      </c>
      <c r="G15" s="62"/>
      <c r="H15" s="62"/>
      <c r="I15" s="62"/>
      <c r="J15" s="62"/>
      <c r="K15" s="61"/>
      <c r="L15" s="62"/>
      <c r="M15" s="62"/>
      <c r="N15" s="62"/>
      <c r="O15" s="42"/>
      <c r="P15" s="16"/>
      <c r="Q15" s="69"/>
      <c r="R15" s="16"/>
    </row>
    <row r="16" spans="1:18" ht="15" customHeight="1" x14ac:dyDescent="0.2">
      <c r="E16" s="41"/>
      <c r="I16" s="41"/>
      <c r="J16" s="41"/>
      <c r="K16" s="41"/>
      <c r="L16" s="26"/>
      <c r="M16" s="26"/>
      <c r="N16" s="26"/>
      <c r="O16" s="42"/>
      <c r="P16" s="43"/>
      <c r="Q16" s="43"/>
    </row>
    <row r="17" spans="1:17" x14ac:dyDescent="0.2">
      <c r="A17" s="57">
        <v>2</v>
      </c>
      <c r="B17" s="58" t="s">
        <v>59</v>
      </c>
      <c r="C17" s="57" t="s">
        <v>60</v>
      </c>
      <c r="D17" s="29">
        <v>14.5</v>
      </c>
      <c r="E17" s="53" t="s">
        <v>53</v>
      </c>
      <c r="F17" s="23">
        <v>3.25</v>
      </c>
      <c r="G17" s="21">
        <f>(F17-((H18+H19)/5))</f>
        <v>2.5300000000000002</v>
      </c>
      <c r="H17" s="22" t="s">
        <v>54</v>
      </c>
      <c r="I17" s="53">
        <f>(($B$2/(10*24))*D17)</f>
        <v>9666.6666666666661</v>
      </c>
      <c r="J17" s="22">
        <f>G17*$B$3*I17</f>
        <v>28125.166666666664</v>
      </c>
      <c r="K17" s="59">
        <f>SUM(J17:J19, F20)</f>
        <v>109625.16666666666</v>
      </c>
      <c r="L17" s="70">
        <f>SUM(J17, J18, J19, F20, F21)</f>
        <v>116202.67666666665</v>
      </c>
      <c r="M17" s="71"/>
      <c r="N17" s="62">
        <f>L17*1.4</f>
        <v>162683.7473333333</v>
      </c>
      <c r="P17" s="52"/>
      <c r="Q17" s="69" t="e" vm="2">
        <v>#VALUE!</v>
      </c>
    </row>
    <row r="18" spans="1:17" x14ac:dyDescent="0.2">
      <c r="A18" s="57"/>
      <c r="B18" s="58"/>
      <c r="C18" s="57"/>
      <c r="E18" s="22" t="s">
        <v>13</v>
      </c>
      <c r="F18" s="53" t="s">
        <v>54</v>
      </c>
      <c r="G18" s="53" t="s">
        <v>54</v>
      </c>
      <c r="H18" s="24">
        <v>3.34</v>
      </c>
      <c r="I18" s="27">
        <v>20000</v>
      </c>
      <c r="J18" s="22">
        <f>H18*I18</f>
        <v>66800</v>
      </c>
      <c r="K18" s="60"/>
      <c r="L18" s="72"/>
      <c r="M18" s="73"/>
      <c r="N18" s="62"/>
      <c r="Q18" s="69"/>
    </row>
    <row r="19" spans="1:17" x14ac:dyDescent="0.2">
      <c r="A19" s="57"/>
      <c r="B19" s="58"/>
      <c r="C19" s="57"/>
      <c r="E19" s="22" t="s">
        <v>61</v>
      </c>
      <c r="F19" s="53" t="s">
        <v>54</v>
      </c>
      <c r="G19" s="53" t="s">
        <v>54</v>
      </c>
      <c r="H19" s="24">
        <v>0.26</v>
      </c>
      <c r="I19" s="27">
        <v>45000</v>
      </c>
      <c r="J19" s="22">
        <f>H19*I19</f>
        <v>11700</v>
      </c>
      <c r="K19" s="60"/>
      <c r="L19" s="72"/>
      <c r="M19" s="73"/>
      <c r="N19" s="62"/>
      <c r="Q19" s="69"/>
    </row>
    <row r="20" spans="1:17" x14ac:dyDescent="0.2">
      <c r="A20" s="57"/>
      <c r="B20" s="58"/>
      <c r="C20" s="57"/>
      <c r="E20" s="22" t="s">
        <v>57</v>
      </c>
      <c r="F20" s="57">
        <v>3000</v>
      </c>
      <c r="G20" s="57"/>
      <c r="H20" s="57"/>
      <c r="I20" s="57"/>
      <c r="J20" s="57"/>
      <c r="K20" s="60"/>
      <c r="L20" s="72"/>
      <c r="M20" s="73"/>
      <c r="N20" s="62"/>
      <c r="Q20" s="69"/>
    </row>
    <row r="21" spans="1:17" x14ac:dyDescent="0.2">
      <c r="A21" s="57"/>
      <c r="B21" s="58"/>
      <c r="C21" s="57"/>
      <c r="E21" s="22" t="s">
        <v>58</v>
      </c>
      <c r="F21" s="62">
        <f>K17*VLOOKUP(K17, 'rates tk'!$B$5:$C$10, 2, TRUE)</f>
        <v>6577.5099999999993</v>
      </c>
      <c r="G21" s="62"/>
      <c r="H21" s="62"/>
      <c r="I21" s="62"/>
      <c r="J21" s="62"/>
      <c r="K21" s="61"/>
      <c r="L21" s="74"/>
      <c r="M21" s="75"/>
      <c r="N21" s="62"/>
      <c r="Q21" s="69"/>
    </row>
    <row r="24" spans="1:17" x14ac:dyDescent="0.2">
      <c r="A24" s="57">
        <v>3</v>
      </c>
      <c r="B24" s="58" t="s">
        <v>62</v>
      </c>
      <c r="C24" s="57" t="s">
        <v>60</v>
      </c>
      <c r="D24" s="29">
        <v>14.5</v>
      </c>
      <c r="E24" s="53" t="s">
        <v>53</v>
      </c>
      <c r="F24" s="23">
        <v>6.3140000000000001</v>
      </c>
      <c r="G24" s="21">
        <f>(F24-((H25+H26+H27)/5))</f>
        <v>5.8579999999999997</v>
      </c>
      <c r="H24" s="22" t="s">
        <v>54</v>
      </c>
      <c r="I24" s="53">
        <f>(($B$2/(10*24))*D24)</f>
        <v>9666.6666666666661</v>
      </c>
      <c r="J24" s="22">
        <f>G24*$B$3*I24</f>
        <v>65121.43333333332</v>
      </c>
      <c r="K24" s="59">
        <f>SUM(J24:J27, F28)</f>
        <v>160611.43333333332</v>
      </c>
      <c r="L24" s="66">
        <f>SUM(J24, J25, J26, J27, F28, F29)/5</f>
        <v>33407.178133333327</v>
      </c>
      <c r="M24" s="76"/>
      <c r="N24" s="62">
        <f>L24*1.4</f>
        <v>46770.049386666658</v>
      </c>
      <c r="Q24" s="69" t="e" vm="13">
        <v>#VALUE!</v>
      </c>
    </row>
    <row r="25" spans="1:17" x14ac:dyDescent="0.2">
      <c r="A25" s="57"/>
      <c r="B25" s="58"/>
      <c r="C25" s="57"/>
      <c r="E25" s="22" t="s">
        <v>63</v>
      </c>
      <c r="F25" s="53" t="s">
        <v>54</v>
      </c>
      <c r="G25" s="53" t="s">
        <v>54</v>
      </c>
      <c r="H25" s="24">
        <v>0.55000000000000004</v>
      </c>
      <c r="I25" s="27">
        <v>55000</v>
      </c>
      <c r="J25" s="22">
        <f>H25*I25</f>
        <v>30250.000000000004</v>
      </c>
      <c r="K25" s="60"/>
      <c r="L25" s="67"/>
      <c r="M25" s="77"/>
      <c r="N25" s="62"/>
      <c r="Q25" s="69"/>
    </row>
    <row r="26" spans="1:17" x14ac:dyDescent="0.2">
      <c r="A26" s="57"/>
      <c r="B26" s="58"/>
      <c r="C26" s="57"/>
      <c r="E26" s="22" t="s">
        <v>64</v>
      </c>
      <c r="F26" s="53" t="s">
        <v>54</v>
      </c>
      <c r="G26" s="53" t="s">
        <v>54</v>
      </c>
      <c r="H26" s="24">
        <v>0.67</v>
      </c>
      <c r="I26" s="27">
        <v>22000</v>
      </c>
      <c r="J26" s="22">
        <f>H26*I26</f>
        <v>14740</v>
      </c>
      <c r="K26" s="60"/>
      <c r="L26" s="67"/>
      <c r="M26" s="77"/>
      <c r="N26" s="62"/>
      <c r="Q26" s="69"/>
    </row>
    <row r="27" spans="1:17" x14ac:dyDescent="0.2">
      <c r="A27" s="57"/>
      <c r="B27" s="58"/>
      <c r="C27" s="57"/>
      <c r="E27" s="22" t="s">
        <v>65</v>
      </c>
      <c r="F27" s="53" t="s">
        <v>54</v>
      </c>
      <c r="G27" s="53" t="s">
        <v>54</v>
      </c>
      <c r="H27" s="24">
        <v>1.06</v>
      </c>
      <c r="I27" s="27">
        <v>45000</v>
      </c>
      <c r="J27" s="22">
        <f>H27*I27</f>
        <v>47700</v>
      </c>
      <c r="K27" s="60"/>
      <c r="L27" s="67"/>
      <c r="M27" s="77"/>
      <c r="N27" s="62"/>
      <c r="Q27" s="69"/>
    </row>
    <row r="28" spans="1:17" x14ac:dyDescent="0.2">
      <c r="A28" s="57"/>
      <c r="B28" s="58"/>
      <c r="C28" s="57"/>
      <c r="E28" s="22" t="s">
        <v>57</v>
      </c>
      <c r="F28" s="57">
        <v>2800</v>
      </c>
      <c r="G28" s="57"/>
      <c r="H28" s="57"/>
      <c r="I28" s="57"/>
      <c r="J28" s="57"/>
      <c r="K28" s="60"/>
      <c r="L28" s="67"/>
      <c r="M28" s="77"/>
      <c r="N28" s="62"/>
      <c r="Q28" s="69"/>
    </row>
    <row r="29" spans="1:17" x14ac:dyDescent="0.2">
      <c r="A29" s="57"/>
      <c r="B29" s="58"/>
      <c r="C29" s="57"/>
      <c r="E29" s="22" t="s">
        <v>58</v>
      </c>
      <c r="F29" s="62">
        <f>K24*VLOOKUP(K24, 'rates tk'!$B$5:$C$10, 2, TRUE)</f>
        <v>6424.4573333333328</v>
      </c>
      <c r="G29" s="62"/>
      <c r="H29" s="62"/>
      <c r="I29" s="62"/>
      <c r="J29" s="62"/>
      <c r="K29" s="61"/>
      <c r="L29" s="68"/>
      <c r="M29" s="78"/>
      <c r="N29" s="62"/>
      <c r="Q29" s="69"/>
    </row>
    <row r="30" spans="1:17" ht="15" customHeight="1" x14ac:dyDescent="0.2">
      <c r="E30" s="41"/>
      <c r="I30" s="41"/>
      <c r="J30" s="41"/>
      <c r="K30" s="41"/>
      <c r="L30" s="26"/>
      <c r="M30" s="26"/>
      <c r="N30" s="26"/>
      <c r="O30" s="42"/>
      <c r="P30" s="43"/>
    </row>
    <row r="31" spans="1:17" ht="15" customHeight="1" x14ac:dyDescent="0.2"/>
    <row r="32" spans="1:17" ht="15" customHeight="1" x14ac:dyDescent="0.2">
      <c r="A32" s="57">
        <v>5</v>
      </c>
      <c r="B32" s="58" t="s">
        <v>66</v>
      </c>
      <c r="C32" s="57"/>
      <c r="D32" s="29">
        <v>18.5</v>
      </c>
      <c r="E32" s="53" t="s">
        <v>53</v>
      </c>
      <c r="F32" s="23">
        <v>6.6580000000000004</v>
      </c>
      <c r="G32" s="21">
        <f>(F32-((H33+H34)/5))</f>
        <v>6.258</v>
      </c>
      <c r="H32" s="22" t="s">
        <v>54</v>
      </c>
      <c r="I32" s="53">
        <f>(($B$2/(10*24))*D32)</f>
        <v>12333.333333333332</v>
      </c>
      <c r="J32" s="28">
        <f>G32*$B$3*I32</f>
        <v>88759.299999999988</v>
      </c>
      <c r="K32" s="59">
        <f>SUM(J32:J34, F35)</f>
        <v>164759.29999999999</v>
      </c>
      <c r="L32" s="66">
        <f>SUM(J32, J33,J34, F35, F36)/5</f>
        <v>34269.934399999998</v>
      </c>
      <c r="M32" s="76"/>
      <c r="N32" s="62">
        <f>L32*1.4</f>
        <v>47977.908159999992</v>
      </c>
      <c r="O32" s="42"/>
      <c r="P32" s="51"/>
      <c r="Q32" s="79" t="e" vm="14">
        <v>#VALUE!</v>
      </c>
    </row>
    <row r="33" spans="1:17" ht="15" customHeight="1" x14ac:dyDescent="0.2">
      <c r="A33" s="57"/>
      <c r="B33" s="58"/>
      <c r="C33" s="57"/>
      <c r="E33" s="21" t="s">
        <v>67</v>
      </c>
      <c r="F33" s="53" t="s">
        <v>54</v>
      </c>
      <c r="G33" s="53" t="s">
        <v>54</v>
      </c>
      <c r="H33" s="24">
        <v>1.5</v>
      </c>
      <c r="I33" s="24">
        <v>42000</v>
      </c>
      <c r="J33" s="22">
        <f>H33*I33</f>
        <v>63000</v>
      </c>
      <c r="K33" s="60"/>
      <c r="L33" s="67"/>
      <c r="M33" s="77"/>
      <c r="N33" s="62"/>
      <c r="O33" s="42"/>
      <c r="P33" s="43"/>
      <c r="Q33" s="79"/>
    </row>
    <row r="34" spans="1:17" ht="15" customHeight="1" x14ac:dyDescent="0.2">
      <c r="A34" s="57"/>
      <c r="B34" s="58"/>
      <c r="C34" s="57"/>
      <c r="E34" s="21" t="s">
        <v>68</v>
      </c>
      <c r="F34" s="53" t="s">
        <v>54</v>
      </c>
      <c r="G34" s="53" t="s">
        <v>54</v>
      </c>
      <c r="H34" s="24">
        <v>0.5</v>
      </c>
      <c r="I34" s="24">
        <v>18000</v>
      </c>
      <c r="J34" s="22">
        <f>H34*I34</f>
        <v>9000</v>
      </c>
      <c r="K34" s="60"/>
      <c r="L34" s="67"/>
      <c r="M34" s="77"/>
      <c r="N34" s="62"/>
      <c r="O34" s="42"/>
      <c r="P34" s="43"/>
      <c r="Q34" s="79"/>
    </row>
    <row r="35" spans="1:17" ht="15" customHeight="1" x14ac:dyDescent="0.2">
      <c r="A35" s="57"/>
      <c r="B35" s="58"/>
      <c r="C35" s="57"/>
      <c r="E35" s="22" t="s">
        <v>57</v>
      </c>
      <c r="F35" s="57">
        <v>4000</v>
      </c>
      <c r="G35" s="57"/>
      <c r="H35" s="57"/>
      <c r="I35" s="57"/>
      <c r="J35" s="57"/>
      <c r="K35" s="60"/>
      <c r="L35" s="67"/>
      <c r="M35" s="77"/>
      <c r="N35" s="62"/>
      <c r="O35" s="42"/>
      <c r="P35" s="43"/>
      <c r="Q35" s="79"/>
    </row>
    <row r="36" spans="1:17" ht="15" customHeight="1" x14ac:dyDescent="0.2">
      <c r="A36" s="57"/>
      <c r="B36" s="58"/>
      <c r="C36" s="57"/>
      <c r="E36" s="22" t="s">
        <v>58</v>
      </c>
      <c r="F36" s="62">
        <f>K32*VLOOKUP(K32, 'rates tk'!$B$5:$C$10, 2, TRUE)</f>
        <v>6590.3719999999994</v>
      </c>
      <c r="G36" s="62"/>
      <c r="H36" s="62"/>
      <c r="I36" s="62"/>
      <c r="J36" s="62"/>
      <c r="K36" s="61"/>
      <c r="L36" s="68"/>
      <c r="M36" s="78"/>
      <c r="N36" s="62"/>
      <c r="O36" s="42"/>
      <c r="P36" s="43"/>
      <c r="Q36" s="79"/>
    </row>
    <row r="37" spans="1:17" ht="15" customHeight="1" x14ac:dyDescent="0.2">
      <c r="E37" s="41"/>
      <c r="I37" s="41"/>
      <c r="J37" s="41"/>
      <c r="K37" s="41"/>
      <c r="L37" s="26"/>
      <c r="M37" s="26"/>
      <c r="N37" s="26"/>
      <c r="O37" s="42"/>
      <c r="P37" s="43"/>
      <c r="Q37" s="43"/>
    </row>
    <row r="38" spans="1:17" x14ac:dyDescent="0.2">
      <c r="E38" s="6"/>
      <c r="F38" s="41"/>
      <c r="G38" s="41"/>
      <c r="I38" s="41"/>
      <c r="J38" s="41"/>
      <c r="K38" s="41"/>
      <c r="L38" s="26"/>
      <c r="M38" s="26"/>
      <c r="N38" s="26"/>
    </row>
    <row r="39" spans="1:17" x14ac:dyDescent="0.2">
      <c r="A39" s="57">
        <v>6</v>
      </c>
      <c r="B39" s="58" t="s">
        <v>69</v>
      </c>
      <c r="C39" s="57"/>
      <c r="D39" s="29">
        <v>14.5</v>
      </c>
      <c r="E39" s="53" t="s">
        <v>53</v>
      </c>
      <c r="F39" s="23">
        <v>1.768</v>
      </c>
      <c r="G39" s="21">
        <f>(F39-(H40/5))</f>
        <v>1.6040000000000001</v>
      </c>
      <c r="H39" s="22" t="s">
        <v>54</v>
      </c>
      <c r="I39" s="53">
        <f>(($B$2/(10*24))*D39)</f>
        <v>9666.6666666666661</v>
      </c>
      <c r="J39" s="28">
        <f>G39*$B$3*I39</f>
        <v>17831.133333333331</v>
      </c>
      <c r="K39" s="59">
        <f>SUM(J39, J40, F41)</f>
        <v>44431.133333333331</v>
      </c>
      <c r="L39" s="66">
        <f>SUM(J39, J40, F41, F42)/5</f>
        <v>9597.1247999999996</v>
      </c>
      <c r="M39" s="76"/>
      <c r="N39" s="62">
        <f>L39*1.4</f>
        <v>13435.974719999998</v>
      </c>
      <c r="Q39" s="69" t="e" vm="6">
        <v>#VALUE!</v>
      </c>
    </row>
    <row r="40" spans="1:17" x14ac:dyDescent="0.2">
      <c r="A40" s="57"/>
      <c r="B40" s="58"/>
      <c r="C40" s="57"/>
      <c r="E40" s="21" t="s">
        <v>55</v>
      </c>
      <c r="F40" s="53" t="s">
        <v>54</v>
      </c>
      <c r="G40" s="53" t="s">
        <v>54</v>
      </c>
      <c r="H40" s="24">
        <v>0.82</v>
      </c>
      <c r="I40" s="24">
        <v>30000</v>
      </c>
      <c r="J40" s="22">
        <f>H40*I40</f>
        <v>24600</v>
      </c>
      <c r="K40" s="60"/>
      <c r="L40" s="67"/>
      <c r="M40" s="77"/>
      <c r="N40" s="62"/>
      <c r="Q40" s="69"/>
    </row>
    <row r="41" spans="1:17" x14ac:dyDescent="0.2">
      <c r="A41" s="57"/>
      <c r="B41" s="58"/>
      <c r="C41" s="57"/>
      <c r="E41" s="22" t="s">
        <v>57</v>
      </c>
      <c r="F41" s="57">
        <v>2000</v>
      </c>
      <c r="G41" s="57"/>
      <c r="H41" s="57"/>
      <c r="I41" s="57"/>
      <c r="J41" s="57"/>
      <c r="K41" s="60"/>
      <c r="L41" s="67"/>
      <c r="M41" s="77"/>
      <c r="N41" s="62"/>
      <c r="Q41" s="69"/>
    </row>
    <row r="42" spans="1:17" x14ac:dyDescent="0.2">
      <c r="A42" s="57"/>
      <c r="B42" s="58"/>
      <c r="C42" s="57"/>
      <c r="E42" s="22" t="s">
        <v>58</v>
      </c>
      <c r="F42" s="62">
        <f>K39*VLOOKUP(K39, 'rates tk'!$B$5:$C$10, 2, TRUE)</f>
        <v>3554.4906666666666</v>
      </c>
      <c r="G42" s="62"/>
      <c r="H42" s="62"/>
      <c r="I42" s="62"/>
      <c r="J42" s="62"/>
      <c r="K42" s="61"/>
      <c r="L42" s="68"/>
      <c r="M42" s="78"/>
      <c r="N42" s="62"/>
      <c r="Q42" s="69"/>
    </row>
    <row r="43" spans="1:17" x14ac:dyDescent="0.2">
      <c r="E43" s="6"/>
      <c r="F43" s="41"/>
      <c r="G43" s="41"/>
      <c r="I43" s="41"/>
      <c r="J43" s="41"/>
      <c r="K43" s="41"/>
      <c r="L43" s="26"/>
      <c r="M43" s="26"/>
      <c r="N43" s="26"/>
    </row>
    <row r="44" spans="1:17" x14ac:dyDescent="0.2">
      <c r="A44" s="57">
        <v>7</v>
      </c>
      <c r="B44" s="58" t="s">
        <v>70</v>
      </c>
      <c r="C44" s="57"/>
      <c r="D44" s="29">
        <v>14.5</v>
      </c>
      <c r="E44" s="53" t="s">
        <v>53</v>
      </c>
      <c r="F44" s="23">
        <v>8.4019999999999992</v>
      </c>
      <c r="G44" s="21">
        <f>(F44-((H46+H48+H45+H47)/5))</f>
        <v>6.9319999999999986</v>
      </c>
      <c r="H44" s="22" t="s">
        <v>54</v>
      </c>
      <c r="I44" s="53">
        <f>(($B$2/(10*24))*D44)</f>
        <v>9666.6666666666661</v>
      </c>
      <c r="J44" s="28">
        <f>G44*$B$3*I44</f>
        <v>77060.733333333308</v>
      </c>
      <c r="K44" s="59">
        <f>SUM(J44, J45, J46, J47, (J48), F49)</f>
        <v>273691.73333333328</v>
      </c>
      <c r="L44" s="62">
        <f>SUM(J44, J46,J48, F49, F50, J45, J47)/5</f>
        <v>56927.880533333329</v>
      </c>
      <c r="M44" s="62">
        <f>SUM(J44, J46,(J48*0.5), F49, F50, J45, J47)/5</f>
        <v>47973.980533333328</v>
      </c>
      <c r="N44" s="62">
        <f>((SUM(J44:J47, F49, F50)*1.4)+J48)/5</f>
        <v>72535.912746666654</v>
      </c>
      <c r="Q44" s="69" t="e" vm="15">
        <v>#VALUE!</v>
      </c>
    </row>
    <row r="45" spans="1:17" x14ac:dyDescent="0.2">
      <c r="A45" s="57"/>
      <c r="B45" s="58"/>
      <c r="C45" s="57"/>
      <c r="E45" s="53" t="s">
        <v>71</v>
      </c>
      <c r="F45" s="21"/>
      <c r="G45" s="21"/>
      <c r="H45" s="24">
        <v>1.53</v>
      </c>
      <c r="I45" s="24">
        <v>40000</v>
      </c>
      <c r="J45" s="28">
        <f>H45*I45</f>
        <v>61200</v>
      </c>
      <c r="K45" s="60"/>
      <c r="L45" s="62"/>
      <c r="M45" s="62"/>
      <c r="N45" s="62"/>
      <c r="Q45" s="69"/>
    </row>
    <row r="46" spans="1:17" x14ac:dyDescent="0.2">
      <c r="A46" s="57"/>
      <c r="B46" s="58"/>
      <c r="C46" s="57"/>
      <c r="E46" s="21" t="s">
        <v>72</v>
      </c>
      <c r="F46" s="53" t="s">
        <v>54</v>
      </c>
      <c r="G46" s="53" t="s">
        <v>54</v>
      </c>
      <c r="H46" s="24">
        <v>0.16</v>
      </c>
      <c r="I46" s="24">
        <v>21200</v>
      </c>
      <c r="J46" s="28">
        <f>H46*I46</f>
        <v>3392</v>
      </c>
      <c r="K46" s="60"/>
      <c r="L46" s="62"/>
      <c r="M46" s="62"/>
      <c r="N46" s="62"/>
      <c r="Q46" s="69"/>
    </row>
    <row r="47" spans="1:17" x14ac:dyDescent="0.2">
      <c r="A47" s="57"/>
      <c r="B47" s="58"/>
      <c r="C47" s="57"/>
      <c r="E47" s="21" t="s">
        <v>73</v>
      </c>
      <c r="F47" s="53"/>
      <c r="G47" s="53"/>
      <c r="H47" s="24">
        <v>1.75</v>
      </c>
      <c r="I47" s="24">
        <v>22000</v>
      </c>
      <c r="J47" s="28">
        <f>H47*I47</f>
        <v>38500</v>
      </c>
      <c r="K47" s="60"/>
      <c r="L47" s="62"/>
      <c r="M47" s="62"/>
      <c r="N47" s="62"/>
      <c r="Q47" s="69"/>
    </row>
    <row r="48" spans="1:17" x14ac:dyDescent="0.2">
      <c r="A48" s="57"/>
      <c r="B48" s="58"/>
      <c r="C48" s="57"/>
      <c r="E48" s="21" t="s">
        <v>56</v>
      </c>
      <c r="F48" s="53"/>
      <c r="G48" s="53"/>
      <c r="H48" s="24">
        <v>3.91</v>
      </c>
      <c r="I48" s="24">
        <v>22900</v>
      </c>
      <c r="J48" s="28">
        <f>H48*I48</f>
        <v>89539</v>
      </c>
      <c r="K48" s="60"/>
      <c r="L48" s="62"/>
      <c r="M48" s="62"/>
      <c r="N48" s="62"/>
      <c r="Q48" s="69"/>
    </row>
    <row r="49" spans="1:18" x14ac:dyDescent="0.2">
      <c r="A49" s="57"/>
      <c r="B49" s="58"/>
      <c r="C49" s="57"/>
      <c r="E49" s="22" t="s">
        <v>57</v>
      </c>
      <c r="F49" s="57">
        <v>4000</v>
      </c>
      <c r="G49" s="57"/>
      <c r="H49" s="57"/>
      <c r="I49" s="57"/>
      <c r="J49" s="57"/>
      <c r="K49" s="60"/>
      <c r="L49" s="62"/>
      <c r="M49" s="62"/>
      <c r="N49" s="62"/>
      <c r="Q49" s="69"/>
    </row>
    <row r="50" spans="1:18" x14ac:dyDescent="0.2">
      <c r="A50" s="57"/>
      <c r="B50" s="58"/>
      <c r="C50" s="57"/>
      <c r="E50" s="22" t="s">
        <v>58</v>
      </c>
      <c r="F50" s="62">
        <f>K44*VLOOKUP(K44, 'rates tk'!$B$5:$C$10, 2, TRUE)</f>
        <v>10947.669333333331</v>
      </c>
      <c r="G50" s="62"/>
      <c r="H50" s="62"/>
      <c r="I50" s="62"/>
      <c r="J50" s="62"/>
      <c r="K50" s="61"/>
      <c r="L50" s="62"/>
      <c r="M50" s="62"/>
      <c r="N50" s="62"/>
      <c r="Q50" s="69"/>
    </row>
    <row r="51" spans="1:18" x14ac:dyDescent="0.2">
      <c r="E51" s="6"/>
      <c r="F51" s="41"/>
      <c r="G51" s="41"/>
      <c r="I51" s="41"/>
      <c r="J51" s="41"/>
      <c r="K51" s="41"/>
      <c r="L51" s="26"/>
      <c r="M51" s="26"/>
      <c r="N51" s="26"/>
    </row>
    <row r="52" spans="1:18" x14ac:dyDescent="0.2">
      <c r="E52" s="6"/>
      <c r="F52" s="41"/>
      <c r="G52" s="41"/>
      <c r="I52" s="41"/>
      <c r="J52" s="41"/>
      <c r="K52" s="41"/>
      <c r="L52" s="26"/>
      <c r="M52" s="26"/>
      <c r="N52" s="26"/>
    </row>
    <row r="53" spans="1:18" x14ac:dyDescent="0.2">
      <c r="A53" s="57">
        <v>8</v>
      </c>
      <c r="B53" s="58" t="s">
        <v>74</v>
      </c>
      <c r="C53" s="57"/>
      <c r="D53" s="29">
        <v>14.5</v>
      </c>
      <c r="E53" s="53" t="s">
        <v>53</v>
      </c>
      <c r="F53" s="23">
        <v>6.35</v>
      </c>
      <c r="G53" s="21">
        <f>(F53-((H54+H55+H56)/5))</f>
        <v>3.0719999999999987</v>
      </c>
      <c r="H53" s="22" t="s">
        <v>54</v>
      </c>
      <c r="I53" s="53">
        <f>(($B$2/(10*24))*D53)</f>
        <v>9666.6666666666661</v>
      </c>
      <c r="J53" s="28">
        <f>G53*$B$3*I53</f>
        <v>34150.39999999998</v>
      </c>
      <c r="K53" s="59">
        <f>SUM(J53, J54, (J55), J56, F57)</f>
        <v>64540.39999999998</v>
      </c>
      <c r="L53" s="62">
        <f>SUM(J53, J54, J55, J56, F57, F58)/5</f>
        <v>13682.564799999996</v>
      </c>
      <c r="M53" s="62">
        <f>SUM(J53, J54, (J55*0.5), J56, F57, F58)/5</f>
        <v>11281.064799999996</v>
      </c>
      <c r="N53" s="62">
        <f>((SUM(J53, J54, J56, F57, F58)*1.4)+J55)/5</f>
        <v>17234.390719999992</v>
      </c>
      <c r="Q53" s="69" t="e" vm="7">
        <v>#VALUE!</v>
      </c>
    </row>
    <row r="54" spans="1:18" x14ac:dyDescent="0.2">
      <c r="A54" s="57"/>
      <c r="B54" s="58"/>
      <c r="C54" s="57"/>
      <c r="E54" s="21" t="s">
        <v>55</v>
      </c>
      <c r="F54" s="53" t="s">
        <v>54</v>
      </c>
      <c r="G54" s="53" t="s">
        <v>54</v>
      </c>
      <c r="H54" s="24">
        <v>0.17</v>
      </c>
      <c r="I54" s="24">
        <v>18000</v>
      </c>
      <c r="J54" s="22">
        <f>H54*I54</f>
        <v>3060</v>
      </c>
      <c r="K54" s="60"/>
      <c r="L54" s="62"/>
      <c r="M54" s="62"/>
      <c r="N54" s="62"/>
      <c r="Q54" s="69"/>
    </row>
    <row r="55" spans="1:18" x14ac:dyDescent="0.2">
      <c r="A55" s="57"/>
      <c r="B55" s="58"/>
      <c r="C55" s="57"/>
      <c r="E55" s="22" t="s">
        <v>75</v>
      </c>
      <c r="F55" s="53" t="s">
        <v>54</v>
      </c>
      <c r="G55" s="53" t="s">
        <v>54</v>
      </c>
      <c r="H55" s="24">
        <v>16.010000000000002</v>
      </c>
      <c r="I55" s="25">
        <v>1500</v>
      </c>
      <c r="J55" s="22">
        <f>H55*I55</f>
        <v>24015.000000000004</v>
      </c>
      <c r="K55" s="60"/>
      <c r="L55" s="62"/>
      <c r="M55" s="62"/>
      <c r="N55" s="62"/>
      <c r="Q55" s="69"/>
    </row>
    <row r="56" spans="1:18" x14ac:dyDescent="0.2">
      <c r="A56" s="57"/>
      <c r="B56" s="58"/>
      <c r="C56" s="57"/>
      <c r="E56" s="22" t="s">
        <v>76</v>
      </c>
      <c r="F56" s="53" t="s">
        <v>54</v>
      </c>
      <c r="G56" s="53" t="s">
        <v>54</v>
      </c>
      <c r="H56" s="24">
        <v>0.21</v>
      </c>
      <c r="I56" s="25">
        <v>1500</v>
      </c>
      <c r="J56" s="22">
        <f>H56*I56</f>
        <v>315</v>
      </c>
      <c r="K56" s="60"/>
      <c r="L56" s="62"/>
      <c r="M56" s="62"/>
      <c r="N56" s="62"/>
      <c r="Q56" s="69"/>
    </row>
    <row r="57" spans="1:18" x14ac:dyDescent="0.2">
      <c r="A57" s="57"/>
      <c r="B57" s="58"/>
      <c r="C57" s="57"/>
      <c r="E57" s="22" t="s">
        <v>57</v>
      </c>
      <c r="F57" s="57">
        <v>3000</v>
      </c>
      <c r="G57" s="57"/>
      <c r="H57" s="57"/>
      <c r="I57" s="57"/>
      <c r="J57" s="57"/>
      <c r="K57" s="60"/>
      <c r="L57" s="62"/>
      <c r="M57" s="62"/>
      <c r="N57" s="62"/>
      <c r="Q57" s="69"/>
    </row>
    <row r="58" spans="1:18" x14ac:dyDescent="0.2">
      <c r="A58" s="57"/>
      <c r="B58" s="58"/>
      <c r="C58" s="57"/>
      <c r="E58" s="22" t="s">
        <v>58</v>
      </c>
      <c r="F58" s="63">
        <f>K53*VLOOKUP(K53, 'rates tk'!$B$5:$C$10, 2, TRUE)</f>
        <v>3872.4239999999986</v>
      </c>
      <c r="G58" s="64"/>
      <c r="H58" s="64"/>
      <c r="I58" s="64"/>
      <c r="J58" s="65"/>
      <c r="K58" s="61"/>
      <c r="L58" s="62"/>
      <c r="M58" s="62"/>
      <c r="N58" s="62"/>
      <c r="Q58" s="69"/>
    </row>
    <row r="59" spans="1:18" x14ac:dyDescent="0.2">
      <c r="E59" s="6"/>
      <c r="F59" s="41"/>
      <c r="G59" s="41"/>
      <c r="I59" s="41"/>
      <c r="J59" s="41"/>
      <c r="K59" s="41"/>
      <c r="L59" s="26"/>
      <c r="M59" s="26"/>
      <c r="N59" s="26"/>
    </row>
    <row r="60" spans="1:18" x14ac:dyDescent="0.2">
      <c r="E60" s="6"/>
      <c r="F60" s="41"/>
      <c r="G60" s="41"/>
      <c r="I60" s="41"/>
      <c r="J60" s="41"/>
      <c r="K60" s="41"/>
      <c r="L60" s="26"/>
      <c r="M60" s="26"/>
      <c r="N60" s="26"/>
    </row>
    <row r="61" spans="1:18" x14ac:dyDescent="0.2">
      <c r="A61" s="57">
        <v>11</v>
      </c>
      <c r="B61" s="58" t="s">
        <v>77</v>
      </c>
      <c r="C61" s="57"/>
      <c r="D61" s="29">
        <v>14.5</v>
      </c>
      <c r="E61" s="53" t="s">
        <v>53</v>
      </c>
      <c r="F61" s="23">
        <v>10.427</v>
      </c>
      <c r="G61" s="21">
        <f>(F61-((H62)/5))</f>
        <v>9.222999999999999</v>
      </c>
      <c r="H61" s="22" t="s">
        <v>54</v>
      </c>
      <c r="I61" s="53">
        <f>(($B$2/(10*24))*D61)</f>
        <v>9666.6666666666661</v>
      </c>
      <c r="J61" s="28">
        <f>G61*$B$3*I61</f>
        <v>102529.01666666665</v>
      </c>
      <c r="K61" s="59">
        <f>SUM(J61, J62, F63)</f>
        <v>230929.01666666663</v>
      </c>
      <c r="L61" s="66">
        <f>SUM(J61, J62, F63, F64)/5</f>
        <v>48033.235466666658</v>
      </c>
      <c r="M61" s="76"/>
      <c r="N61" s="62">
        <f>L61*1.4</f>
        <v>67246.529653333317</v>
      </c>
      <c r="P61" s="69" t="e" vm="8">
        <v>#VALUE!</v>
      </c>
      <c r="Q61" s="69"/>
      <c r="R61" s="69"/>
    </row>
    <row r="62" spans="1:18" x14ac:dyDescent="0.2">
      <c r="A62" s="57"/>
      <c r="B62" s="58"/>
      <c r="C62" s="57"/>
      <c r="E62" s="21" t="s">
        <v>55</v>
      </c>
      <c r="F62" s="53" t="s">
        <v>54</v>
      </c>
      <c r="G62" s="53" t="s">
        <v>54</v>
      </c>
      <c r="H62" s="24">
        <v>6.02</v>
      </c>
      <c r="I62" s="24">
        <v>20000</v>
      </c>
      <c r="J62" s="22">
        <f>H62*I62</f>
        <v>120399.99999999999</v>
      </c>
      <c r="K62" s="60"/>
      <c r="L62" s="67"/>
      <c r="M62" s="77"/>
      <c r="N62" s="62"/>
      <c r="P62" s="69"/>
      <c r="Q62" s="69"/>
      <c r="R62" s="69"/>
    </row>
    <row r="63" spans="1:18" x14ac:dyDescent="0.2">
      <c r="A63" s="57"/>
      <c r="B63" s="58"/>
      <c r="C63" s="57"/>
      <c r="E63" s="22" t="s">
        <v>57</v>
      </c>
      <c r="F63" s="57">
        <v>8000</v>
      </c>
      <c r="G63" s="57"/>
      <c r="H63" s="57"/>
      <c r="I63" s="57"/>
      <c r="J63" s="57"/>
      <c r="K63" s="60"/>
      <c r="L63" s="67"/>
      <c r="M63" s="77"/>
      <c r="N63" s="62"/>
      <c r="P63" s="69"/>
      <c r="Q63" s="69"/>
      <c r="R63" s="69"/>
    </row>
    <row r="64" spans="1:18" x14ac:dyDescent="0.2">
      <c r="A64" s="57"/>
      <c r="B64" s="58"/>
      <c r="C64" s="57"/>
      <c r="E64" s="22" t="s">
        <v>58</v>
      </c>
      <c r="F64" s="63">
        <f>K61*VLOOKUP(K61, 'rates tk'!$B$5:$C$10, 2, TRUE)</f>
        <v>9237.1606666666648</v>
      </c>
      <c r="G64" s="64"/>
      <c r="H64" s="64"/>
      <c r="I64" s="64"/>
      <c r="J64" s="65"/>
      <c r="K64" s="61"/>
      <c r="L64" s="68"/>
      <c r="M64" s="78"/>
      <c r="N64" s="62"/>
      <c r="P64" s="69"/>
      <c r="Q64" s="69"/>
      <c r="R64" s="69"/>
    </row>
    <row r="65" spans="1:18" x14ac:dyDescent="0.2">
      <c r="E65" s="6"/>
      <c r="L65" s="26"/>
      <c r="M65" s="26"/>
      <c r="N65" s="26"/>
    </row>
    <row r="66" spans="1:18" x14ac:dyDescent="0.2">
      <c r="E66" s="6"/>
      <c r="L66" s="26"/>
      <c r="M66" s="26"/>
      <c r="N66" s="26"/>
    </row>
    <row r="67" spans="1:18" x14ac:dyDescent="0.2">
      <c r="E67" s="6"/>
      <c r="L67" s="26"/>
      <c r="M67" s="26"/>
      <c r="N67" s="26"/>
    </row>
    <row r="68" spans="1:18" x14ac:dyDescent="0.2">
      <c r="A68" s="57">
        <v>13</v>
      </c>
      <c r="B68" s="58" t="s">
        <v>78</v>
      </c>
      <c r="C68" s="57"/>
      <c r="D68" s="29">
        <v>14.5</v>
      </c>
      <c r="E68" s="53" t="s">
        <v>53</v>
      </c>
      <c r="F68" s="23">
        <v>3.7360000000000002</v>
      </c>
      <c r="G68" s="21">
        <f>(F68-((H69+H70)/5))</f>
        <v>2.9020000000000001</v>
      </c>
      <c r="H68" s="22" t="s">
        <v>54</v>
      </c>
      <c r="I68" s="53">
        <f>(($B$2/(10*24))*D68)</f>
        <v>9666.6666666666661</v>
      </c>
      <c r="J68" s="28">
        <f>G68*$B$3*I68</f>
        <v>32260.566666666666</v>
      </c>
      <c r="K68" s="59"/>
      <c r="L68" s="62">
        <f>SUM(J68, J69,J70, F71, F72)/5</f>
        <v>28534.113333333331</v>
      </c>
      <c r="M68" s="62">
        <f>SUM(J68, J69,(J70*0.5), F71, F72)/5</f>
        <v>21933.113333333335</v>
      </c>
      <c r="N68" s="62">
        <f>((SUM(J68, J69,F71, F72)*1.4)+J70)/5</f>
        <v>34666.958666666666</v>
      </c>
      <c r="Q68" s="69" t="e" vm="9">
        <v>#VALUE!</v>
      </c>
    </row>
    <row r="69" spans="1:18" x14ac:dyDescent="0.2">
      <c r="A69" s="57"/>
      <c r="B69" s="58"/>
      <c r="C69" s="57"/>
      <c r="E69" s="21" t="s">
        <v>55</v>
      </c>
      <c r="F69" s="53" t="s">
        <v>54</v>
      </c>
      <c r="G69" s="53" t="s">
        <v>54</v>
      </c>
      <c r="H69" s="24">
        <v>1.3</v>
      </c>
      <c r="I69" s="24">
        <v>28000</v>
      </c>
      <c r="J69" s="22">
        <f>H69*I69</f>
        <v>36400</v>
      </c>
      <c r="K69" s="60"/>
      <c r="L69" s="62"/>
      <c r="M69" s="62"/>
      <c r="N69" s="62"/>
      <c r="Q69" s="69"/>
    </row>
    <row r="70" spans="1:18" x14ac:dyDescent="0.2">
      <c r="A70" s="57"/>
      <c r="B70" s="58"/>
      <c r="C70" s="57"/>
      <c r="E70" s="21" t="s">
        <v>56</v>
      </c>
      <c r="F70" s="53"/>
      <c r="G70" s="53"/>
      <c r="H70" s="24">
        <v>2.87</v>
      </c>
      <c r="I70" s="24">
        <v>23000</v>
      </c>
      <c r="J70" s="22">
        <f>H70*I70</f>
        <v>66010</v>
      </c>
      <c r="K70" s="60"/>
      <c r="L70" s="62"/>
      <c r="M70" s="62"/>
      <c r="N70" s="62"/>
      <c r="Q70" s="69"/>
    </row>
    <row r="71" spans="1:18" x14ac:dyDescent="0.2">
      <c r="A71" s="57"/>
      <c r="B71" s="58"/>
      <c r="C71" s="57"/>
      <c r="E71" s="22" t="s">
        <v>57</v>
      </c>
      <c r="F71" s="57">
        <v>3000</v>
      </c>
      <c r="G71" s="57"/>
      <c r="H71" s="57"/>
      <c r="I71" s="57"/>
      <c r="J71" s="57"/>
      <c r="K71" s="60"/>
      <c r="L71" s="62"/>
      <c r="M71" s="62"/>
      <c r="N71" s="62"/>
      <c r="Q71" s="69"/>
    </row>
    <row r="72" spans="1:18" x14ac:dyDescent="0.2">
      <c r="A72" s="57"/>
      <c r="B72" s="58"/>
      <c r="C72" s="57"/>
      <c r="E72" s="22" t="s">
        <v>58</v>
      </c>
      <c r="F72" s="57">
        <v>5000</v>
      </c>
      <c r="G72" s="57"/>
      <c r="H72" s="57"/>
      <c r="I72" s="57"/>
      <c r="J72" s="57"/>
      <c r="K72" s="61"/>
      <c r="L72" s="62"/>
      <c r="M72" s="62"/>
      <c r="N72" s="62"/>
      <c r="Q72" s="69"/>
    </row>
    <row r="73" spans="1:18" x14ac:dyDescent="0.2">
      <c r="E73" s="6"/>
      <c r="L73" s="26"/>
      <c r="M73" s="26"/>
      <c r="N73" s="26"/>
    </row>
    <row r="74" spans="1:18" x14ac:dyDescent="0.2">
      <c r="E74" s="6"/>
      <c r="L74" s="26"/>
      <c r="M74" s="26"/>
      <c r="N74" s="26"/>
    </row>
    <row r="75" spans="1:18" x14ac:dyDescent="0.2">
      <c r="E75" s="6"/>
      <c r="L75" s="26"/>
      <c r="M75" s="26"/>
      <c r="N75" s="26"/>
    </row>
    <row r="76" spans="1:18" x14ac:dyDescent="0.2">
      <c r="A76" s="57">
        <v>14</v>
      </c>
      <c r="B76" s="58" t="s">
        <v>79</v>
      </c>
      <c r="C76" s="57"/>
      <c r="D76" s="29">
        <v>14.5</v>
      </c>
      <c r="E76" s="53" t="s">
        <v>53</v>
      </c>
      <c r="F76" s="23">
        <v>47.082999999999998</v>
      </c>
      <c r="G76" s="21">
        <f>(F76-((H78+H79+H77)/5))</f>
        <v>35.082999999999998</v>
      </c>
      <c r="H76" s="22" t="s">
        <v>54</v>
      </c>
      <c r="I76" s="53">
        <f>(($B$2/(10*24))*D76)</f>
        <v>9666.6666666666661</v>
      </c>
      <c r="J76" s="22">
        <f>G76*$B$3*I76</f>
        <v>390006.01666666655</v>
      </c>
      <c r="K76" s="59">
        <f>SUM(J76, J78, (J79), F80 )</f>
        <v>1404066.0166666666</v>
      </c>
      <c r="L76" s="62">
        <f>SUM(J76, J78, J79, F80, F81)/5</f>
        <v>286429.46739999996</v>
      </c>
      <c r="M76" s="62">
        <f>SUM(J76, J78, (J79*0.5), F80, F81)/5</f>
        <v>196393.46739999999</v>
      </c>
      <c r="N76" s="62">
        <f>((SUM(J76, J78, F80, F81)*1.4)+J79)/5</f>
        <v>328972.45435999997</v>
      </c>
      <c r="P76" s="69" t="e" vm="10">
        <v>#VALUE!</v>
      </c>
      <c r="Q76" s="69"/>
      <c r="R76" s="69"/>
    </row>
    <row r="77" spans="1:18" x14ac:dyDescent="0.2">
      <c r="A77" s="57"/>
      <c r="B77" s="58"/>
      <c r="C77" s="57"/>
      <c r="E77" s="53" t="s">
        <v>28</v>
      </c>
      <c r="F77" s="45"/>
      <c r="G77" s="21"/>
      <c r="H77" s="24">
        <v>3.2</v>
      </c>
      <c r="I77" s="24">
        <v>0</v>
      </c>
      <c r="J77" s="22"/>
      <c r="K77" s="60"/>
      <c r="L77" s="62"/>
      <c r="M77" s="62"/>
      <c r="N77" s="62"/>
      <c r="P77" s="69"/>
      <c r="Q77" s="69"/>
      <c r="R77" s="69"/>
    </row>
    <row r="78" spans="1:18" x14ac:dyDescent="0.2">
      <c r="A78" s="57"/>
      <c r="B78" s="58"/>
      <c r="C78" s="57"/>
      <c r="E78" s="21" t="s">
        <v>76</v>
      </c>
      <c r="F78" s="53" t="s">
        <v>54</v>
      </c>
      <c r="G78" s="53" t="s">
        <v>54</v>
      </c>
      <c r="H78" s="24">
        <v>6.78</v>
      </c>
      <c r="I78" s="24">
        <v>15000</v>
      </c>
      <c r="J78" s="22">
        <f>H78*I78</f>
        <v>101700</v>
      </c>
      <c r="K78" s="60"/>
      <c r="L78" s="62"/>
      <c r="M78" s="62"/>
      <c r="N78" s="62"/>
      <c r="P78" s="69"/>
      <c r="Q78" s="69"/>
      <c r="R78" s="69"/>
    </row>
    <row r="79" spans="1:18" x14ac:dyDescent="0.2">
      <c r="A79" s="57"/>
      <c r="B79" s="58"/>
      <c r="C79" s="57"/>
      <c r="E79" s="22" t="s">
        <v>56</v>
      </c>
      <c r="F79" s="53" t="s">
        <v>54</v>
      </c>
      <c r="G79" s="53" t="s">
        <v>54</v>
      </c>
      <c r="H79" s="24">
        <v>50.02</v>
      </c>
      <c r="I79" s="25">
        <v>18000</v>
      </c>
      <c r="J79" s="22">
        <f>H79*I79</f>
        <v>900360</v>
      </c>
      <c r="K79" s="60"/>
      <c r="L79" s="62"/>
      <c r="M79" s="62"/>
      <c r="N79" s="62"/>
      <c r="P79" s="69"/>
      <c r="Q79" s="69"/>
      <c r="R79" s="69"/>
    </row>
    <row r="80" spans="1:18" x14ac:dyDescent="0.2">
      <c r="A80" s="57"/>
      <c r="B80" s="58"/>
      <c r="C80" s="57"/>
      <c r="E80" s="22" t="s">
        <v>57</v>
      </c>
      <c r="F80" s="57">
        <v>12000</v>
      </c>
      <c r="G80" s="57"/>
      <c r="H80" s="57"/>
      <c r="I80" s="57"/>
      <c r="J80" s="57"/>
      <c r="K80" s="60"/>
      <c r="L80" s="62"/>
      <c r="M80" s="62"/>
      <c r="N80" s="62"/>
      <c r="P80" s="69"/>
      <c r="Q80" s="69"/>
      <c r="R80" s="69"/>
    </row>
    <row r="81" spans="1:18" x14ac:dyDescent="0.2">
      <c r="A81" s="57"/>
      <c r="B81" s="58"/>
      <c r="C81" s="57"/>
      <c r="E81" s="22" t="s">
        <v>58</v>
      </c>
      <c r="F81" s="63">
        <f>K76*VLOOKUP(K76, 'rates tk'!$B$5:$C$10, 2, TRUE)</f>
        <v>28081.320333333333</v>
      </c>
      <c r="G81" s="64"/>
      <c r="H81" s="64"/>
      <c r="I81" s="64"/>
      <c r="J81" s="65"/>
      <c r="K81" s="61"/>
      <c r="L81" s="62"/>
      <c r="M81" s="62"/>
      <c r="N81" s="62"/>
      <c r="P81" s="69"/>
      <c r="Q81" s="69"/>
      <c r="R81" s="69"/>
    </row>
    <row r="82" spans="1:18" x14ac:dyDescent="0.2">
      <c r="E82" s="6"/>
      <c r="L82" s="26"/>
      <c r="M82" s="26"/>
      <c r="N82" s="26"/>
    </row>
    <row r="83" spans="1:18" x14ac:dyDescent="0.2">
      <c r="A83" s="57">
        <v>18</v>
      </c>
      <c r="B83" s="58" t="s">
        <v>80</v>
      </c>
      <c r="C83" s="57"/>
      <c r="D83" s="29">
        <v>14.5</v>
      </c>
      <c r="E83" s="53" t="s">
        <v>53</v>
      </c>
      <c r="F83" s="23">
        <v>9.32</v>
      </c>
      <c r="G83" s="21">
        <f>(F83-((H84+H85+H86)/5))</f>
        <v>6.8720000000000008</v>
      </c>
      <c r="H83" s="22" t="s">
        <v>54</v>
      </c>
      <c r="I83" s="53">
        <f>(($B$2/(10*24))*D83)</f>
        <v>9666.6666666666661</v>
      </c>
      <c r="J83" s="22">
        <f>G83*$B$3*I83</f>
        <v>76393.733333333323</v>
      </c>
      <c r="K83" s="59">
        <f>SUM(J83, J84, (J85), J86, F87)</f>
        <v>424113.73333333334</v>
      </c>
      <c r="L83" s="62">
        <f>SUM(J83, J84, J85, J86, F87, F88)/5</f>
        <v>87367.429066666664</v>
      </c>
      <c r="M83" s="62">
        <f>SUM(J83, J84, (J85*0.5), J86, F87, F88)/5</f>
        <v>61439.429066666671</v>
      </c>
      <c r="N83" s="62">
        <f>((SUM(J83, J84, J86, F87, F88)*1.4)+J85)/5</f>
        <v>101572.00069333334</v>
      </c>
      <c r="Q83" s="69" t="e" vm="11">
        <v>#VALUE!</v>
      </c>
    </row>
    <row r="84" spans="1:18" x14ac:dyDescent="0.2">
      <c r="A84" s="57"/>
      <c r="B84" s="58"/>
      <c r="C84" s="57"/>
      <c r="E84" s="21" t="s">
        <v>81</v>
      </c>
      <c r="F84" s="53" t="s">
        <v>54</v>
      </c>
      <c r="G84" s="53" t="s">
        <v>54</v>
      </c>
      <c r="H84" s="24">
        <v>2.61</v>
      </c>
      <c r="I84" s="24">
        <v>28000</v>
      </c>
      <c r="J84" s="22">
        <f>H84*I84</f>
        <v>73080</v>
      </c>
      <c r="K84" s="60"/>
      <c r="L84" s="62"/>
      <c r="M84" s="62"/>
      <c r="N84" s="62"/>
      <c r="Q84" s="69"/>
      <c r="R84" s="16"/>
    </row>
    <row r="85" spans="1:18" x14ac:dyDescent="0.2">
      <c r="A85" s="57"/>
      <c r="B85" s="58"/>
      <c r="C85" s="57"/>
      <c r="E85" s="22" t="s">
        <v>56</v>
      </c>
      <c r="F85" s="53" t="s">
        <v>54</v>
      </c>
      <c r="G85" s="53" t="s">
        <v>54</v>
      </c>
      <c r="H85" s="24">
        <v>9.26</v>
      </c>
      <c r="I85" s="25">
        <v>28000</v>
      </c>
      <c r="J85" s="22">
        <f>H85*I85</f>
        <v>259280</v>
      </c>
      <c r="K85" s="60"/>
      <c r="L85" s="62"/>
      <c r="M85" s="62"/>
      <c r="N85" s="62"/>
      <c r="Q85" s="69"/>
      <c r="R85" s="16"/>
    </row>
    <row r="86" spans="1:18" x14ac:dyDescent="0.2">
      <c r="A86" s="57"/>
      <c r="B86" s="58"/>
      <c r="C86" s="57"/>
      <c r="E86" s="22" t="s">
        <v>82</v>
      </c>
      <c r="F86" s="53" t="s">
        <v>54</v>
      </c>
      <c r="G86" s="53" t="s">
        <v>54</v>
      </c>
      <c r="H86" s="24">
        <v>0.37</v>
      </c>
      <c r="I86" s="25">
        <v>28000</v>
      </c>
      <c r="J86" s="22">
        <f>H86*I86</f>
        <v>10360</v>
      </c>
      <c r="K86" s="60"/>
      <c r="L86" s="62"/>
      <c r="M86" s="62"/>
      <c r="N86" s="62"/>
      <c r="Q86" s="69"/>
      <c r="R86" s="16"/>
    </row>
    <row r="87" spans="1:18" x14ac:dyDescent="0.2">
      <c r="A87" s="57"/>
      <c r="B87" s="58"/>
      <c r="C87" s="57"/>
      <c r="E87" s="22" t="s">
        <v>57</v>
      </c>
      <c r="F87" s="57">
        <v>5000</v>
      </c>
      <c r="G87" s="57"/>
      <c r="H87" s="57"/>
      <c r="I87" s="57"/>
      <c r="J87" s="57"/>
      <c r="K87" s="60"/>
      <c r="L87" s="62"/>
      <c r="M87" s="62"/>
      <c r="N87" s="62"/>
      <c r="Q87" s="69"/>
      <c r="R87" s="16"/>
    </row>
    <row r="88" spans="1:18" x14ac:dyDescent="0.2">
      <c r="A88" s="57"/>
      <c r="B88" s="58"/>
      <c r="C88" s="57"/>
      <c r="E88" s="22" t="s">
        <v>58</v>
      </c>
      <c r="F88" s="63">
        <f>K83*VLOOKUP(K83, 'rates tk'!$B$5:$C$10, 2, TRUE)</f>
        <v>12723.412</v>
      </c>
      <c r="G88" s="64"/>
      <c r="H88" s="64"/>
      <c r="I88" s="64"/>
      <c r="J88" s="65"/>
      <c r="K88" s="61"/>
      <c r="L88" s="62"/>
      <c r="M88" s="62"/>
      <c r="N88" s="62"/>
      <c r="Q88" s="69"/>
      <c r="R88" s="16"/>
    </row>
    <row r="89" spans="1:18" x14ac:dyDescent="0.2">
      <c r="L89" s="26"/>
      <c r="M89" s="26"/>
      <c r="N89" s="26"/>
    </row>
    <row r="91" spans="1:18" x14ac:dyDescent="0.2">
      <c r="A91" s="57"/>
      <c r="B91" s="58" t="s">
        <v>83</v>
      </c>
      <c r="C91" s="57"/>
      <c r="D91" s="29">
        <v>14.5</v>
      </c>
      <c r="E91" s="53" t="s">
        <v>53</v>
      </c>
      <c r="F91" s="23">
        <v>19.21</v>
      </c>
      <c r="G91" s="21">
        <f>(F91-((H92+H93+H94)/5))</f>
        <v>16.832000000000001</v>
      </c>
      <c r="H91" s="22" t="s">
        <v>54</v>
      </c>
      <c r="I91" s="53">
        <f>(($B$2/(10*24))*D91)</f>
        <v>9666.6666666666661</v>
      </c>
      <c r="J91" s="22">
        <f>G91*$B$3*I91</f>
        <v>187115.73333333331</v>
      </c>
      <c r="K91" s="59">
        <f>SUM(J91:J94, F95)</f>
        <v>299855.73333333328</v>
      </c>
      <c r="L91" s="66">
        <f>SUM(J91, J93, J94, F95, F96)/5</f>
        <v>62369.992533333323</v>
      </c>
      <c r="M91" s="76"/>
      <c r="N91" s="62">
        <f>L91*1.4</f>
        <v>87317.989546666649</v>
      </c>
      <c r="Q91" s="69"/>
    </row>
    <row r="92" spans="1:18" x14ac:dyDescent="0.2">
      <c r="A92" s="57"/>
      <c r="B92" s="58"/>
      <c r="C92" s="57"/>
      <c r="E92" s="53" t="s">
        <v>84</v>
      </c>
      <c r="F92" s="53"/>
      <c r="G92" s="53"/>
      <c r="H92" s="25">
        <v>7.44</v>
      </c>
      <c r="I92" s="25">
        <v>12000</v>
      </c>
      <c r="J92" s="53"/>
      <c r="K92" s="60"/>
      <c r="L92" s="67"/>
      <c r="M92" s="77"/>
      <c r="N92" s="62"/>
      <c r="Q92" s="69"/>
    </row>
    <row r="93" spans="1:18" x14ac:dyDescent="0.2">
      <c r="A93" s="57"/>
      <c r="B93" s="58"/>
      <c r="C93" s="57"/>
      <c r="E93" s="22" t="s">
        <v>82</v>
      </c>
      <c r="F93" s="53" t="s">
        <v>54</v>
      </c>
      <c r="G93" s="53" t="s">
        <v>54</v>
      </c>
      <c r="H93" s="24">
        <v>1.34</v>
      </c>
      <c r="I93" s="27">
        <v>28000</v>
      </c>
      <c r="J93" s="22">
        <f>H93*I93</f>
        <v>37520</v>
      </c>
      <c r="K93" s="60"/>
      <c r="L93" s="67"/>
      <c r="M93" s="77"/>
      <c r="N93" s="62"/>
      <c r="Q93" s="69"/>
    </row>
    <row r="94" spans="1:18" x14ac:dyDescent="0.2">
      <c r="A94" s="57"/>
      <c r="B94" s="58"/>
      <c r="C94" s="57"/>
      <c r="E94" s="22" t="s">
        <v>55</v>
      </c>
      <c r="F94" s="53" t="s">
        <v>54</v>
      </c>
      <c r="G94" s="53" t="s">
        <v>54</v>
      </c>
      <c r="H94" s="24">
        <v>3.11</v>
      </c>
      <c r="I94" s="27">
        <v>22000</v>
      </c>
      <c r="J94" s="22">
        <f>H94*I94</f>
        <v>68420</v>
      </c>
      <c r="K94" s="60"/>
      <c r="L94" s="67"/>
      <c r="M94" s="77"/>
      <c r="N94" s="62"/>
      <c r="Q94" s="69"/>
    </row>
    <row r="95" spans="1:18" x14ac:dyDescent="0.2">
      <c r="A95" s="57"/>
      <c r="B95" s="58"/>
      <c r="C95" s="57"/>
      <c r="E95" s="22" t="s">
        <v>57</v>
      </c>
      <c r="F95" s="57">
        <v>6800</v>
      </c>
      <c r="G95" s="57"/>
      <c r="H95" s="57"/>
      <c r="I95" s="57"/>
      <c r="J95" s="57"/>
      <c r="K95" s="60"/>
      <c r="L95" s="67"/>
      <c r="M95" s="77"/>
      <c r="N95" s="62"/>
      <c r="Q95" s="69"/>
    </row>
    <row r="96" spans="1:18" x14ac:dyDescent="0.2">
      <c r="A96" s="57"/>
      <c r="B96" s="58"/>
      <c r="C96" s="57"/>
      <c r="E96" s="22" t="s">
        <v>58</v>
      </c>
      <c r="F96" s="63">
        <f>K91*VLOOKUP(K91, 'rates tk'!$B$5:$C$10, 2, TRUE)</f>
        <v>11994.229333333331</v>
      </c>
      <c r="G96" s="64"/>
      <c r="H96" s="64"/>
      <c r="I96" s="64"/>
      <c r="J96" s="65"/>
      <c r="K96" s="61"/>
      <c r="L96" s="68"/>
      <c r="M96" s="78"/>
      <c r="N96" s="62"/>
      <c r="Q96" s="69"/>
    </row>
    <row r="98" spans="1:14" x14ac:dyDescent="0.2">
      <c r="A98" s="57"/>
      <c r="B98" s="58" t="s">
        <v>85</v>
      </c>
      <c r="C98" s="57"/>
      <c r="D98" s="29">
        <v>14.5</v>
      </c>
      <c r="E98" s="53" t="s">
        <v>53</v>
      </c>
      <c r="F98" s="23">
        <v>8.25</v>
      </c>
      <c r="G98" s="21">
        <f>(F98-((SUM(H99:H103)/5)))</f>
        <v>6.766</v>
      </c>
      <c r="H98" s="22" t="s">
        <v>54</v>
      </c>
      <c r="I98" s="53">
        <f>(($B$2/(10*24))*D98)</f>
        <v>9666.6666666666661</v>
      </c>
      <c r="J98" s="22">
        <f>G98*$B$3*I98</f>
        <v>75215.366666666654</v>
      </c>
      <c r="K98" s="59">
        <f>SUM(J98:J103, F104)</f>
        <v>164563.36666666664</v>
      </c>
      <c r="L98" s="66">
        <f>SUM(J98:J102,J103, F104, F105)/5</f>
        <v>34229.180266666663</v>
      </c>
      <c r="M98" s="66">
        <f>SUM(J98:J102,(J103/2), F104, F105)/5</f>
        <v>30575.180266666663</v>
      </c>
      <c r="N98" s="62">
        <f>(SUM(J98,J99,J101,J102,F104,F105)*1.4+J103)/5</f>
        <v>44997.652373333331</v>
      </c>
    </row>
    <row r="99" spans="1:14" x14ac:dyDescent="0.2">
      <c r="A99" s="57"/>
      <c r="B99" s="58"/>
      <c r="C99" s="57"/>
      <c r="E99" s="53" t="s">
        <v>76</v>
      </c>
      <c r="F99" s="53"/>
      <c r="G99" s="53"/>
      <c r="H99" s="25">
        <v>0.93</v>
      </c>
      <c r="I99" s="25">
        <v>30000</v>
      </c>
      <c r="J99" s="22">
        <f>H99*I99</f>
        <v>27900</v>
      </c>
      <c r="K99" s="60"/>
      <c r="L99" s="67"/>
      <c r="M99" s="67"/>
      <c r="N99" s="62"/>
    </row>
    <row r="100" spans="1:14" x14ac:dyDescent="0.2">
      <c r="A100" s="57"/>
      <c r="B100" s="58"/>
      <c r="C100" s="57"/>
      <c r="E100" s="22" t="s">
        <v>28</v>
      </c>
      <c r="F100" s="53" t="s">
        <v>54</v>
      </c>
      <c r="G100" s="53" t="s">
        <v>54</v>
      </c>
      <c r="H100" s="24">
        <v>0.42</v>
      </c>
      <c r="I100" s="27">
        <v>0</v>
      </c>
      <c r="J100" s="22">
        <f t="shared" ref="J100:J103" si="0">H100*I100</f>
        <v>0</v>
      </c>
      <c r="K100" s="60"/>
      <c r="L100" s="67"/>
      <c r="M100" s="67"/>
      <c r="N100" s="62"/>
    </row>
    <row r="101" spans="1:14" x14ac:dyDescent="0.2">
      <c r="A101" s="57"/>
      <c r="B101" s="58"/>
      <c r="C101" s="57"/>
      <c r="E101" s="22" t="s">
        <v>73</v>
      </c>
      <c r="F101" s="53" t="s">
        <v>54</v>
      </c>
      <c r="G101" s="53" t="s">
        <v>54</v>
      </c>
      <c r="H101" s="24">
        <v>0.11</v>
      </c>
      <c r="I101" s="27">
        <v>22000</v>
      </c>
      <c r="J101" s="22">
        <f t="shared" si="0"/>
        <v>2420</v>
      </c>
      <c r="K101" s="60"/>
      <c r="L101" s="67"/>
      <c r="M101" s="67"/>
      <c r="N101" s="62"/>
    </row>
    <row r="102" spans="1:14" x14ac:dyDescent="0.2">
      <c r="A102" s="57"/>
      <c r="B102" s="58"/>
      <c r="C102" s="57"/>
      <c r="E102" s="22" t="s">
        <v>72</v>
      </c>
      <c r="F102" s="53" t="s">
        <v>54</v>
      </c>
      <c r="G102" s="53" t="s">
        <v>54</v>
      </c>
      <c r="H102" s="24">
        <v>0.74</v>
      </c>
      <c r="I102" s="27">
        <v>21200</v>
      </c>
      <c r="J102" s="22">
        <f t="shared" si="0"/>
        <v>15688</v>
      </c>
      <c r="K102" s="60"/>
      <c r="L102" s="67"/>
      <c r="M102" s="67"/>
      <c r="N102" s="62"/>
    </row>
    <row r="103" spans="1:14" x14ac:dyDescent="0.2">
      <c r="A103" s="57"/>
      <c r="B103" s="58"/>
      <c r="C103" s="57"/>
      <c r="E103" s="22" t="s">
        <v>86</v>
      </c>
      <c r="F103" s="53" t="s">
        <v>54</v>
      </c>
      <c r="G103" s="53" t="s">
        <v>54</v>
      </c>
      <c r="H103" s="24">
        <v>5.22</v>
      </c>
      <c r="I103" s="27">
        <v>7000</v>
      </c>
      <c r="J103" s="22">
        <f t="shared" si="0"/>
        <v>36540</v>
      </c>
      <c r="K103" s="60"/>
      <c r="L103" s="67"/>
      <c r="M103" s="67"/>
      <c r="N103" s="62"/>
    </row>
    <row r="104" spans="1:14" x14ac:dyDescent="0.2">
      <c r="A104" s="57"/>
      <c r="B104" s="58"/>
      <c r="C104" s="57"/>
      <c r="E104" s="22" t="s">
        <v>57</v>
      </c>
      <c r="F104" s="57">
        <v>6800</v>
      </c>
      <c r="G104" s="57"/>
      <c r="H104" s="57"/>
      <c r="I104" s="57"/>
      <c r="J104" s="57"/>
      <c r="K104" s="60"/>
      <c r="L104" s="67"/>
      <c r="M104" s="67"/>
      <c r="N104" s="62"/>
    </row>
    <row r="105" spans="1:14" x14ac:dyDescent="0.2">
      <c r="A105" s="57"/>
      <c r="B105" s="58"/>
      <c r="C105" s="57"/>
      <c r="E105" s="22" t="s">
        <v>58</v>
      </c>
      <c r="F105" s="63">
        <f>K98*VLOOKUP(K98, 'rates tk'!$B$5:$C$10, 2, TRUE)</f>
        <v>6582.5346666666655</v>
      </c>
      <c r="G105" s="64"/>
      <c r="H105" s="64"/>
      <c r="I105" s="64"/>
      <c r="J105" s="65"/>
      <c r="K105" s="61"/>
      <c r="L105" s="68"/>
      <c r="M105" s="68"/>
      <c r="N105" s="62"/>
    </row>
    <row r="109" spans="1:14" x14ac:dyDescent="0.2">
      <c r="K109" s="41">
        <f>SUM(L11, L17)</f>
        <v>468997.65866666666</v>
      </c>
    </row>
    <row r="111" spans="1:14" x14ac:dyDescent="0.2">
      <c r="M111" s="52"/>
    </row>
  </sheetData>
  <mergeCells count="123">
    <mergeCell ref="A91:A96"/>
    <mergeCell ref="B91:B96"/>
    <mergeCell ref="C91:C96"/>
    <mergeCell ref="K91:K96"/>
    <mergeCell ref="L91:M96"/>
    <mergeCell ref="N91:N96"/>
    <mergeCell ref="Q91:Q96"/>
    <mergeCell ref="F95:J95"/>
    <mergeCell ref="F96:J96"/>
    <mergeCell ref="M68:M72"/>
    <mergeCell ref="N68:N72"/>
    <mergeCell ref="F71:J71"/>
    <mergeCell ref="F72:J72"/>
    <mergeCell ref="Q68:Q72"/>
    <mergeCell ref="A32:A36"/>
    <mergeCell ref="B32:B36"/>
    <mergeCell ref="C32:C36"/>
    <mergeCell ref="A61:A64"/>
    <mergeCell ref="B61:B64"/>
    <mergeCell ref="C61:C64"/>
    <mergeCell ref="Q39:Q42"/>
    <mergeCell ref="Q53:Q58"/>
    <mergeCell ref="P61:R64"/>
    <mergeCell ref="N39:N42"/>
    <mergeCell ref="F41:J41"/>
    <mergeCell ref="A39:A42"/>
    <mergeCell ref="B39:B42"/>
    <mergeCell ref="C39:C42"/>
    <mergeCell ref="A53:A58"/>
    <mergeCell ref="B53:B58"/>
    <mergeCell ref="C53:C58"/>
    <mergeCell ref="L53:L58"/>
    <mergeCell ref="M53:M58"/>
    <mergeCell ref="Q11:Q15"/>
    <mergeCell ref="Q32:Q36"/>
    <mergeCell ref="N11:N15"/>
    <mergeCell ref="F14:J14"/>
    <mergeCell ref="A44:A50"/>
    <mergeCell ref="B44:B50"/>
    <mergeCell ref="C44:C50"/>
    <mergeCell ref="Q44:Q50"/>
    <mergeCell ref="N83:N88"/>
    <mergeCell ref="F87:J87"/>
    <mergeCell ref="F88:J88"/>
    <mergeCell ref="A83:A88"/>
    <mergeCell ref="B83:B88"/>
    <mergeCell ref="C83:C88"/>
    <mergeCell ref="L83:L88"/>
    <mergeCell ref="M83:M88"/>
    <mergeCell ref="A76:A81"/>
    <mergeCell ref="B76:B81"/>
    <mergeCell ref="C76:C81"/>
    <mergeCell ref="L76:L81"/>
    <mergeCell ref="M76:M81"/>
    <mergeCell ref="F81:J81"/>
    <mergeCell ref="K68:K72"/>
    <mergeCell ref="K76:K81"/>
    <mergeCell ref="A68:A72"/>
    <mergeCell ref="B68:B72"/>
    <mergeCell ref="C68:C72"/>
    <mergeCell ref="L68:L72"/>
    <mergeCell ref="F15:J15"/>
    <mergeCell ref="A11:A15"/>
    <mergeCell ref="B11:B15"/>
    <mergeCell ref="C11:C15"/>
    <mergeCell ref="L11:L15"/>
    <mergeCell ref="F63:J63"/>
    <mergeCell ref="F64:J64"/>
    <mergeCell ref="L44:L50"/>
    <mergeCell ref="F42:J42"/>
    <mergeCell ref="M11:M15"/>
    <mergeCell ref="B24:B29"/>
    <mergeCell ref="C24:C29"/>
    <mergeCell ref="N24:N29"/>
    <mergeCell ref="F28:J28"/>
    <mergeCell ref="F29:J29"/>
    <mergeCell ref="N32:N36"/>
    <mergeCell ref="F35:J35"/>
    <mergeCell ref="F36:J36"/>
    <mergeCell ref="M44:M50"/>
    <mergeCell ref="N44:N50"/>
    <mergeCell ref="F49:J49"/>
    <mergeCell ref="F50:J50"/>
    <mergeCell ref="K44:K50"/>
    <mergeCell ref="K53:K58"/>
    <mergeCell ref="K61:K64"/>
    <mergeCell ref="N53:N58"/>
    <mergeCell ref="F57:J57"/>
    <mergeCell ref="F58:J58"/>
    <mergeCell ref="N61:N64"/>
    <mergeCell ref="K83:K88"/>
    <mergeCell ref="K39:K42"/>
    <mergeCell ref="K32:K36"/>
    <mergeCell ref="K17:K21"/>
    <mergeCell ref="K11:K15"/>
    <mergeCell ref="K24:K29"/>
    <mergeCell ref="Q17:Q21"/>
    <mergeCell ref="Q24:Q29"/>
    <mergeCell ref="A17:A21"/>
    <mergeCell ref="B17:B21"/>
    <mergeCell ref="C17:C21"/>
    <mergeCell ref="L17:M21"/>
    <mergeCell ref="L24:M29"/>
    <mergeCell ref="L32:M36"/>
    <mergeCell ref="L39:M42"/>
    <mergeCell ref="L61:M64"/>
    <mergeCell ref="N17:N21"/>
    <mergeCell ref="F20:J20"/>
    <mergeCell ref="F21:J21"/>
    <mergeCell ref="A24:A29"/>
    <mergeCell ref="P76:R81"/>
    <mergeCell ref="Q83:Q88"/>
    <mergeCell ref="N76:N81"/>
    <mergeCell ref="F80:J80"/>
    <mergeCell ref="A98:A105"/>
    <mergeCell ref="B98:B105"/>
    <mergeCell ref="C98:C105"/>
    <mergeCell ref="K98:K105"/>
    <mergeCell ref="N98:N105"/>
    <mergeCell ref="F104:J104"/>
    <mergeCell ref="F105:J105"/>
    <mergeCell ref="L98:L105"/>
    <mergeCell ref="M98:M105"/>
  </mergeCells>
  <printOptions gridLine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3543D-27F0-3443-A500-C670CC0D7C96}">
  <dimension ref="A2:K36"/>
  <sheetViews>
    <sheetView topLeftCell="A4" workbookViewId="0">
      <selection activeCell="E41" sqref="E41"/>
    </sheetView>
  </sheetViews>
  <sheetFormatPr defaultColWidth="11.43359375" defaultRowHeight="15" x14ac:dyDescent="0.2"/>
  <cols>
    <col min="4" max="4" width="5.109375" bestFit="1" customWidth="1"/>
    <col min="5" max="5" width="12.10546875" bestFit="1" customWidth="1"/>
  </cols>
  <sheetData>
    <row r="2" spans="1:11" x14ac:dyDescent="0.2">
      <c r="B2">
        <v>122000</v>
      </c>
    </row>
    <row r="3" spans="1:11" x14ac:dyDescent="0.2">
      <c r="B3" s="4">
        <v>1.1499999999999999</v>
      </c>
    </row>
    <row r="5" spans="1:11" x14ac:dyDescent="0.2">
      <c r="F5" t="s">
        <v>87</v>
      </c>
      <c r="G5" t="s">
        <v>88</v>
      </c>
      <c r="H5" t="s">
        <v>89</v>
      </c>
      <c r="I5" t="s">
        <v>4</v>
      </c>
      <c r="J5" t="s">
        <v>90</v>
      </c>
      <c r="K5" t="s">
        <v>91</v>
      </c>
    </row>
    <row r="7" spans="1:11" x14ac:dyDescent="0.2">
      <c r="A7" s="57">
        <v>1</v>
      </c>
      <c r="B7" s="58" t="s">
        <v>92</v>
      </c>
      <c r="C7" s="57" t="s">
        <v>60</v>
      </c>
      <c r="D7" s="29">
        <v>14.5</v>
      </c>
      <c r="E7" s="53" t="s">
        <v>53</v>
      </c>
      <c r="F7" s="23">
        <v>29</v>
      </c>
      <c r="G7" s="21">
        <f>(F7-((H8)/5))</f>
        <v>27.588000000000001</v>
      </c>
      <c r="H7" s="53" t="s">
        <v>54</v>
      </c>
      <c r="I7" s="53">
        <f>(($B$2/(10*24))*D7)</f>
        <v>7370.833333333333</v>
      </c>
      <c r="J7" s="22">
        <f>G7*$B$3*I7</f>
        <v>233848.53249999997</v>
      </c>
      <c r="K7" s="62">
        <f>SUM(J7, J8, F9, F10)</f>
        <v>528388.53249999997</v>
      </c>
    </row>
    <row r="8" spans="1:11" ht="27.75" x14ac:dyDescent="0.2">
      <c r="A8" s="57"/>
      <c r="B8" s="58"/>
      <c r="C8" s="57"/>
      <c r="D8" s="5"/>
      <c r="E8" s="31" t="s">
        <v>93</v>
      </c>
      <c r="F8" s="53" t="s">
        <v>54</v>
      </c>
      <c r="G8" s="53" t="s">
        <v>54</v>
      </c>
      <c r="H8" s="24">
        <v>7.06</v>
      </c>
      <c r="I8" s="27">
        <v>39000</v>
      </c>
      <c r="J8" s="22">
        <f>H8*I8</f>
        <v>275340</v>
      </c>
      <c r="K8" s="62"/>
    </row>
    <row r="9" spans="1:11" x14ac:dyDescent="0.2">
      <c r="A9" s="57"/>
      <c r="B9" s="58"/>
      <c r="C9" s="57"/>
      <c r="D9" s="5"/>
      <c r="E9" s="22" t="s">
        <v>57</v>
      </c>
      <c r="F9" s="57">
        <v>8200</v>
      </c>
      <c r="G9" s="57"/>
      <c r="H9" s="57"/>
      <c r="I9" s="57"/>
      <c r="J9" s="57"/>
      <c r="K9" s="62"/>
    </row>
    <row r="10" spans="1:11" x14ac:dyDescent="0.2">
      <c r="A10" s="57"/>
      <c r="B10" s="58"/>
      <c r="C10" s="57"/>
      <c r="D10" s="5"/>
      <c r="E10" s="22" t="s">
        <v>58</v>
      </c>
      <c r="F10" s="57">
        <v>11000</v>
      </c>
      <c r="G10" s="57"/>
      <c r="H10" s="57"/>
      <c r="I10" s="57"/>
      <c r="J10" s="57"/>
      <c r="K10" s="62"/>
    </row>
    <row r="13" spans="1:11" x14ac:dyDescent="0.2">
      <c r="A13" s="57">
        <v>2</v>
      </c>
      <c r="B13" s="58" t="s">
        <v>94</v>
      </c>
      <c r="C13" s="57" t="s">
        <v>60</v>
      </c>
      <c r="D13" s="29">
        <v>14.5</v>
      </c>
      <c r="E13" s="53" t="s">
        <v>53</v>
      </c>
      <c r="F13" s="23">
        <v>8.44</v>
      </c>
      <c r="G13" s="21">
        <f>(F13-((H14+H15)/5))</f>
        <v>5.7879999999999994</v>
      </c>
      <c r="H13" s="53" t="s">
        <v>54</v>
      </c>
      <c r="I13" s="53">
        <f>(($B$2/(10*24))*D13)</f>
        <v>7370.833333333333</v>
      </c>
      <c r="J13" s="22">
        <f>G13*$B$3*I13</f>
        <v>49061.740833333322</v>
      </c>
      <c r="K13" s="62">
        <f>SUM(J13, J14, J15, F16, F17)</f>
        <v>559269.24083333334</v>
      </c>
    </row>
    <row r="14" spans="1:11" ht="27.75" x14ac:dyDescent="0.2">
      <c r="A14" s="57"/>
      <c r="B14" s="58"/>
      <c r="C14" s="57"/>
      <c r="D14" s="5"/>
      <c r="E14" s="31" t="s">
        <v>95</v>
      </c>
      <c r="F14" s="53" t="s">
        <v>54</v>
      </c>
      <c r="G14" s="53" t="s">
        <v>54</v>
      </c>
      <c r="H14" s="24">
        <v>3.71</v>
      </c>
      <c r="I14" s="27">
        <v>43250</v>
      </c>
      <c r="J14" s="22">
        <f>H14*I14</f>
        <v>160457.5</v>
      </c>
      <c r="K14" s="62"/>
    </row>
    <row r="15" spans="1:11" x14ac:dyDescent="0.2">
      <c r="A15" s="57"/>
      <c r="B15" s="58"/>
      <c r="C15" s="57"/>
      <c r="D15" s="5"/>
      <c r="E15" s="31" t="s">
        <v>56</v>
      </c>
      <c r="F15" s="53"/>
      <c r="G15" s="53"/>
      <c r="H15" s="24">
        <v>9.5500000000000007</v>
      </c>
      <c r="I15" s="27">
        <v>35000</v>
      </c>
      <c r="J15" s="22">
        <f>H15*I15</f>
        <v>334250</v>
      </c>
      <c r="K15" s="62"/>
    </row>
    <row r="16" spans="1:11" x14ac:dyDescent="0.2">
      <c r="A16" s="57"/>
      <c r="B16" s="58"/>
      <c r="C16" s="57"/>
      <c r="D16" s="5"/>
      <c r="E16" s="22" t="s">
        <v>57</v>
      </c>
      <c r="F16" s="57">
        <v>4500</v>
      </c>
      <c r="G16" s="57"/>
      <c r="H16" s="57"/>
      <c r="I16" s="57"/>
      <c r="J16" s="57"/>
      <c r="K16" s="62"/>
    </row>
    <row r="17" spans="1:11" x14ac:dyDescent="0.2">
      <c r="A17" s="57"/>
      <c r="B17" s="58"/>
      <c r="C17" s="57"/>
      <c r="D17" s="5"/>
      <c r="E17" s="22" t="s">
        <v>58</v>
      </c>
      <c r="F17" s="57">
        <v>11000</v>
      </c>
      <c r="G17" s="57"/>
      <c r="H17" s="57"/>
      <c r="I17" s="57"/>
      <c r="J17" s="57"/>
      <c r="K17" s="62"/>
    </row>
    <row r="20" spans="1:11" x14ac:dyDescent="0.2">
      <c r="A20" s="82">
        <v>3</v>
      </c>
      <c r="B20" s="85" t="s">
        <v>96</v>
      </c>
      <c r="C20" s="82" t="s">
        <v>60</v>
      </c>
      <c r="D20" s="32">
        <v>14.5</v>
      </c>
      <c r="E20" s="55" t="s">
        <v>53</v>
      </c>
      <c r="F20" s="33">
        <v>11.39</v>
      </c>
      <c r="G20" s="34">
        <f>(F20-((H21)/5))</f>
        <v>10.378</v>
      </c>
      <c r="H20" s="55" t="s">
        <v>54</v>
      </c>
      <c r="I20" s="55">
        <v>7370.8333300000004</v>
      </c>
      <c r="J20" s="22">
        <f>G20*$B$3*I20</f>
        <v>87968.684543551004</v>
      </c>
      <c r="K20" s="88">
        <f>SUM(J20, J21, F22, F23)</f>
        <v>297308.68454355095</v>
      </c>
    </row>
    <row r="21" spans="1:11" ht="27.75" x14ac:dyDescent="0.2">
      <c r="A21" s="83"/>
      <c r="B21" s="86"/>
      <c r="C21" s="83"/>
      <c r="D21" s="20"/>
      <c r="E21" s="35" t="s">
        <v>93</v>
      </c>
      <c r="F21" s="36" t="s">
        <v>54</v>
      </c>
      <c r="G21" s="36" t="s">
        <v>54</v>
      </c>
      <c r="H21" s="37">
        <v>5.0599999999999996</v>
      </c>
      <c r="I21" s="38">
        <v>39000</v>
      </c>
      <c r="J21" s="39">
        <f>H21*I21</f>
        <v>197339.99999999997</v>
      </c>
      <c r="K21" s="89"/>
    </row>
    <row r="22" spans="1:11" x14ac:dyDescent="0.2">
      <c r="A22" s="83"/>
      <c r="B22" s="86"/>
      <c r="C22" s="83"/>
      <c r="D22" s="20"/>
      <c r="E22" s="40" t="s">
        <v>57</v>
      </c>
      <c r="F22" s="91">
        <v>4000</v>
      </c>
      <c r="G22" s="92"/>
      <c r="H22" s="92"/>
      <c r="I22" s="92"/>
      <c r="J22" s="93"/>
      <c r="K22" s="89"/>
    </row>
    <row r="23" spans="1:11" x14ac:dyDescent="0.2">
      <c r="A23" s="84"/>
      <c r="B23" s="87"/>
      <c r="C23" s="84"/>
      <c r="D23" s="20"/>
      <c r="E23" s="40" t="s">
        <v>58</v>
      </c>
      <c r="F23" s="91">
        <v>8000</v>
      </c>
      <c r="G23" s="92"/>
      <c r="H23" s="92"/>
      <c r="I23" s="92"/>
      <c r="J23" s="93"/>
      <c r="K23" s="90"/>
    </row>
    <row r="26" spans="1:11" x14ac:dyDescent="0.2">
      <c r="A26" s="82">
        <v>4</v>
      </c>
      <c r="B26" s="85" t="s">
        <v>97</v>
      </c>
      <c r="C26" s="82" t="s">
        <v>60</v>
      </c>
      <c r="D26" s="32">
        <v>14.5</v>
      </c>
      <c r="E26" s="55" t="s">
        <v>53</v>
      </c>
      <c r="F26" s="33">
        <v>4.8019999999999996</v>
      </c>
      <c r="G26" s="34">
        <f>(F26-((H27)/5))</f>
        <v>4.3619999999999992</v>
      </c>
      <c r="H26" s="55" t="s">
        <v>54</v>
      </c>
      <c r="I26" s="55">
        <v>7370.8333300000004</v>
      </c>
      <c r="J26" s="22">
        <f>G26*$B$3*I26</f>
        <v>36974.31123327899</v>
      </c>
      <c r="K26" s="88">
        <f>SUM(J26, J27, F28, F29)</f>
        <v>308174.311233279</v>
      </c>
    </row>
    <row r="27" spans="1:11" x14ac:dyDescent="0.2">
      <c r="A27" s="83"/>
      <c r="B27" s="86"/>
      <c r="C27" s="83"/>
      <c r="D27" s="20"/>
      <c r="E27" s="35" t="s">
        <v>55</v>
      </c>
      <c r="F27" s="36" t="s">
        <v>54</v>
      </c>
      <c r="G27" s="36" t="s">
        <v>54</v>
      </c>
      <c r="H27" s="37">
        <v>2.2000000000000002</v>
      </c>
      <c r="I27" s="38">
        <v>120000</v>
      </c>
      <c r="J27" s="39">
        <f>H27*I27</f>
        <v>264000</v>
      </c>
      <c r="K27" s="89"/>
    </row>
    <row r="28" spans="1:11" x14ac:dyDescent="0.2">
      <c r="A28" s="83"/>
      <c r="B28" s="86"/>
      <c r="C28" s="83"/>
      <c r="D28" s="20"/>
      <c r="E28" s="40" t="s">
        <v>57</v>
      </c>
      <c r="F28" s="91">
        <v>2100</v>
      </c>
      <c r="G28" s="92"/>
      <c r="H28" s="92"/>
      <c r="I28" s="92"/>
      <c r="J28" s="93"/>
      <c r="K28" s="89"/>
    </row>
    <row r="29" spans="1:11" x14ac:dyDescent="0.2">
      <c r="A29" s="84"/>
      <c r="B29" s="87"/>
      <c r="C29" s="84"/>
      <c r="D29" s="20"/>
      <c r="E29" s="40" t="s">
        <v>58</v>
      </c>
      <c r="F29" s="91">
        <v>5100</v>
      </c>
      <c r="G29" s="92"/>
      <c r="H29" s="92"/>
      <c r="I29" s="92"/>
      <c r="J29" s="93"/>
      <c r="K29" s="90"/>
    </row>
    <row r="32" spans="1:11" ht="15" customHeight="1" x14ac:dyDescent="0.2">
      <c r="A32" s="57">
        <v>2</v>
      </c>
      <c r="B32" s="58" t="s">
        <v>98</v>
      </c>
      <c r="C32" s="57" t="s">
        <v>60</v>
      </c>
      <c r="D32" s="29">
        <v>14.5</v>
      </c>
      <c r="E32" s="53" t="s">
        <v>53</v>
      </c>
      <c r="F32" s="23">
        <v>4.8019999999999996</v>
      </c>
      <c r="G32" s="21">
        <f>(F32-((H33+H34)/5))</f>
        <v>3.9999999999999996</v>
      </c>
      <c r="H32" s="53" t="s">
        <v>54</v>
      </c>
      <c r="I32" s="53">
        <f>(($B$2/(10*24))*D32)</f>
        <v>7370.833333333333</v>
      </c>
      <c r="J32" s="22">
        <f>G32*$B$3*I32</f>
        <v>33905.833333333321</v>
      </c>
      <c r="K32" s="62">
        <f>SUM(J32, J33, J34, F35, F36)</f>
        <v>112225.83333333331</v>
      </c>
    </row>
    <row r="33" spans="1:11" x14ac:dyDescent="0.2">
      <c r="A33" s="57"/>
      <c r="B33" s="58"/>
      <c r="C33" s="57"/>
      <c r="D33" s="5"/>
      <c r="E33" s="31" t="s">
        <v>55</v>
      </c>
      <c r="F33" s="53" t="s">
        <v>54</v>
      </c>
      <c r="G33" s="53" t="s">
        <v>54</v>
      </c>
      <c r="H33" s="24">
        <v>0.46</v>
      </c>
      <c r="I33" s="27">
        <v>21000</v>
      </c>
      <c r="J33" s="22">
        <f>H33*I33</f>
        <v>9660</v>
      </c>
      <c r="K33" s="62"/>
    </row>
    <row r="34" spans="1:11" x14ac:dyDescent="0.2">
      <c r="A34" s="57"/>
      <c r="B34" s="58"/>
      <c r="C34" s="57"/>
      <c r="D34" s="5"/>
      <c r="E34" s="31" t="s">
        <v>56</v>
      </c>
      <c r="F34" s="53"/>
      <c r="G34" s="53"/>
      <c r="H34" s="24">
        <v>3.55</v>
      </c>
      <c r="I34" s="27">
        <v>17200</v>
      </c>
      <c r="J34" s="22">
        <f>H34*I34</f>
        <v>61060</v>
      </c>
      <c r="K34" s="62"/>
    </row>
    <row r="35" spans="1:11" x14ac:dyDescent="0.2">
      <c r="A35" s="57"/>
      <c r="B35" s="58"/>
      <c r="C35" s="57"/>
      <c r="D35" s="5"/>
      <c r="E35" s="22" t="s">
        <v>57</v>
      </c>
      <c r="F35" s="57">
        <v>2500</v>
      </c>
      <c r="G35" s="57"/>
      <c r="H35" s="57"/>
      <c r="I35" s="57"/>
      <c r="J35" s="57"/>
      <c r="K35" s="62"/>
    </row>
    <row r="36" spans="1:11" x14ac:dyDescent="0.2">
      <c r="A36" s="57"/>
      <c r="B36" s="58"/>
      <c r="C36" s="57"/>
      <c r="D36" s="5"/>
      <c r="E36" s="22" t="s">
        <v>58</v>
      </c>
      <c r="F36" s="57">
        <v>5100</v>
      </c>
      <c r="G36" s="57"/>
      <c r="H36" s="57"/>
      <c r="I36" s="57"/>
      <c r="J36" s="57"/>
      <c r="K36" s="62"/>
    </row>
  </sheetData>
  <mergeCells count="30">
    <mergeCell ref="A7:A10"/>
    <mergeCell ref="B7:B10"/>
    <mergeCell ref="C7:C10"/>
    <mergeCell ref="K7:K10"/>
    <mergeCell ref="F9:J9"/>
    <mergeCell ref="F10:J10"/>
    <mergeCell ref="A13:A17"/>
    <mergeCell ref="B13:B17"/>
    <mergeCell ref="C13:C17"/>
    <mergeCell ref="K13:K17"/>
    <mergeCell ref="F16:J16"/>
    <mergeCell ref="F17:J17"/>
    <mergeCell ref="A20:A23"/>
    <mergeCell ref="B20:B23"/>
    <mergeCell ref="C20:C23"/>
    <mergeCell ref="K20:K23"/>
    <mergeCell ref="F22:J22"/>
    <mergeCell ref="F23:J23"/>
    <mergeCell ref="K32:K36"/>
    <mergeCell ref="A26:A29"/>
    <mergeCell ref="B26:B29"/>
    <mergeCell ref="C26:C29"/>
    <mergeCell ref="K26:K29"/>
    <mergeCell ref="F28:J28"/>
    <mergeCell ref="F29:J29"/>
    <mergeCell ref="F36:J36"/>
    <mergeCell ref="F35:J35"/>
    <mergeCell ref="A32:A36"/>
    <mergeCell ref="B32:B36"/>
    <mergeCell ref="C32:C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DE0B-2EA4-C44B-801A-DB2116E9C724}">
  <dimension ref="A2:F27"/>
  <sheetViews>
    <sheetView workbookViewId="0">
      <selection activeCell="B12" sqref="B12"/>
    </sheetView>
  </sheetViews>
  <sheetFormatPr defaultColWidth="11.296875" defaultRowHeight="15" x14ac:dyDescent="0.2"/>
  <cols>
    <col min="1" max="1" width="19.37109375" bestFit="1" customWidth="1"/>
    <col min="2" max="2" width="16.0078125" bestFit="1" customWidth="1"/>
  </cols>
  <sheetData>
    <row r="2" spans="1:6" x14ac:dyDescent="0.2">
      <c r="B2" s="10" t="s">
        <v>99</v>
      </c>
    </row>
    <row r="3" spans="1:6" x14ac:dyDescent="0.2">
      <c r="B3" s="12" t="s">
        <v>100</v>
      </c>
      <c r="C3" s="13"/>
    </row>
    <row r="4" spans="1:6" x14ac:dyDescent="0.2">
      <c r="B4" s="10" t="s">
        <v>101</v>
      </c>
      <c r="C4" s="11"/>
    </row>
    <row r="6" spans="1:6" x14ac:dyDescent="0.2">
      <c r="A6" t="s">
        <v>102</v>
      </c>
      <c r="B6" t="s">
        <v>103</v>
      </c>
      <c r="C6" t="s">
        <v>4</v>
      </c>
    </row>
    <row r="7" spans="1:6" x14ac:dyDescent="0.2">
      <c r="B7">
        <v>24</v>
      </c>
      <c r="C7" s="3">
        <v>10200</v>
      </c>
    </row>
    <row r="10" spans="1:6" ht="29.25" x14ac:dyDescent="0.4">
      <c r="A10" s="7" t="s">
        <v>104</v>
      </c>
    </row>
    <row r="11" spans="1:6" x14ac:dyDescent="0.2">
      <c r="A11" t="s">
        <v>105</v>
      </c>
      <c r="B11" s="8">
        <v>14.5</v>
      </c>
    </row>
    <row r="13" spans="1:6" x14ac:dyDescent="0.2">
      <c r="B13" t="s">
        <v>106</v>
      </c>
      <c r="C13" t="s">
        <v>41</v>
      </c>
      <c r="D13" t="s">
        <v>107</v>
      </c>
      <c r="E13" t="s">
        <v>4</v>
      </c>
      <c r="F13" t="s">
        <v>49</v>
      </c>
    </row>
    <row r="14" spans="1:6" x14ac:dyDescent="0.2">
      <c r="A14" t="s">
        <v>108</v>
      </c>
      <c r="B14" s="9">
        <v>0.36</v>
      </c>
      <c r="C14" s="4">
        <v>1.1499999999999999</v>
      </c>
      <c r="D14" s="2"/>
      <c r="E14" s="3">
        <f>((C7/B7)*B11)</f>
        <v>6162.5</v>
      </c>
      <c r="F14" s="3">
        <f>B14*C14*E14</f>
        <v>2551.2750000000001</v>
      </c>
    </row>
    <row r="15" spans="1:6" x14ac:dyDescent="0.2">
      <c r="A15" t="s">
        <v>109</v>
      </c>
      <c r="D15" s="14"/>
      <c r="E15" s="14"/>
    </row>
    <row r="16" spans="1:6" x14ac:dyDescent="0.2">
      <c r="A16" t="s">
        <v>86</v>
      </c>
      <c r="D16" s="14">
        <v>0.12</v>
      </c>
      <c r="E16" s="15">
        <v>10000</v>
      </c>
      <c r="F16">
        <f>D16*E16</f>
        <v>1200</v>
      </c>
    </row>
    <row r="17" spans="1:6" x14ac:dyDescent="0.2">
      <c r="A17" t="s">
        <v>55</v>
      </c>
      <c r="D17" s="14">
        <v>1.46</v>
      </c>
      <c r="E17" s="15">
        <v>22000</v>
      </c>
      <c r="F17">
        <f>D17*E17</f>
        <v>32120</v>
      </c>
    </row>
    <row r="18" spans="1:6" x14ac:dyDescent="0.2">
      <c r="A18" t="s">
        <v>28</v>
      </c>
      <c r="D18" s="2"/>
      <c r="E18" s="2"/>
    </row>
    <row r="19" spans="1:6" x14ac:dyDescent="0.2">
      <c r="A19" t="s">
        <v>76</v>
      </c>
      <c r="D19" s="2"/>
      <c r="E19" s="2"/>
    </row>
    <row r="20" spans="1:6" x14ac:dyDescent="0.2">
      <c r="A20" t="s">
        <v>57</v>
      </c>
      <c r="D20" s="2"/>
      <c r="E20" s="2"/>
      <c r="F20" s="15">
        <v>5200</v>
      </c>
    </row>
    <row r="21" spans="1:6" x14ac:dyDescent="0.2">
      <c r="D21" s="2"/>
      <c r="E21" s="2"/>
      <c r="F21" s="2"/>
    </row>
    <row r="22" spans="1:6" x14ac:dyDescent="0.2">
      <c r="A22" t="s">
        <v>110</v>
      </c>
      <c r="D22" s="2"/>
      <c r="E22" s="2"/>
      <c r="F22" s="3">
        <f>SUM(F14:F20)</f>
        <v>41071.275000000001</v>
      </c>
    </row>
    <row r="23" spans="1:6" x14ac:dyDescent="0.2">
      <c r="D23" s="2"/>
      <c r="E23" s="2"/>
      <c r="F23" s="2"/>
    </row>
    <row r="24" spans="1:6" x14ac:dyDescent="0.2">
      <c r="A24" t="s">
        <v>111</v>
      </c>
      <c r="F24" s="3">
        <f>IF(F22&lt;25000,F22*0.1,IF(F22&lt;50000,F22*0.08,IF(F22&lt;300000,F22*0.06,IF(F22&lt;500000,F22*0.03,IF(F22&gt;500000,F22*0.02,0)))))</f>
        <v>3285.7020000000002</v>
      </c>
    </row>
    <row r="25" spans="1:6" x14ac:dyDescent="0.2">
      <c r="E25" t="s">
        <v>112</v>
      </c>
      <c r="F25" s="3">
        <f>SUM(F22+F24)</f>
        <v>44356.976999999999</v>
      </c>
    </row>
    <row r="26" spans="1:6" x14ac:dyDescent="0.2">
      <c r="F26" s="3"/>
    </row>
    <row r="27" spans="1:6" x14ac:dyDescent="0.2">
      <c r="E27" s="3" t="s">
        <v>113</v>
      </c>
      <c r="F27" s="3">
        <f>((F25-F16)*1.4)+F16</f>
        <v>61619.767799999994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AD48D-93B1-42F0-8DC4-1F72FDCE5546}">
  <dimension ref="A2:F5"/>
  <sheetViews>
    <sheetView zoomScale="142" workbookViewId="0">
      <selection activeCell="C19" sqref="C19"/>
    </sheetView>
  </sheetViews>
  <sheetFormatPr defaultColWidth="8.7421875" defaultRowHeight="15" x14ac:dyDescent="0.2"/>
  <cols>
    <col min="2" max="2" width="21.1171875" bestFit="1" customWidth="1"/>
    <col min="6" max="6" width="9.28125" bestFit="1" customWidth="1"/>
  </cols>
  <sheetData>
    <row r="2" spans="1:6" x14ac:dyDescent="0.2">
      <c r="A2">
        <v>4</v>
      </c>
      <c r="B2" t="s">
        <v>114</v>
      </c>
      <c r="C2" t="s">
        <v>7</v>
      </c>
      <c r="D2" s="1">
        <v>10.504</v>
      </c>
      <c r="E2" s="2"/>
      <c r="F2" s="95">
        <v>48200</v>
      </c>
    </row>
    <row r="3" spans="1:6" x14ac:dyDescent="0.2">
      <c r="C3" t="s">
        <v>8</v>
      </c>
      <c r="D3" s="1"/>
      <c r="E3" s="2">
        <v>1.52</v>
      </c>
      <c r="F3" s="95"/>
    </row>
    <row r="4" spans="1:6" x14ac:dyDescent="0.2">
      <c r="B4" s="94" t="s">
        <v>115</v>
      </c>
      <c r="C4" t="s">
        <v>116</v>
      </c>
      <c r="D4" s="1"/>
      <c r="E4" s="2">
        <v>12.55</v>
      </c>
      <c r="F4" s="95"/>
    </row>
    <row r="5" spans="1:6" x14ac:dyDescent="0.2">
      <c r="B5" s="94"/>
      <c r="C5" t="s">
        <v>10</v>
      </c>
      <c r="D5" s="1">
        <f>D2-(E3+E4)/5</f>
        <v>7.6899999999999995</v>
      </c>
      <c r="E5" s="2"/>
      <c r="F5" s="95"/>
    </row>
  </sheetData>
  <mergeCells count="2">
    <mergeCell ref="B4:B5"/>
    <mergeCell ref="F2:F5"/>
  </mergeCells>
  <printOptions gridLines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65959-62F1-495D-A747-759C576CD005}">
  <dimension ref="B3:C10"/>
  <sheetViews>
    <sheetView workbookViewId="0">
      <selection activeCell="F17" sqref="F17"/>
    </sheetView>
  </sheetViews>
  <sheetFormatPr defaultColWidth="11.43359375" defaultRowHeight="15" x14ac:dyDescent="0.2"/>
  <cols>
    <col min="4" max="4" width="20.04296875" bestFit="1" customWidth="1"/>
    <col min="6" max="6" width="12.10546875" bestFit="1" customWidth="1"/>
    <col min="9" max="9" width="5.6484375" bestFit="1" customWidth="1"/>
  </cols>
  <sheetData>
    <row r="3" spans="2:3" x14ac:dyDescent="0.2">
      <c r="B3" t="s">
        <v>117</v>
      </c>
    </row>
    <row r="4" spans="2:3" x14ac:dyDescent="0.2">
      <c r="B4" t="s">
        <v>118</v>
      </c>
      <c r="C4" t="s">
        <v>119</v>
      </c>
    </row>
    <row r="5" spans="2:3" x14ac:dyDescent="0.2">
      <c r="B5">
        <v>0</v>
      </c>
      <c r="C5" s="4">
        <v>0.1</v>
      </c>
    </row>
    <row r="6" spans="2:3" x14ac:dyDescent="0.2">
      <c r="B6">
        <v>25000</v>
      </c>
      <c r="C6" s="4">
        <v>0.08</v>
      </c>
    </row>
    <row r="7" spans="2:3" x14ac:dyDescent="0.2">
      <c r="B7">
        <v>50000</v>
      </c>
      <c r="C7" s="4">
        <v>0.06</v>
      </c>
    </row>
    <row r="8" spans="2:3" x14ac:dyDescent="0.2">
      <c r="B8">
        <v>150000</v>
      </c>
      <c r="C8" s="4">
        <v>0.04</v>
      </c>
    </row>
    <row r="9" spans="2:3" x14ac:dyDescent="0.2">
      <c r="B9">
        <v>300000</v>
      </c>
      <c r="C9" s="4">
        <v>0.03</v>
      </c>
    </row>
    <row r="10" spans="2:3" x14ac:dyDescent="0.2">
      <c r="B10">
        <v>500000</v>
      </c>
      <c r="C10" s="4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22.3.26</vt:lpstr>
      <vt:lpstr>latest price</vt:lpstr>
      <vt:lpstr>VM Personal</vt:lpstr>
      <vt:lpstr>sample calc</vt:lpstr>
      <vt:lpstr>NFS</vt:lpstr>
      <vt:lpstr>rates tk</vt:lpstr>
    </vt:vector>
  </TitlesOfParts>
  <Manager/>
  <Company>Grizli777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Vinit Munot</dc:creator>
  <cp:keywords/>
  <dc:description/>
  <cp:lastModifiedBy>Vinit Munot</cp:lastModifiedBy>
  <cp:revision/>
  <dcterms:created xsi:type="dcterms:W3CDTF">2018-07-14T08:52:48Z</dcterms:created>
  <dcterms:modified xsi:type="dcterms:W3CDTF">2026-06-08T12:01:25Z</dcterms:modified>
  <cp:category/>
  <cp:contentStatus/>
</cp:coreProperties>
</file>